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DED06EA-83A8-471E-B2CD-8D6A0A784F9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Cumul_deaths - Gompertz" sheetId="22" r:id="rId3"/>
    <sheet name="New_deaths - Gompertz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Gompertz'!$Z$16</definedName>
    <definedName name="CIa">'New_deaths - Gompertz'!$AF$40</definedName>
    <definedName name="CIf">'New_deaths - Gompertz'!$AF$52</definedName>
    <definedName name="CIl">'New_deaths - Gompertz'!$AF$28</definedName>
    <definedName name="CIo">'Cumul_deaths - Gompertz'!$Z$38</definedName>
    <definedName name="CIr">'Cumul_deaths - Gompertz'!$Z$27</definedName>
    <definedName name="CIt">'Cumul_deaths - Gompertz'!$Z$49</definedName>
    <definedName name="CIw">'New_deaths - Gompertz'!$AF$16</definedName>
    <definedName name="Critical_t">'Cumul_deaths - Gompertz'!$Z$15</definedName>
    <definedName name="Critical_ta">'New_deaths - Gompertz'!$AF$39</definedName>
    <definedName name="Critical_tf">'New_deaths - Gompertz'!$AF$51</definedName>
    <definedName name="Critical_tl">'New_deaths - Gompertz'!$AF$27</definedName>
    <definedName name="Critical_to">'Cumul_deaths - Gompertz'!$Z$37</definedName>
    <definedName name="Critical_tr">'Cumul_deaths - Gompertz'!$Z$26</definedName>
    <definedName name="Critical_tt">'Cumul_deaths - Gompertz'!$Z$48</definedName>
    <definedName name="Critical_tw">'New_deaths - Gompertz'!$AF$15</definedName>
    <definedName name="DatiEsterni_1" localSheetId="0" hidden="1">'dpc-covid19-ita-andamento-naz'!$A$1:$O$51</definedName>
    <definedName name="DatiEsterni_1" localSheetId="1" hidden="1">'dpc-covid19-ita-regioni'!$A$1:$S$1051</definedName>
    <definedName name="DatiEsterni_2" localSheetId="0" hidden="1">'dpc-covid19-ita-andamento-naz'!#REF!</definedName>
    <definedName name="df">'Cumul_deaths - Gompertz'!$Z$12</definedName>
    <definedName name="dfa">'New_deaths - Gompertz'!$AF$36</definedName>
    <definedName name="dff">'New_deaths - Gompertz'!$AF$48</definedName>
    <definedName name="dfl">'New_deaths - Gompertz'!$AF$24</definedName>
    <definedName name="dfo">'Cumul_deaths - Gompertz'!$Z$34</definedName>
    <definedName name="dfr">'Cumul_deaths - Gompertz'!$Z$23</definedName>
    <definedName name="dft">'Cumul_deaths - Gompertz'!$Z$45</definedName>
    <definedName name="dfw">'New_deaths - Gompertz'!$AF$12</definedName>
    <definedName name="Ka">'New_deaths - Gompertz'!$AF$32</definedName>
    <definedName name="Kf">'New_deaths - Gompertz'!$AF$44</definedName>
    <definedName name="Kl">'New_deaths - Gompertz'!$AF$20</definedName>
    <definedName name="Ko">'Cumul_deaths - Gompertz'!$Z$30</definedName>
    <definedName name="Kr">'Cumul_deaths - Gompertz'!$Z$19</definedName>
    <definedName name="Kt">'Cumul_deaths - Gompertz'!$Z$41</definedName>
    <definedName name="Mean_of_y">'Cumul_deaths - Gompertz'!$Z$11</definedName>
    <definedName name="Mean_of_ya">'New_deaths - Gompertz'!$AF$35</definedName>
    <definedName name="Mean_of_yf">'New_deaths - Gompertz'!$AF$47</definedName>
    <definedName name="Mean_of_yl">'New_deaths - Gompertz'!$AF$23</definedName>
    <definedName name="Mean_of_yo">'Cumul_deaths - Gompertz'!$Z$33</definedName>
    <definedName name="Mean_of_yr">'Cumul_deaths - Gompertz'!$Z$22</definedName>
    <definedName name="Mean_of_yt">'Cumul_deaths - Gompertz'!$Z$44</definedName>
    <definedName name="Mean_of_yw">'New_deaths - Gompertz'!$AF$11</definedName>
    <definedName name="Peak_w">'New_deaths - Gompertz'!$AF$17</definedName>
    <definedName name="RSQ">'Cumul_deaths - Gompertz'!$Z$14</definedName>
    <definedName name="RSQa">'New_deaths - Gompertz'!$AF$38</definedName>
    <definedName name="RSQf">'New_deaths - Gompertz'!$AF$50</definedName>
    <definedName name="RSQl">'New_deaths - Gompertz'!$AF$26</definedName>
    <definedName name="RSQo">'Cumul_deaths - Gompertz'!$Z$36</definedName>
    <definedName name="RSQr">'Cumul_deaths - Gompertz'!$Z$25</definedName>
    <definedName name="RSQt">'Cumul_deaths - Gompertz'!$Z$47</definedName>
    <definedName name="RSQw">'New_deaths - Gompertz'!$AF$14</definedName>
    <definedName name="SE_of_y">'Cumul_deaths - Gompertz'!$Z$13</definedName>
    <definedName name="SE_of_ya">'New_deaths - Gompertz'!$AF$37</definedName>
    <definedName name="SE_of_yf">'New_deaths - Gompertz'!$AF$49</definedName>
    <definedName name="SE_of_yl">'New_deaths - Gompertz'!$AF$25</definedName>
    <definedName name="SE_of_yo">'Cumul_deaths - Gompertz'!$Z$35</definedName>
    <definedName name="SE_of_yr">'Cumul_deaths - Gompertz'!$Z$24</definedName>
    <definedName name="SE_of_yt">'Cumul_deaths - Gompertz'!$Z$46</definedName>
    <definedName name="SE_of_yw">'New_deaths - Gompertz'!$AF$13</definedName>
    <definedName name="solver_adj" localSheetId="2" hidden="1">'Cumul_deaths - Gompertz'!$Z$41,'Cumul_deaths - Gompertz'!$Z$42,'Cumul_deaths - Gompertz'!$Z$43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'Cumul_deaths - Gompertz'!$Z$47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0a">'New_deaths - Gompertz'!$AF$33</definedName>
    <definedName name="t0f">'New_deaths - Gompertz'!$AF$45</definedName>
    <definedName name="t0l">'New_deaths - Gompertz'!$AF$21</definedName>
    <definedName name="t0o">'Cumul_deaths - Gompertz'!$Z$31</definedName>
    <definedName name="t0r">'Cumul_deaths - Gompertz'!$Z$20</definedName>
    <definedName name="t0t">'Cumul_deaths - Gompertz'!$Z$42</definedName>
    <definedName name="wa">'New_deaths - Gompertz'!$AF$34</definedName>
    <definedName name="wf">'New_deaths - Gompertz'!$AF$46</definedName>
    <definedName name="wl">'New_deaths - Gompertz'!$AF$22</definedName>
    <definedName name="wo">'Cumul_deaths - Gompertz'!$Z$32</definedName>
    <definedName name="wr">'Cumul_deaths - Gompertz'!$Z$21</definedName>
    <definedName name="wt">'Cumul_deaths - Gompertz'!$Z$43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6" i="23" l="1"/>
  <c r="W56" i="23" s="1"/>
  <c r="V57" i="23"/>
  <c r="O55" i="23"/>
  <c r="O56" i="23"/>
  <c r="O57" i="23"/>
  <c r="E55" i="23"/>
  <c r="E56" i="23"/>
  <c r="E57" i="23"/>
  <c r="D55" i="23"/>
  <c r="D56" i="23"/>
  <c r="D57" i="23"/>
  <c r="R55" i="22"/>
  <c r="R56" i="22"/>
  <c r="R57" i="22"/>
  <c r="D55" i="22"/>
  <c r="D56" i="22"/>
  <c r="D57" i="22"/>
  <c r="W57" i="23" l="1"/>
  <c r="AN41" i="22"/>
  <c r="AN40" i="22"/>
  <c r="AN39" i="22"/>
  <c r="AN31" i="22"/>
  <c r="AN30" i="22"/>
  <c r="AN29" i="22"/>
  <c r="AN21" i="22"/>
  <c r="AN20" i="22"/>
  <c r="AN19" i="22"/>
  <c r="P8" i="23" l="1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AF23" i="23"/>
  <c r="AF46" i="23"/>
  <c r="AF45" i="23"/>
  <c r="AF44" i="23"/>
  <c r="AF34" i="23"/>
  <c r="AF33" i="23"/>
  <c r="AF42" i="23" s="1"/>
  <c r="AF32" i="23"/>
  <c r="AF22" i="23"/>
  <c r="AF21" i="23"/>
  <c r="AF20" i="23"/>
  <c r="O54" i="23"/>
  <c r="P55" i="23"/>
  <c r="P56" i="23"/>
  <c r="Z17" i="22"/>
  <c r="AF53" i="23" l="1"/>
  <c r="I13" i="23"/>
  <c r="I12" i="23"/>
  <c r="I74" i="23"/>
  <c r="I72" i="23"/>
  <c r="I62" i="23"/>
  <c r="I14" i="23"/>
  <c r="I50" i="23"/>
  <c r="I38" i="23"/>
  <c r="I36" i="23"/>
  <c r="I24" i="23"/>
  <c r="I60" i="23"/>
  <c r="I48" i="23"/>
  <c r="I26" i="23"/>
  <c r="Z10" i="23"/>
  <c r="Y42" i="23"/>
  <c r="Y48" i="23"/>
  <c r="Y36" i="23"/>
  <c r="Y24" i="23"/>
  <c r="Y72" i="23"/>
  <c r="Y60" i="23"/>
  <c r="Q24" i="23"/>
  <c r="Q12" i="23"/>
  <c r="Q61" i="23"/>
  <c r="R35" i="23"/>
  <c r="R11" i="23"/>
  <c r="Q71" i="23"/>
  <c r="Q35" i="23"/>
  <c r="Q23" i="23"/>
  <c r="Q11" i="23"/>
  <c r="Y70" i="23"/>
  <c r="Y58" i="23"/>
  <c r="Y34" i="23"/>
  <c r="Y22" i="23"/>
  <c r="Y10" i="23"/>
  <c r="Z69" i="23"/>
  <c r="Z57" i="23"/>
  <c r="Z45" i="23"/>
  <c r="Z33" i="23"/>
  <c r="Z21" i="23"/>
  <c r="Z9" i="23"/>
  <c r="AF54" i="23"/>
  <c r="I71" i="23"/>
  <c r="I59" i="23"/>
  <c r="I47" i="23"/>
  <c r="I35" i="23"/>
  <c r="I23" i="23"/>
  <c r="I11" i="23"/>
  <c r="R70" i="23"/>
  <c r="R58" i="23"/>
  <c r="R46" i="23"/>
  <c r="R34" i="23"/>
  <c r="R22" i="23"/>
  <c r="R10" i="23"/>
  <c r="Q70" i="23"/>
  <c r="Q58" i="23"/>
  <c r="Q46" i="23"/>
  <c r="Q34" i="23"/>
  <c r="Q22" i="23"/>
  <c r="Q10" i="23"/>
  <c r="Y69" i="23"/>
  <c r="Y57" i="23"/>
  <c r="Y45" i="23"/>
  <c r="Y33" i="23"/>
  <c r="Y21" i="23"/>
  <c r="Y9" i="23"/>
  <c r="Z68" i="23"/>
  <c r="Z56" i="23"/>
  <c r="Z44" i="23"/>
  <c r="Z32" i="23"/>
  <c r="Z20" i="23"/>
  <c r="R49" i="23"/>
  <c r="Q49" i="23"/>
  <c r="Q47" i="23"/>
  <c r="I58" i="23"/>
  <c r="I34" i="23"/>
  <c r="I10" i="23"/>
  <c r="R57" i="23"/>
  <c r="R33" i="23"/>
  <c r="R9" i="23"/>
  <c r="Q57" i="23"/>
  <c r="Q33" i="23"/>
  <c r="Q9" i="23"/>
  <c r="Y56" i="23"/>
  <c r="Y44" i="23"/>
  <c r="Y20" i="23"/>
  <c r="Z8" i="23"/>
  <c r="AA8" i="23" s="1"/>
  <c r="Z67" i="23"/>
  <c r="Z55" i="23"/>
  <c r="Z43" i="23"/>
  <c r="Z31" i="23"/>
  <c r="R71" i="23"/>
  <c r="R23" i="23"/>
  <c r="Q59" i="23"/>
  <c r="Y46" i="23"/>
  <c r="I70" i="23"/>
  <c r="I46" i="23"/>
  <c r="I22" i="23"/>
  <c r="R69" i="23"/>
  <c r="R45" i="23"/>
  <c r="R21" i="23"/>
  <c r="Q69" i="23"/>
  <c r="Q45" i="23"/>
  <c r="Q21" i="23"/>
  <c r="Y68" i="23"/>
  <c r="Y32" i="23"/>
  <c r="Z19" i="23"/>
  <c r="I69" i="23"/>
  <c r="I57" i="23"/>
  <c r="I45" i="23"/>
  <c r="I33" i="23"/>
  <c r="I21" i="23"/>
  <c r="I9" i="23"/>
  <c r="R68" i="23"/>
  <c r="R56" i="23"/>
  <c r="R44" i="23"/>
  <c r="R32" i="23"/>
  <c r="R20" i="23"/>
  <c r="R8" i="23"/>
  <c r="Q68" i="23"/>
  <c r="Q56" i="23"/>
  <c r="Q44" i="23"/>
  <c r="Q32" i="23"/>
  <c r="Q20" i="23"/>
  <c r="Y8" i="23"/>
  <c r="Y67" i="23"/>
  <c r="Y55" i="23"/>
  <c r="Y43" i="23"/>
  <c r="Y31" i="23"/>
  <c r="Y19" i="23"/>
  <c r="Z78" i="23"/>
  <c r="Z66" i="23"/>
  <c r="Z54" i="23"/>
  <c r="Z42" i="23"/>
  <c r="Z30" i="23"/>
  <c r="Z18" i="23"/>
  <c r="Q73" i="23"/>
  <c r="I68" i="23"/>
  <c r="I32" i="23"/>
  <c r="R67" i="23"/>
  <c r="R55" i="23"/>
  <c r="R19" i="23"/>
  <c r="Q67" i="23"/>
  <c r="Q55" i="23"/>
  <c r="Q43" i="23"/>
  <c r="Q31" i="23"/>
  <c r="Q19" i="23"/>
  <c r="Y78" i="23"/>
  <c r="Y66" i="23"/>
  <c r="Y54" i="23"/>
  <c r="Y30" i="23"/>
  <c r="Y18" i="23"/>
  <c r="Z77" i="23"/>
  <c r="Z65" i="23"/>
  <c r="Z53" i="23"/>
  <c r="Z41" i="23"/>
  <c r="Z29" i="23"/>
  <c r="Z17" i="23"/>
  <c r="I67" i="23"/>
  <c r="I55" i="23"/>
  <c r="I43" i="23"/>
  <c r="I31" i="23"/>
  <c r="I19" i="23"/>
  <c r="R78" i="23"/>
  <c r="R66" i="23"/>
  <c r="R54" i="23"/>
  <c r="R42" i="23"/>
  <c r="R30" i="23"/>
  <c r="R18" i="23"/>
  <c r="Q78" i="23"/>
  <c r="Q66" i="23"/>
  <c r="Q54" i="23"/>
  <c r="Q42" i="23"/>
  <c r="Q30" i="23"/>
  <c r="Q18" i="23"/>
  <c r="Y77" i="23"/>
  <c r="Y65" i="23"/>
  <c r="Y53" i="23"/>
  <c r="Y41" i="23"/>
  <c r="Y29" i="23"/>
  <c r="Y17" i="23"/>
  <c r="Z76" i="23"/>
  <c r="Z64" i="23"/>
  <c r="Z52" i="23"/>
  <c r="Z40" i="23"/>
  <c r="Z28" i="23"/>
  <c r="Z16" i="23"/>
  <c r="AF29" i="23"/>
  <c r="I78" i="23"/>
  <c r="I66" i="23"/>
  <c r="I54" i="23"/>
  <c r="I42" i="23"/>
  <c r="I30" i="23"/>
  <c r="I18" i="23"/>
  <c r="R77" i="23"/>
  <c r="R65" i="23"/>
  <c r="R53" i="23"/>
  <c r="R41" i="23"/>
  <c r="R29" i="23"/>
  <c r="R17" i="23"/>
  <c r="Q77" i="23"/>
  <c r="Q65" i="23"/>
  <c r="Q53" i="23"/>
  <c r="Q41" i="23"/>
  <c r="Q29" i="23"/>
  <c r="Q17" i="23"/>
  <c r="Y76" i="23"/>
  <c r="Y64" i="23"/>
  <c r="Y52" i="23"/>
  <c r="Y40" i="23"/>
  <c r="Y28" i="23"/>
  <c r="Y16" i="23"/>
  <c r="Z75" i="23"/>
  <c r="Z63" i="23"/>
  <c r="Z51" i="23"/>
  <c r="Z39" i="23"/>
  <c r="Z27" i="23"/>
  <c r="Z15" i="23"/>
  <c r="AF30" i="23"/>
  <c r="R37" i="23"/>
  <c r="R13" i="23"/>
  <c r="Q13" i="23"/>
  <c r="R59" i="23"/>
  <c r="I44" i="23"/>
  <c r="R31" i="23"/>
  <c r="I77" i="23"/>
  <c r="I41" i="23"/>
  <c r="R76" i="23"/>
  <c r="R28" i="23"/>
  <c r="Q64" i="23"/>
  <c r="Q28" i="23"/>
  <c r="Y51" i="23"/>
  <c r="Z74" i="23"/>
  <c r="Z26" i="23"/>
  <c r="R61" i="23"/>
  <c r="Q37" i="23"/>
  <c r="R47" i="23"/>
  <c r="I56" i="23"/>
  <c r="I8" i="23"/>
  <c r="K8" i="23" s="1"/>
  <c r="R43" i="23"/>
  <c r="I53" i="23"/>
  <c r="I17" i="23"/>
  <c r="R64" i="23"/>
  <c r="R40" i="23"/>
  <c r="Q76" i="23"/>
  <c r="Q40" i="23"/>
  <c r="Y75" i="23"/>
  <c r="Y63" i="23"/>
  <c r="Y27" i="23"/>
  <c r="Y15" i="23"/>
  <c r="Z50" i="23"/>
  <c r="Z38" i="23"/>
  <c r="Z14" i="23"/>
  <c r="I76" i="23"/>
  <c r="I64" i="23"/>
  <c r="I52" i="23"/>
  <c r="I40" i="23"/>
  <c r="I28" i="23"/>
  <c r="I16" i="23"/>
  <c r="R75" i="23"/>
  <c r="R63" i="23"/>
  <c r="R51" i="23"/>
  <c r="R39" i="23"/>
  <c r="R27" i="23"/>
  <c r="R15" i="23"/>
  <c r="Q75" i="23"/>
  <c r="Q63" i="23"/>
  <c r="Q51" i="23"/>
  <c r="Q39" i="23"/>
  <c r="Q27" i="23"/>
  <c r="Q15" i="23"/>
  <c r="Y74" i="23"/>
  <c r="Y62" i="23"/>
  <c r="Y50" i="23"/>
  <c r="Y38" i="23"/>
  <c r="Y26" i="23"/>
  <c r="Y14" i="23"/>
  <c r="Z73" i="23"/>
  <c r="Z61" i="23"/>
  <c r="Z49" i="23"/>
  <c r="Z37" i="23"/>
  <c r="Z25" i="23"/>
  <c r="Z13" i="23"/>
  <c r="AF41" i="23"/>
  <c r="I20" i="23"/>
  <c r="Q8" i="23"/>
  <c r="I65" i="23"/>
  <c r="I29" i="23"/>
  <c r="R52" i="23"/>
  <c r="R16" i="23"/>
  <c r="Q52" i="23"/>
  <c r="Q16" i="23"/>
  <c r="Y39" i="23"/>
  <c r="Z62" i="23"/>
  <c r="I75" i="23"/>
  <c r="I63" i="23"/>
  <c r="I51" i="23"/>
  <c r="I39" i="23"/>
  <c r="I27" i="23"/>
  <c r="I15" i="23"/>
  <c r="R74" i="23"/>
  <c r="R62" i="23"/>
  <c r="R50" i="23"/>
  <c r="R38" i="23"/>
  <c r="R26" i="23"/>
  <c r="R14" i="23"/>
  <c r="Q74" i="23"/>
  <c r="Q62" i="23"/>
  <c r="Q50" i="23"/>
  <c r="Q38" i="23"/>
  <c r="Q26" i="23"/>
  <c r="Q14" i="23"/>
  <c r="Y73" i="23"/>
  <c r="Y61" i="23"/>
  <c r="Y49" i="23"/>
  <c r="Y37" i="23"/>
  <c r="Y25" i="23"/>
  <c r="Y13" i="23"/>
  <c r="Z72" i="23"/>
  <c r="Z60" i="23"/>
  <c r="Z48" i="23"/>
  <c r="Z36" i="23"/>
  <c r="Z24" i="23"/>
  <c r="Z12" i="23"/>
  <c r="R73" i="23"/>
  <c r="R25" i="23"/>
  <c r="Q25" i="23"/>
  <c r="Y12" i="23"/>
  <c r="Z71" i="23"/>
  <c r="Z59" i="23"/>
  <c r="Z47" i="23"/>
  <c r="Z35" i="23"/>
  <c r="Z23" i="23"/>
  <c r="Z11" i="23"/>
  <c r="I73" i="23"/>
  <c r="I61" i="23"/>
  <c r="I49" i="23"/>
  <c r="I37" i="23"/>
  <c r="I25" i="23"/>
  <c r="R72" i="23"/>
  <c r="R60" i="23"/>
  <c r="R48" i="23"/>
  <c r="R36" i="23"/>
  <c r="R24" i="23"/>
  <c r="R12" i="23"/>
  <c r="Q72" i="23"/>
  <c r="Q60" i="23"/>
  <c r="Q48" i="23"/>
  <c r="Q36" i="23"/>
  <c r="Y71" i="23"/>
  <c r="Y59" i="23"/>
  <c r="Y47" i="23"/>
  <c r="Y35" i="23"/>
  <c r="Y23" i="23"/>
  <c r="Y11" i="23"/>
  <c r="Z70" i="23"/>
  <c r="Z58" i="23"/>
  <c r="Z46" i="23"/>
  <c r="Z34" i="23"/>
  <c r="Z22" i="23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8" i="22"/>
  <c r="H9" i="22"/>
  <c r="I9" i="22" s="1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8" i="22"/>
  <c r="D9" i="22"/>
  <c r="D10" i="22"/>
  <c r="R10" i="22" s="1"/>
  <c r="S10" i="22" s="1"/>
  <c r="D11" i="22"/>
  <c r="D12" i="22"/>
  <c r="D13" i="22"/>
  <c r="R13" i="22" s="1"/>
  <c r="S13" i="22" s="1"/>
  <c r="D14" i="22"/>
  <c r="R14" i="22" s="1"/>
  <c r="S14" i="22" s="1"/>
  <c r="D15" i="22"/>
  <c r="D16" i="22"/>
  <c r="E16" i="22" s="1"/>
  <c r="D17" i="22"/>
  <c r="D18" i="22"/>
  <c r="E18" i="22" s="1"/>
  <c r="D19" i="22"/>
  <c r="D20" i="22"/>
  <c r="E20" i="22" s="1"/>
  <c r="D21" i="22"/>
  <c r="E21" i="22" s="1"/>
  <c r="D22" i="22"/>
  <c r="E22" i="22" s="1"/>
  <c r="D23" i="22"/>
  <c r="D24" i="22"/>
  <c r="D25" i="22"/>
  <c r="R25" i="22" s="1"/>
  <c r="S25" i="22" s="1"/>
  <c r="D26" i="22"/>
  <c r="E26" i="22" s="1"/>
  <c r="D27" i="22"/>
  <c r="D28" i="22"/>
  <c r="E28" i="22" s="1"/>
  <c r="D29" i="22"/>
  <c r="D30" i="22"/>
  <c r="D31" i="22"/>
  <c r="R31" i="22" s="1"/>
  <c r="S31" i="22" s="1"/>
  <c r="D32" i="22"/>
  <c r="R32" i="22" s="1"/>
  <c r="S32" i="22" s="1"/>
  <c r="D33" i="22"/>
  <c r="D34" i="22"/>
  <c r="E34" i="22" s="1"/>
  <c r="D35" i="22"/>
  <c r="R35" i="22" s="1"/>
  <c r="S35" i="22" s="1"/>
  <c r="D36" i="22"/>
  <c r="E36" i="22" s="1"/>
  <c r="D37" i="22"/>
  <c r="E37" i="22" s="1"/>
  <c r="D38" i="22"/>
  <c r="D39" i="22"/>
  <c r="D40" i="22"/>
  <c r="D41" i="22"/>
  <c r="E41" i="22" s="1"/>
  <c r="D42" i="22"/>
  <c r="E42" i="22" s="1"/>
  <c r="D43" i="22"/>
  <c r="D44" i="22"/>
  <c r="R44" i="22" s="1"/>
  <c r="S44" i="22" s="1"/>
  <c r="D45" i="22"/>
  <c r="D46" i="22"/>
  <c r="R46" i="22" s="1"/>
  <c r="S46" i="22" s="1"/>
  <c r="D47" i="22"/>
  <c r="E47" i="22" s="1"/>
  <c r="D48" i="22"/>
  <c r="R48" i="22" s="1"/>
  <c r="S48" i="22" s="1"/>
  <c r="D49" i="22"/>
  <c r="E49" i="22" s="1"/>
  <c r="D50" i="22"/>
  <c r="D51" i="22"/>
  <c r="D52" i="22"/>
  <c r="R52" i="22" s="1"/>
  <c r="S52" i="22" s="1"/>
  <c r="D53" i="22"/>
  <c r="R53" i="22" s="1"/>
  <c r="S53" i="22" s="1"/>
  <c r="D54" i="22"/>
  <c r="R54" i="22" s="1"/>
  <c r="S55" i="22"/>
  <c r="S56" i="22"/>
  <c r="D8" i="22"/>
  <c r="D9" i="23"/>
  <c r="E10" i="23" s="1"/>
  <c r="F10" i="23" s="1"/>
  <c r="D10" i="23"/>
  <c r="D11" i="23"/>
  <c r="D12" i="23"/>
  <c r="D13" i="23"/>
  <c r="E14" i="23" s="1"/>
  <c r="F14" i="23" s="1"/>
  <c r="D14" i="23"/>
  <c r="E15" i="23" s="1"/>
  <c r="D15" i="23"/>
  <c r="D16" i="23"/>
  <c r="D17" i="23"/>
  <c r="D18" i="23"/>
  <c r="D19" i="23"/>
  <c r="D20" i="23"/>
  <c r="D21" i="23"/>
  <c r="E22" i="23" s="1"/>
  <c r="F22" i="23" s="1"/>
  <c r="D22" i="23"/>
  <c r="V22" i="23" s="1"/>
  <c r="D23" i="23"/>
  <c r="D24" i="23"/>
  <c r="V24" i="23" s="1"/>
  <c r="D25" i="23"/>
  <c r="E26" i="23" s="1"/>
  <c r="F26" i="23" s="1"/>
  <c r="D26" i="23"/>
  <c r="E27" i="23" s="1"/>
  <c r="D27" i="23"/>
  <c r="V27" i="23" s="1"/>
  <c r="D28" i="23"/>
  <c r="D29" i="23"/>
  <c r="D30" i="23"/>
  <c r="D31" i="23"/>
  <c r="D32" i="23"/>
  <c r="D33" i="23"/>
  <c r="E34" i="23" s="1"/>
  <c r="F34" i="23" s="1"/>
  <c r="D34" i="23"/>
  <c r="D35" i="23"/>
  <c r="D36" i="23"/>
  <c r="V36" i="23" s="1"/>
  <c r="D37" i="23"/>
  <c r="E38" i="23" s="1"/>
  <c r="F38" i="23" s="1"/>
  <c r="D38" i="23"/>
  <c r="E39" i="23" s="1"/>
  <c r="F39" i="23" s="1"/>
  <c r="D39" i="23"/>
  <c r="D40" i="23"/>
  <c r="D41" i="23"/>
  <c r="D42" i="23"/>
  <c r="D43" i="23"/>
  <c r="D44" i="23"/>
  <c r="D45" i="23"/>
  <c r="E46" i="23" s="1"/>
  <c r="F46" i="23" s="1"/>
  <c r="D46" i="23"/>
  <c r="V46" i="23" s="1"/>
  <c r="D47" i="23"/>
  <c r="D48" i="23"/>
  <c r="D49" i="23"/>
  <c r="D50" i="23"/>
  <c r="E51" i="23" s="1"/>
  <c r="F51" i="23" s="1"/>
  <c r="D51" i="23"/>
  <c r="D52" i="23"/>
  <c r="D53" i="23"/>
  <c r="D54" i="23"/>
  <c r="V54" i="23" s="1"/>
  <c r="D8" i="23"/>
  <c r="V8" i="23" s="1"/>
  <c r="X78" i="23"/>
  <c r="F78" i="23"/>
  <c r="X77" i="23"/>
  <c r="F77" i="23"/>
  <c r="X76" i="23"/>
  <c r="F76" i="23"/>
  <c r="X75" i="23"/>
  <c r="F75" i="23"/>
  <c r="X74" i="23"/>
  <c r="F74" i="23"/>
  <c r="X73" i="23"/>
  <c r="F73" i="23"/>
  <c r="X72" i="23"/>
  <c r="F72" i="23"/>
  <c r="X71" i="23"/>
  <c r="F71" i="23"/>
  <c r="X70" i="23"/>
  <c r="F70" i="23"/>
  <c r="X69" i="23"/>
  <c r="F69" i="23"/>
  <c r="X68" i="23"/>
  <c r="F68" i="23"/>
  <c r="X67" i="23"/>
  <c r="F67" i="23"/>
  <c r="X66" i="23"/>
  <c r="F66" i="23"/>
  <c r="X65" i="23"/>
  <c r="F65" i="23"/>
  <c r="X64" i="23"/>
  <c r="F64" i="23"/>
  <c r="X63" i="23"/>
  <c r="F63" i="23"/>
  <c r="X62" i="23"/>
  <c r="F62" i="23"/>
  <c r="X61" i="23"/>
  <c r="F61" i="23"/>
  <c r="X60" i="23"/>
  <c r="F60" i="23"/>
  <c r="X59" i="23"/>
  <c r="F59" i="23"/>
  <c r="X58" i="23"/>
  <c r="F58" i="23"/>
  <c r="X57" i="23"/>
  <c r="F57" i="23"/>
  <c r="V53" i="23"/>
  <c r="O53" i="23"/>
  <c r="V52" i="23"/>
  <c r="O52" i="23"/>
  <c r="O51" i="23"/>
  <c r="V51" i="23"/>
  <c r="O50" i="23"/>
  <c r="O49" i="23"/>
  <c r="V48" i="23"/>
  <c r="O48" i="23"/>
  <c r="O47" i="23"/>
  <c r="AS46" i="23"/>
  <c r="O46" i="23"/>
  <c r="AS45" i="23"/>
  <c r="O45" i="23"/>
  <c r="AS44" i="23"/>
  <c r="O44" i="23"/>
  <c r="O43" i="23"/>
  <c r="O42" i="23"/>
  <c r="V42" i="23"/>
  <c r="V41" i="23"/>
  <c r="O41" i="23"/>
  <c r="V40" i="23"/>
  <c r="O40" i="23"/>
  <c r="O39" i="23"/>
  <c r="O38" i="23"/>
  <c r="O37" i="23"/>
  <c r="O36" i="23"/>
  <c r="O35" i="23"/>
  <c r="V34" i="23"/>
  <c r="O34" i="23"/>
  <c r="AS33" i="23"/>
  <c r="O33" i="23"/>
  <c r="AS32" i="23"/>
  <c r="O32" i="23"/>
  <c r="AS31" i="23"/>
  <c r="O31" i="23"/>
  <c r="AS30" i="23"/>
  <c r="O30" i="23"/>
  <c r="V30" i="23"/>
  <c r="AS29" i="23"/>
  <c r="O29" i="23"/>
  <c r="O28" i="23"/>
  <c r="V28" i="23"/>
  <c r="O27" i="23"/>
  <c r="O26" i="23"/>
  <c r="V25" i="23"/>
  <c r="O25" i="23"/>
  <c r="O24" i="23"/>
  <c r="AS23" i="23"/>
  <c r="O23" i="23"/>
  <c r="AS22" i="23"/>
  <c r="O22" i="23"/>
  <c r="AS21" i="23"/>
  <c r="O21" i="23"/>
  <c r="AS20" i="23"/>
  <c r="O20" i="23"/>
  <c r="AS19" i="23"/>
  <c r="O19" i="23"/>
  <c r="O18" i="23"/>
  <c r="V17" i="23"/>
  <c r="O17" i="23"/>
  <c r="O16" i="23"/>
  <c r="O15" i="23"/>
  <c r="F15" i="23"/>
  <c r="O14" i="23"/>
  <c r="O13" i="23"/>
  <c r="O12" i="23"/>
  <c r="V12" i="23"/>
  <c r="O11" i="23"/>
  <c r="V10" i="23"/>
  <c r="O10" i="23"/>
  <c r="O9" i="23"/>
  <c r="C9" i="23"/>
  <c r="X8" i="23"/>
  <c r="F8" i="23"/>
  <c r="S78" i="22"/>
  <c r="M78" i="22"/>
  <c r="E78" i="22"/>
  <c r="S77" i="22"/>
  <c r="M77" i="22"/>
  <c r="E77" i="22"/>
  <c r="S76" i="22"/>
  <c r="M76" i="22"/>
  <c r="E76" i="22"/>
  <c r="S75" i="22"/>
  <c r="M75" i="22"/>
  <c r="E75" i="22"/>
  <c r="S74" i="22"/>
  <c r="M74" i="22"/>
  <c r="E74" i="22"/>
  <c r="S73" i="22"/>
  <c r="M73" i="22"/>
  <c r="E73" i="22"/>
  <c r="S72" i="22"/>
  <c r="M72" i="22"/>
  <c r="E72" i="22"/>
  <c r="S71" i="22"/>
  <c r="M71" i="22"/>
  <c r="E71" i="22"/>
  <c r="S70" i="22"/>
  <c r="M70" i="22"/>
  <c r="E70" i="22"/>
  <c r="S69" i="22"/>
  <c r="M69" i="22"/>
  <c r="E69" i="22"/>
  <c r="S68" i="22"/>
  <c r="M68" i="22"/>
  <c r="E68" i="22"/>
  <c r="S67" i="22"/>
  <c r="M67" i="22"/>
  <c r="E67" i="22"/>
  <c r="S66" i="22"/>
  <c r="M66" i="22"/>
  <c r="E66" i="22"/>
  <c r="S65" i="22"/>
  <c r="M65" i="22"/>
  <c r="E65" i="22"/>
  <c r="S64" i="22"/>
  <c r="M64" i="22"/>
  <c r="E64" i="22"/>
  <c r="S63" i="22"/>
  <c r="M63" i="22"/>
  <c r="E63" i="22"/>
  <c r="S62" i="22"/>
  <c r="M62" i="22"/>
  <c r="E62" i="22"/>
  <c r="S61" i="22"/>
  <c r="M61" i="22"/>
  <c r="E61" i="22"/>
  <c r="S60" i="22"/>
  <c r="M60" i="22"/>
  <c r="E60" i="22"/>
  <c r="S59" i="22"/>
  <c r="M59" i="22"/>
  <c r="E59" i="22"/>
  <c r="S58" i="22"/>
  <c r="M58" i="22"/>
  <c r="E58" i="22"/>
  <c r="S57" i="22"/>
  <c r="M57" i="22"/>
  <c r="E57" i="22"/>
  <c r="M56" i="22"/>
  <c r="E56" i="22"/>
  <c r="M55" i="22"/>
  <c r="M54" i="22"/>
  <c r="M53" i="22"/>
  <c r="E53" i="22"/>
  <c r="M52" i="22"/>
  <c r="M51" i="22"/>
  <c r="R50" i="22"/>
  <c r="S50" i="22" s="1"/>
  <c r="M50" i="22"/>
  <c r="E50" i="22"/>
  <c r="R49" i="22"/>
  <c r="S49" i="22" s="1"/>
  <c r="M49" i="22"/>
  <c r="M48" i="22"/>
  <c r="E48" i="22"/>
  <c r="M47" i="22"/>
  <c r="M46" i="22"/>
  <c r="R45" i="22"/>
  <c r="S45" i="22" s="1"/>
  <c r="M45" i="22"/>
  <c r="E45" i="22"/>
  <c r="M44" i="22"/>
  <c r="AN43" i="22"/>
  <c r="R43" i="22"/>
  <c r="S43" i="22" s="1"/>
  <c r="M43" i="22"/>
  <c r="E43" i="22"/>
  <c r="AN42" i="22"/>
  <c r="R42" i="22"/>
  <c r="S42" i="22" s="1"/>
  <c r="M42" i="22"/>
  <c r="R41" i="22"/>
  <c r="S41" i="22" s="1"/>
  <c r="M41" i="22"/>
  <c r="M40" i="22"/>
  <c r="E40" i="22"/>
  <c r="R40" i="22"/>
  <c r="S40" i="22" s="1"/>
  <c r="M39" i="22"/>
  <c r="E39" i="22"/>
  <c r="M38" i="22"/>
  <c r="M37" i="22"/>
  <c r="M36" i="22"/>
  <c r="M35" i="22"/>
  <c r="E35" i="22"/>
  <c r="M34" i="22"/>
  <c r="AN33" i="22"/>
  <c r="M33" i="22"/>
  <c r="AN32" i="22"/>
  <c r="M32" i="22"/>
  <c r="M31" i="22"/>
  <c r="E31" i="22"/>
  <c r="M30" i="22"/>
  <c r="M29" i="22"/>
  <c r="M28" i="22"/>
  <c r="R28" i="22"/>
  <c r="S28" i="22" s="1"/>
  <c r="R27" i="22"/>
  <c r="S27" i="22" s="1"/>
  <c r="M27" i="22"/>
  <c r="E27" i="22"/>
  <c r="M26" i="22"/>
  <c r="M25" i="22"/>
  <c r="M24" i="22"/>
  <c r="AN23" i="22"/>
  <c r="Z23" i="22"/>
  <c r="Z26" i="22" s="1"/>
  <c r="R23" i="22"/>
  <c r="S23" i="22" s="1"/>
  <c r="M23" i="22"/>
  <c r="E23" i="22"/>
  <c r="AN22" i="22"/>
  <c r="Z22" i="22"/>
  <c r="M22" i="22"/>
  <c r="M21" i="22"/>
  <c r="R21" i="22"/>
  <c r="S21" i="22" s="1"/>
  <c r="M20" i="22"/>
  <c r="R20" i="22"/>
  <c r="S20" i="22" s="1"/>
  <c r="R19" i="22"/>
  <c r="S19" i="22" s="1"/>
  <c r="M19" i="22"/>
  <c r="E19" i="22"/>
  <c r="M18" i="22"/>
  <c r="M17" i="22"/>
  <c r="E17" i="22"/>
  <c r="R17" i="22"/>
  <c r="S17" i="22" s="1"/>
  <c r="R16" i="22"/>
  <c r="S16" i="22" s="1"/>
  <c r="M16" i="22"/>
  <c r="M15" i="22"/>
  <c r="M14" i="22"/>
  <c r="E14" i="22"/>
  <c r="M13" i="22"/>
  <c r="M12" i="22"/>
  <c r="C12" i="22"/>
  <c r="C13" i="22" s="1"/>
  <c r="M11" i="22"/>
  <c r="C11" i="22"/>
  <c r="M10" i="22"/>
  <c r="C10" i="22"/>
  <c r="R9" i="22"/>
  <c r="S9" i="22" s="1"/>
  <c r="M9" i="22"/>
  <c r="E9" i="22"/>
  <c r="C9" i="22"/>
  <c r="M8" i="22"/>
  <c r="E10" i="22" l="1"/>
  <c r="V37" i="23"/>
  <c r="E25" i="22"/>
  <c r="R36" i="22"/>
  <c r="S36" i="22" s="1"/>
  <c r="E46" i="22"/>
  <c r="E44" i="23"/>
  <c r="F44" i="23" s="1"/>
  <c r="E32" i="23"/>
  <c r="F32" i="23" s="1"/>
  <c r="E20" i="23"/>
  <c r="F20" i="23" s="1"/>
  <c r="R37" i="22"/>
  <c r="S37" i="22" s="1"/>
  <c r="R22" i="22"/>
  <c r="S22" i="22" s="1"/>
  <c r="R26" i="22"/>
  <c r="S26" i="22" s="1"/>
  <c r="V14" i="23"/>
  <c r="W14" i="23" s="1"/>
  <c r="X14" i="23" s="1"/>
  <c r="E50" i="23"/>
  <c r="F50" i="23" s="1"/>
  <c r="E36" i="23"/>
  <c r="F36" i="23" s="1"/>
  <c r="E48" i="23"/>
  <c r="E24" i="23"/>
  <c r="F24" i="23" s="1"/>
  <c r="E12" i="23"/>
  <c r="F12" i="23" s="1"/>
  <c r="V11" i="23"/>
  <c r="W11" i="23" s="1"/>
  <c r="X11" i="23" s="1"/>
  <c r="R34" i="22"/>
  <c r="S34" i="22" s="1"/>
  <c r="R47" i="22"/>
  <c r="S47" i="22" s="1"/>
  <c r="F45" i="23"/>
  <c r="E45" i="23"/>
  <c r="E33" i="23"/>
  <c r="F33" i="23" s="1"/>
  <c r="V20" i="23"/>
  <c r="E21" i="23"/>
  <c r="V49" i="23"/>
  <c r="W49" i="23" s="1"/>
  <c r="X49" i="23" s="1"/>
  <c r="F56" i="23"/>
  <c r="V55" i="23"/>
  <c r="X56" i="23" s="1"/>
  <c r="E43" i="23"/>
  <c r="F43" i="23" s="1"/>
  <c r="E19" i="23"/>
  <c r="V38" i="23"/>
  <c r="E31" i="23"/>
  <c r="F31" i="23" s="1"/>
  <c r="V18" i="23"/>
  <c r="V45" i="23"/>
  <c r="W46" i="23" s="1"/>
  <c r="X46" i="23" s="1"/>
  <c r="E54" i="23"/>
  <c r="F54" i="23" s="1"/>
  <c r="E42" i="23"/>
  <c r="F42" i="23" s="1"/>
  <c r="E30" i="23"/>
  <c r="F30" i="23" s="1"/>
  <c r="E18" i="23"/>
  <c r="F18" i="23" s="1"/>
  <c r="V29" i="23"/>
  <c r="W29" i="23" s="1"/>
  <c r="X29" i="23" s="1"/>
  <c r="E53" i="23"/>
  <c r="F53" i="23" s="1"/>
  <c r="E41" i="23"/>
  <c r="F41" i="23" s="1"/>
  <c r="E29" i="23"/>
  <c r="F29" i="23" s="1"/>
  <c r="E17" i="23"/>
  <c r="F55" i="23"/>
  <c r="V13" i="23"/>
  <c r="W13" i="23" s="1"/>
  <c r="X13" i="23" s="1"/>
  <c r="E52" i="23"/>
  <c r="E40" i="23"/>
  <c r="F40" i="23" s="1"/>
  <c r="E28" i="23"/>
  <c r="F28" i="23" s="1"/>
  <c r="E16" i="23"/>
  <c r="V9" i="23"/>
  <c r="W10" i="23" s="1"/>
  <c r="X10" i="23" s="1"/>
  <c r="W37" i="23"/>
  <c r="X37" i="23" s="1"/>
  <c r="E49" i="23"/>
  <c r="F49" i="23" s="1"/>
  <c r="E37" i="23"/>
  <c r="F37" i="23" s="1"/>
  <c r="E25" i="23"/>
  <c r="E13" i="23"/>
  <c r="F13" i="23" s="1"/>
  <c r="V21" i="23"/>
  <c r="W54" i="23"/>
  <c r="E47" i="23"/>
  <c r="F47" i="23" s="1"/>
  <c r="E35" i="23"/>
  <c r="E23" i="23"/>
  <c r="F23" i="23" s="1"/>
  <c r="E11" i="23"/>
  <c r="F11" i="23" s="1"/>
  <c r="H8" i="23"/>
  <c r="J8" i="23" s="1"/>
  <c r="G8" i="23"/>
  <c r="S8" i="23"/>
  <c r="W53" i="23"/>
  <c r="X53" i="23" s="1"/>
  <c r="W41" i="23"/>
  <c r="X41" i="23" s="1"/>
  <c r="W18" i="23"/>
  <c r="X18" i="23" s="1"/>
  <c r="W25" i="23"/>
  <c r="X25" i="23" s="1"/>
  <c r="I19" i="22"/>
  <c r="E44" i="22"/>
  <c r="F19" i="23"/>
  <c r="V19" i="23"/>
  <c r="W20" i="23" s="1"/>
  <c r="X20" i="23" s="1"/>
  <c r="V32" i="23"/>
  <c r="X54" i="23"/>
  <c r="V44" i="23"/>
  <c r="W52" i="23"/>
  <c r="X52" i="23" s="1"/>
  <c r="W42" i="23"/>
  <c r="X42" i="23" s="1"/>
  <c r="W28" i="23"/>
  <c r="X28" i="23" s="1"/>
  <c r="V16" i="23"/>
  <c r="W17" i="23" s="1"/>
  <c r="X17" i="23" s="1"/>
  <c r="F17" i="23"/>
  <c r="W22" i="23"/>
  <c r="X22" i="23" s="1"/>
  <c r="F16" i="23"/>
  <c r="F27" i="23"/>
  <c r="V31" i="23"/>
  <c r="V15" i="23"/>
  <c r="V26" i="23"/>
  <c r="W27" i="23" s="1"/>
  <c r="X27" i="23" s="1"/>
  <c r="V43" i="23"/>
  <c r="I52" i="22"/>
  <c r="V23" i="23"/>
  <c r="W24" i="23" s="1"/>
  <c r="X24" i="23" s="1"/>
  <c r="AF24" i="23"/>
  <c r="AF27" i="23" s="1"/>
  <c r="E9" i="23"/>
  <c r="C10" i="23"/>
  <c r="V33" i="23"/>
  <c r="W34" i="23" s="1"/>
  <c r="X34" i="23" s="1"/>
  <c r="V35" i="23"/>
  <c r="W36" i="23" s="1"/>
  <c r="X36" i="23" s="1"/>
  <c r="F21" i="23"/>
  <c r="F35" i="23"/>
  <c r="V47" i="23"/>
  <c r="W48" i="23" s="1"/>
  <c r="X48" i="23" s="1"/>
  <c r="F48" i="23"/>
  <c r="I10" i="22"/>
  <c r="F25" i="23"/>
  <c r="I27" i="22"/>
  <c r="V39" i="23"/>
  <c r="W40" i="23" s="1"/>
  <c r="X40" i="23" s="1"/>
  <c r="V50" i="23"/>
  <c r="W51" i="23" s="1"/>
  <c r="X51" i="23" s="1"/>
  <c r="F52" i="23"/>
  <c r="O8" i="22"/>
  <c r="F8" i="22"/>
  <c r="G8" i="22" s="1"/>
  <c r="I11" i="22"/>
  <c r="I14" i="22"/>
  <c r="O11" i="22"/>
  <c r="U10" i="22"/>
  <c r="I8" i="22"/>
  <c r="U9" i="22"/>
  <c r="I15" i="22"/>
  <c r="C14" i="22"/>
  <c r="U13" i="22"/>
  <c r="R18" i="22"/>
  <c r="S18" i="22" s="1"/>
  <c r="E24" i="22"/>
  <c r="R24" i="22"/>
  <c r="S24" i="22" s="1"/>
  <c r="R15" i="22"/>
  <c r="S15" i="22" s="1"/>
  <c r="E15" i="22"/>
  <c r="O9" i="22"/>
  <c r="E29" i="22"/>
  <c r="R29" i="22"/>
  <c r="S29" i="22" s="1"/>
  <c r="R12" i="22"/>
  <c r="S12" i="22" s="1"/>
  <c r="E12" i="22"/>
  <c r="R11" i="22"/>
  <c r="S11" i="22" s="1"/>
  <c r="E11" i="22"/>
  <c r="Z45" i="22"/>
  <c r="Z48" i="22" s="1"/>
  <c r="Z11" i="22"/>
  <c r="Z12" i="22"/>
  <c r="Z15" i="22" s="1"/>
  <c r="R8" i="22"/>
  <c r="E8" i="22"/>
  <c r="Z44" i="22"/>
  <c r="I55" i="22"/>
  <c r="I13" i="22"/>
  <c r="I20" i="22"/>
  <c r="I26" i="22"/>
  <c r="I28" i="22"/>
  <c r="E32" i="22"/>
  <c r="I38" i="22"/>
  <c r="R39" i="22"/>
  <c r="S39" i="22" s="1"/>
  <c r="I41" i="22"/>
  <c r="I48" i="22"/>
  <c r="I44" i="22"/>
  <c r="I49" i="22"/>
  <c r="I39" i="22"/>
  <c r="I29" i="22"/>
  <c r="I24" i="22"/>
  <c r="I53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0" i="22"/>
  <c r="I54" i="22"/>
  <c r="I51" i="22"/>
  <c r="I47" i="22"/>
  <c r="I42" i="22"/>
  <c r="I37" i="22"/>
  <c r="I21" i="22"/>
  <c r="I17" i="22"/>
  <c r="I23" i="22"/>
  <c r="I30" i="22"/>
  <c r="R51" i="22"/>
  <c r="S51" i="22" s="1"/>
  <c r="E51" i="22"/>
  <c r="I12" i="22"/>
  <c r="I32" i="22"/>
  <c r="I34" i="22"/>
  <c r="I36" i="22"/>
  <c r="I16" i="22"/>
  <c r="I22" i="22"/>
  <c r="I46" i="22"/>
  <c r="I25" i="22"/>
  <c r="R33" i="22"/>
  <c r="S33" i="22" s="1"/>
  <c r="E33" i="22"/>
  <c r="I45" i="22"/>
  <c r="S54" i="22"/>
  <c r="E54" i="22"/>
  <c r="I18" i="22"/>
  <c r="I31" i="22"/>
  <c r="E13" i="22"/>
  <c r="I33" i="22"/>
  <c r="R30" i="22"/>
  <c r="S30" i="22" s="1"/>
  <c r="E30" i="22"/>
  <c r="I35" i="22"/>
  <c r="R38" i="22"/>
  <c r="S38" i="22" s="1"/>
  <c r="E38" i="22"/>
  <c r="I40" i="22"/>
  <c r="I43" i="22"/>
  <c r="E52" i="22"/>
  <c r="E55" i="22"/>
  <c r="W30" i="23" l="1"/>
  <c r="X30" i="23" s="1"/>
  <c r="W12" i="23"/>
  <c r="X12" i="23" s="1"/>
  <c r="W9" i="23"/>
  <c r="X9" i="23" s="1"/>
  <c r="W38" i="23"/>
  <c r="X38" i="23" s="1"/>
  <c r="AF11" i="23"/>
  <c r="W21" i="23"/>
  <c r="X21" i="23" s="1"/>
  <c r="W45" i="23"/>
  <c r="X45" i="23" s="1"/>
  <c r="W55" i="23"/>
  <c r="X55" i="23" s="1"/>
  <c r="G9" i="23"/>
  <c r="W44" i="23"/>
  <c r="X44" i="23" s="1"/>
  <c r="W19" i="23"/>
  <c r="X19" i="23" s="1"/>
  <c r="W32" i="23"/>
  <c r="X32" i="23" s="1"/>
  <c r="W16" i="23"/>
  <c r="X16" i="23" s="1"/>
  <c r="W43" i="23"/>
  <c r="X43" i="23" s="1"/>
  <c r="W33" i="23"/>
  <c r="X33" i="23" s="1"/>
  <c r="W50" i="23"/>
  <c r="X50" i="23" s="1"/>
  <c r="W26" i="23"/>
  <c r="X26" i="23" s="1"/>
  <c r="W39" i="23"/>
  <c r="X39" i="23" s="1"/>
  <c r="W47" i="23"/>
  <c r="X47" i="23" s="1"/>
  <c r="Z46" i="22" a="1"/>
  <c r="Z46" i="22" s="1"/>
  <c r="Z49" i="22" s="1"/>
  <c r="K10" i="23"/>
  <c r="AA10" i="23"/>
  <c r="C11" i="23"/>
  <c r="W23" i="23"/>
  <c r="X23" i="23" s="1"/>
  <c r="H9" i="23"/>
  <c r="S9" i="23"/>
  <c r="W31" i="23"/>
  <c r="X31" i="23" s="1"/>
  <c r="AF48" i="23"/>
  <c r="AF51" i="23" s="1"/>
  <c r="AF12" i="23"/>
  <c r="AF15" i="23" s="1"/>
  <c r="F9" i="23"/>
  <c r="AF47" i="23"/>
  <c r="K9" i="23"/>
  <c r="Z47" i="22" a="1"/>
  <c r="Z47" i="22" s="1"/>
  <c r="AN38" i="22" s="1"/>
  <c r="W15" i="23"/>
  <c r="W35" i="23"/>
  <c r="X35" i="23" s="1"/>
  <c r="F11" i="22"/>
  <c r="G11" i="22" s="1"/>
  <c r="F9" i="22"/>
  <c r="G9" i="22" s="1"/>
  <c r="O12" i="22"/>
  <c r="F12" i="22"/>
  <c r="G12" i="22" s="1"/>
  <c r="U12" i="22"/>
  <c r="O13" i="22"/>
  <c r="F13" i="22"/>
  <c r="G13" i="22" s="1"/>
  <c r="O14" i="22"/>
  <c r="F10" i="22"/>
  <c r="G10" i="22" s="1"/>
  <c r="O10" i="22"/>
  <c r="Z33" i="22"/>
  <c r="Z34" i="22"/>
  <c r="Z37" i="22" s="1"/>
  <c r="U8" i="22"/>
  <c r="S8" i="22"/>
  <c r="U11" i="22"/>
  <c r="U14" i="22"/>
  <c r="C15" i="22"/>
  <c r="AA9" i="23" l="1"/>
  <c r="G10" i="23"/>
  <c r="X15" i="23"/>
  <c r="AF36" i="23"/>
  <c r="AF39" i="23" s="1"/>
  <c r="H10" i="23"/>
  <c r="S10" i="23"/>
  <c r="C12" i="23"/>
  <c r="AA11" i="23"/>
  <c r="K11" i="23"/>
  <c r="AF35" i="23"/>
  <c r="J9" i="23"/>
  <c r="C16" i="22"/>
  <c r="U15" i="22"/>
  <c r="F14" i="22"/>
  <c r="G14" i="22" s="1"/>
  <c r="J10" i="23" l="1"/>
  <c r="H11" i="23"/>
  <c r="J11" i="23" s="1"/>
  <c r="S11" i="23"/>
  <c r="AA12" i="23"/>
  <c r="K12" i="23"/>
  <c r="C13" i="23"/>
  <c r="G11" i="23"/>
  <c r="F15" i="22"/>
  <c r="G15" i="22" s="1"/>
  <c r="O15" i="22"/>
  <c r="C17" i="22"/>
  <c r="U16" i="22"/>
  <c r="H12" i="23" l="1"/>
  <c r="S12" i="23"/>
  <c r="AA13" i="23"/>
  <c r="K13" i="23"/>
  <c r="C14" i="23"/>
  <c r="G12" i="23"/>
  <c r="C18" i="22"/>
  <c r="U17" i="22"/>
  <c r="F16" i="22"/>
  <c r="G16" i="22" s="1"/>
  <c r="O16" i="22"/>
  <c r="J12" i="23" l="1"/>
  <c r="G13" i="23"/>
  <c r="H13" i="23"/>
  <c r="J13" i="23" s="1"/>
  <c r="S13" i="23"/>
  <c r="K14" i="23"/>
  <c r="C15" i="23"/>
  <c r="AA14" i="23"/>
  <c r="O17" i="22"/>
  <c r="F17" i="22"/>
  <c r="G17" i="22" s="1"/>
  <c r="U18" i="22"/>
  <c r="C19" i="22"/>
  <c r="G14" i="23" l="1"/>
  <c r="H14" i="23"/>
  <c r="S14" i="23"/>
  <c r="C16" i="23"/>
  <c r="AA15" i="23"/>
  <c r="K15" i="23"/>
  <c r="F18" i="22"/>
  <c r="G18" i="22" s="1"/>
  <c r="O18" i="22"/>
  <c r="C20" i="22"/>
  <c r="U19" i="22"/>
  <c r="J14" i="23" l="1"/>
  <c r="G15" i="23"/>
  <c r="S15" i="23"/>
  <c r="H15" i="23"/>
  <c r="J15" i="23" s="1"/>
  <c r="AA16" i="23"/>
  <c r="K16" i="23"/>
  <c r="C17" i="23"/>
  <c r="O19" i="22"/>
  <c r="F19" i="22"/>
  <c r="G19" i="22" s="1"/>
  <c r="U20" i="22"/>
  <c r="C21" i="22"/>
  <c r="G16" i="23" l="1"/>
  <c r="H16" i="23"/>
  <c r="J16" i="23" s="1"/>
  <c r="S16" i="23"/>
  <c r="K17" i="23"/>
  <c r="C18" i="23"/>
  <c r="AA17" i="23"/>
  <c r="F20" i="22"/>
  <c r="G20" i="22" s="1"/>
  <c r="O20" i="22"/>
  <c r="C22" i="22"/>
  <c r="U21" i="22"/>
  <c r="H17" i="23" l="1"/>
  <c r="J17" i="23" s="1"/>
  <c r="S17" i="23"/>
  <c r="G17" i="23"/>
  <c r="K18" i="23"/>
  <c r="C19" i="23"/>
  <c r="AA18" i="23"/>
  <c r="O21" i="22"/>
  <c r="F21" i="22"/>
  <c r="G21" i="22" s="1"/>
  <c r="C23" i="22"/>
  <c r="U22" i="22"/>
  <c r="AA19" i="23" l="1"/>
  <c r="K19" i="23"/>
  <c r="C20" i="23"/>
  <c r="G18" i="23"/>
  <c r="H18" i="23"/>
  <c r="J18" i="23" s="1"/>
  <c r="S18" i="23"/>
  <c r="C24" i="22"/>
  <c r="U23" i="22"/>
  <c r="O22" i="22"/>
  <c r="F22" i="22"/>
  <c r="G22" i="22" s="1"/>
  <c r="G19" i="23" l="1"/>
  <c r="H19" i="23"/>
  <c r="J19" i="23" s="1"/>
  <c r="S19" i="23"/>
  <c r="AA20" i="23"/>
  <c r="K20" i="23"/>
  <c r="C21" i="23"/>
  <c r="U24" i="22"/>
  <c r="C25" i="22"/>
  <c r="F23" i="22"/>
  <c r="G23" i="22" s="1"/>
  <c r="O23" i="22"/>
  <c r="G20" i="23" l="1"/>
  <c r="H20" i="23"/>
  <c r="J20" i="23" s="1"/>
  <c r="S20" i="23"/>
  <c r="K21" i="23"/>
  <c r="C22" i="23"/>
  <c r="AA21" i="23"/>
  <c r="C26" i="22"/>
  <c r="U25" i="22"/>
  <c r="O24" i="22"/>
  <c r="F24" i="22"/>
  <c r="G24" i="22" s="1"/>
  <c r="H21" i="23" l="1"/>
  <c r="J21" i="23" s="1"/>
  <c r="S21" i="23"/>
  <c r="G21" i="23"/>
  <c r="C23" i="23"/>
  <c r="AA22" i="23"/>
  <c r="K22" i="23"/>
  <c r="O25" i="22"/>
  <c r="F25" i="22"/>
  <c r="G25" i="22" s="1"/>
  <c r="C27" i="22"/>
  <c r="U26" i="22"/>
  <c r="H22" i="23" l="1"/>
  <c r="J22" i="23" s="1"/>
  <c r="S22" i="23"/>
  <c r="G22" i="23"/>
  <c r="AA23" i="23"/>
  <c r="K23" i="23"/>
  <c r="C24" i="23"/>
  <c r="C28" i="22"/>
  <c r="U27" i="22"/>
  <c r="F26" i="22"/>
  <c r="G26" i="22" s="1"/>
  <c r="O26" i="22"/>
  <c r="AA24" i="23" l="1"/>
  <c r="K24" i="23"/>
  <c r="C25" i="23"/>
  <c r="G23" i="23"/>
  <c r="H23" i="23"/>
  <c r="J23" i="23" s="1"/>
  <c r="S23" i="23"/>
  <c r="F27" i="22"/>
  <c r="G27" i="22" s="1"/>
  <c r="O27" i="22"/>
  <c r="U28" i="22"/>
  <c r="C29" i="22"/>
  <c r="G24" i="23" l="1"/>
  <c r="H24" i="23"/>
  <c r="J24" i="23" s="1"/>
  <c r="S24" i="23"/>
  <c r="K25" i="23"/>
  <c r="C26" i="23"/>
  <c r="AA25" i="23"/>
  <c r="F28" i="22"/>
  <c r="G28" i="22" s="1"/>
  <c r="O28" i="22"/>
  <c r="C30" i="22"/>
  <c r="U29" i="22"/>
  <c r="G25" i="23" l="1"/>
  <c r="H25" i="23"/>
  <c r="J25" i="23" s="1"/>
  <c r="S25" i="23"/>
  <c r="C27" i="23"/>
  <c r="AA26" i="23"/>
  <c r="K26" i="23"/>
  <c r="O29" i="22"/>
  <c r="F29" i="22"/>
  <c r="G29" i="22" s="1"/>
  <c r="U30" i="22"/>
  <c r="C31" i="22"/>
  <c r="G26" i="23" l="1"/>
  <c r="S26" i="23"/>
  <c r="H26" i="23"/>
  <c r="J26" i="23" s="1"/>
  <c r="AA27" i="23"/>
  <c r="K27" i="23"/>
  <c r="C28" i="23"/>
  <c r="C32" i="22"/>
  <c r="U31" i="22"/>
  <c r="O30" i="22"/>
  <c r="F30" i="22"/>
  <c r="G30" i="22" s="1"/>
  <c r="C29" i="23" l="1"/>
  <c r="AA28" i="23"/>
  <c r="K28" i="23"/>
  <c r="H27" i="23"/>
  <c r="J27" i="23" s="1"/>
  <c r="S27" i="23"/>
  <c r="G27" i="23"/>
  <c r="O31" i="22"/>
  <c r="F31" i="22"/>
  <c r="G31" i="22" s="1"/>
  <c r="C33" i="22"/>
  <c r="U32" i="22"/>
  <c r="G28" i="23" l="1"/>
  <c r="H28" i="23"/>
  <c r="J28" i="23" s="1"/>
  <c r="S28" i="23"/>
  <c r="C30" i="23"/>
  <c r="AA29" i="23"/>
  <c r="K29" i="23"/>
  <c r="O32" i="22"/>
  <c r="F32" i="22"/>
  <c r="G32" i="22" s="1"/>
  <c r="U33" i="22"/>
  <c r="C34" i="22"/>
  <c r="H29" i="23" l="1"/>
  <c r="J29" i="23" s="1"/>
  <c r="S29" i="23"/>
  <c r="C31" i="23"/>
  <c r="AA30" i="23"/>
  <c r="K30" i="23"/>
  <c r="G29" i="23"/>
  <c r="O33" i="22"/>
  <c r="F33" i="22"/>
  <c r="G33" i="22" s="1"/>
  <c r="C35" i="22"/>
  <c r="U34" i="22"/>
  <c r="AA31" i="23" l="1"/>
  <c r="C32" i="23"/>
  <c r="K31" i="23"/>
  <c r="G30" i="23"/>
  <c r="H30" i="23"/>
  <c r="J30" i="23" s="1"/>
  <c r="S30" i="23"/>
  <c r="O34" i="22"/>
  <c r="F34" i="22"/>
  <c r="G34" i="22" s="1"/>
  <c r="U35" i="22"/>
  <c r="C36" i="22"/>
  <c r="AA32" i="23" l="1"/>
  <c r="C33" i="23"/>
  <c r="K32" i="23"/>
  <c r="G31" i="23"/>
  <c r="H31" i="23"/>
  <c r="J31" i="23" s="1"/>
  <c r="S31" i="23"/>
  <c r="F35" i="22"/>
  <c r="G35" i="22" s="1"/>
  <c r="O35" i="22"/>
  <c r="C37" i="22"/>
  <c r="U36" i="22"/>
  <c r="H32" i="23" l="1"/>
  <c r="J32" i="23" s="1"/>
  <c r="S32" i="23"/>
  <c r="AA33" i="23"/>
  <c r="C34" i="23"/>
  <c r="K33" i="23"/>
  <c r="G33" i="23"/>
  <c r="G32" i="23"/>
  <c r="C38" i="22"/>
  <c r="U37" i="22"/>
  <c r="F36" i="22"/>
  <c r="G36" i="22" s="1"/>
  <c r="O36" i="22"/>
  <c r="K34" i="23" l="1"/>
  <c r="C35" i="23"/>
  <c r="AA34" i="23"/>
  <c r="H33" i="23"/>
  <c r="J33" i="23" s="1"/>
  <c r="S33" i="23"/>
  <c r="O37" i="22"/>
  <c r="F37" i="22"/>
  <c r="G37" i="22" s="1"/>
  <c r="U38" i="22"/>
  <c r="C39" i="22"/>
  <c r="K35" i="23" l="1"/>
  <c r="C36" i="23"/>
  <c r="AA35" i="23"/>
  <c r="S34" i="23"/>
  <c r="H34" i="23"/>
  <c r="J34" i="23" s="1"/>
  <c r="G34" i="23"/>
  <c r="C40" i="22"/>
  <c r="U39" i="22"/>
  <c r="F38" i="22"/>
  <c r="G38" i="22" s="1"/>
  <c r="O38" i="22"/>
  <c r="G35" i="23" l="1"/>
  <c r="K36" i="23"/>
  <c r="C37" i="23"/>
  <c r="AA36" i="23"/>
  <c r="H35" i="23"/>
  <c r="J35" i="23" s="1"/>
  <c r="S35" i="23"/>
  <c r="O39" i="22"/>
  <c r="F39" i="22"/>
  <c r="G39" i="22" s="1"/>
  <c r="C41" i="22"/>
  <c r="U40" i="22"/>
  <c r="G36" i="23" l="1"/>
  <c r="S36" i="23"/>
  <c r="H36" i="23"/>
  <c r="J36" i="23" s="1"/>
  <c r="C38" i="23"/>
  <c r="K37" i="23"/>
  <c r="AA37" i="23"/>
  <c r="F40" i="22"/>
  <c r="G40" i="22" s="1"/>
  <c r="O40" i="22"/>
  <c r="C42" i="22"/>
  <c r="U41" i="22"/>
  <c r="H37" i="23" l="1"/>
  <c r="J37" i="23" s="1"/>
  <c r="S37" i="23"/>
  <c r="G37" i="23"/>
  <c r="AA38" i="23"/>
  <c r="K38" i="23"/>
  <c r="C39" i="23"/>
  <c r="O41" i="22"/>
  <c r="F41" i="22"/>
  <c r="G41" i="22" s="1"/>
  <c r="C43" i="22"/>
  <c r="U42" i="22"/>
  <c r="G38" i="23" l="1"/>
  <c r="AA39" i="23"/>
  <c r="K39" i="23"/>
  <c r="C40" i="23"/>
  <c r="H38" i="23"/>
  <c r="J38" i="23" s="1"/>
  <c r="S38" i="23"/>
  <c r="O42" i="22"/>
  <c r="F42" i="22"/>
  <c r="G42" i="22" s="1"/>
  <c r="U43" i="22"/>
  <c r="C44" i="22"/>
  <c r="G39" i="23" l="1"/>
  <c r="K40" i="23"/>
  <c r="C41" i="23"/>
  <c r="AA40" i="23"/>
  <c r="H39" i="23"/>
  <c r="J39" i="23" s="1"/>
  <c r="S39" i="23"/>
  <c r="F43" i="22"/>
  <c r="G43" i="22" s="1"/>
  <c r="O43" i="22"/>
  <c r="C45" i="22"/>
  <c r="U44" i="22"/>
  <c r="G40" i="23" l="1"/>
  <c r="H40" i="23"/>
  <c r="J40" i="23" s="1"/>
  <c r="S40" i="23"/>
  <c r="C42" i="23"/>
  <c r="AA41" i="23"/>
  <c r="K41" i="23"/>
  <c r="F44" i="22"/>
  <c r="G44" i="22" s="1"/>
  <c r="O44" i="22"/>
  <c r="C46" i="22"/>
  <c r="U45" i="22"/>
  <c r="S41" i="23" l="1"/>
  <c r="H41" i="23"/>
  <c r="J41" i="23" s="1"/>
  <c r="G41" i="23"/>
  <c r="AA42" i="23"/>
  <c r="K42" i="23"/>
  <c r="C43" i="23"/>
  <c r="O45" i="22"/>
  <c r="F45" i="22"/>
  <c r="G45" i="22" s="1"/>
  <c r="C47" i="22"/>
  <c r="U46" i="22"/>
  <c r="G42" i="23" l="1"/>
  <c r="S42" i="23"/>
  <c r="H42" i="23"/>
  <c r="J42" i="23" s="1"/>
  <c r="AA43" i="23"/>
  <c r="K43" i="23"/>
  <c r="C44" i="23"/>
  <c r="O46" i="22"/>
  <c r="F46" i="22"/>
  <c r="G46" i="22" s="1"/>
  <c r="C48" i="22"/>
  <c r="U47" i="22"/>
  <c r="G43" i="23" l="1"/>
  <c r="H43" i="23"/>
  <c r="J43" i="23" s="1"/>
  <c r="S43" i="23"/>
  <c r="K44" i="23"/>
  <c r="C45" i="23"/>
  <c r="AA44" i="23"/>
  <c r="F47" i="22"/>
  <c r="G47" i="22" s="1"/>
  <c r="O47" i="22"/>
  <c r="C49" i="22"/>
  <c r="U48" i="22"/>
  <c r="H44" i="23" l="1"/>
  <c r="J44" i="23" s="1"/>
  <c r="S44" i="23"/>
  <c r="C46" i="23"/>
  <c r="AA45" i="23"/>
  <c r="K45" i="23"/>
  <c r="G44" i="23"/>
  <c r="F48" i="22"/>
  <c r="G48" i="22" s="1"/>
  <c r="O48" i="22"/>
  <c r="C50" i="22"/>
  <c r="U49" i="22"/>
  <c r="G45" i="23" l="1"/>
  <c r="H45" i="23"/>
  <c r="J45" i="23" s="1"/>
  <c r="S45" i="23"/>
  <c r="AA46" i="23"/>
  <c r="K46" i="23"/>
  <c r="C47" i="23"/>
  <c r="F49" i="22"/>
  <c r="G49" i="22" s="1"/>
  <c r="O49" i="22"/>
  <c r="C51" i="22"/>
  <c r="U50" i="22"/>
  <c r="G46" i="23" l="1"/>
  <c r="H46" i="23"/>
  <c r="J46" i="23" s="1"/>
  <c r="S46" i="23"/>
  <c r="AA47" i="23"/>
  <c r="K47" i="23"/>
  <c r="C48" i="23"/>
  <c r="O50" i="22"/>
  <c r="F50" i="22"/>
  <c r="G50" i="22" s="1"/>
  <c r="C52" i="22"/>
  <c r="U51" i="22"/>
  <c r="G47" i="23" l="1"/>
  <c r="K48" i="23"/>
  <c r="C49" i="23"/>
  <c r="AA48" i="23"/>
  <c r="H47" i="23"/>
  <c r="J47" i="23" s="1"/>
  <c r="S47" i="23"/>
  <c r="O51" i="22"/>
  <c r="F51" i="22"/>
  <c r="G51" i="22" s="1"/>
  <c r="C53" i="22"/>
  <c r="U52" i="22"/>
  <c r="H48" i="23" l="1"/>
  <c r="J48" i="23" s="1"/>
  <c r="S48" i="23"/>
  <c r="G48" i="23"/>
  <c r="C50" i="23"/>
  <c r="AA49" i="23"/>
  <c r="K49" i="23"/>
  <c r="F52" i="22"/>
  <c r="G52" i="22" s="1"/>
  <c r="O52" i="22"/>
  <c r="C54" i="22"/>
  <c r="U53" i="22"/>
  <c r="AA50" i="23" l="1"/>
  <c r="K50" i="23"/>
  <c r="C51" i="23"/>
  <c r="G49" i="23"/>
  <c r="H49" i="23"/>
  <c r="J49" i="23" s="1"/>
  <c r="S49" i="23"/>
  <c r="O53" i="22"/>
  <c r="F53" i="22"/>
  <c r="G53" i="22" s="1"/>
  <c r="C55" i="22"/>
  <c r="U54" i="22"/>
  <c r="AA51" i="23" l="1"/>
  <c r="K51" i="23"/>
  <c r="C52" i="23"/>
  <c r="G50" i="23"/>
  <c r="H50" i="23"/>
  <c r="J50" i="23" s="1"/>
  <c r="S50" i="23"/>
  <c r="C56" i="22"/>
  <c r="U55" i="22"/>
  <c r="F54" i="22"/>
  <c r="G54" i="22" s="1"/>
  <c r="O54" i="22"/>
  <c r="G51" i="23" l="1"/>
  <c r="H51" i="23"/>
  <c r="J51" i="23" s="1"/>
  <c r="S51" i="23"/>
  <c r="K52" i="23"/>
  <c r="C53" i="23"/>
  <c r="AA52" i="23"/>
  <c r="F55" i="22"/>
  <c r="G55" i="22" s="1"/>
  <c r="O55" i="22"/>
  <c r="C57" i="22"/>
  <c r="U56" i="22"/>
  <c r="G52" i="23" l="1"/>
  <c r="H52" i="23"/>
  <c r="J52" i="23" s="1"/>
  <c r="S52" i="23"/>
  <c r="C54" i="23"/>
  <c r="AA53" i="23"/>
  <c r="K53" i="23"/>
  <c r="O56" i="22"/>
  <c r="F56" i="22"/>
  <c r="C58" i="22"/>
  <c r="U57" i="22"/>
  <c r="G56" i="22" l="1"/>
  <c r="G53" i="23"/>
  <c r="S53" i="23"/>
  <c r="H53" i="23"/>
  <c r="J53" i="23" s="1"/>
  <c r="AA54" i="23"/>
  <c r="K54" i="23"/>
  <c r="C55" i="23"/>
  <c r="O57" i="22"/>
  <c r="F57" i="22"/>
  <c r="C59" i="22"/>
  <c r="U58" i="22"/>
  <c r="G57" i="22" l="1"/>
  <c r="H54" i="23"/>
  <c r="J54" i="23" s="1"/>
  <c r="S54" i="23"/>
  <c r="AA55" i="23"/>
  <c r="K55" i="23"/>
  <c r="C56" i="23"/>
  <c r="G54" i="23"/>
  <c r="O58" i="22"/>
  <c r="F58" i="22"/>
  <c r="G58" i="22" s="1"/>
  <c r="C60" i="22"/>
  <c r="U59" i="22"/>
  <c r="G55" i="23" l="1"/>
  <c r="K56" i="23"/>
  <c r="C57" i="23"/>
  <c r="H55" i="23"/>
  <c r="S55" i="23"/>
  <c r="O59" i="22"/>
  <c r="F59" i="22"/>
  <c r="G59" i="22" s="1"/>
  <c r="C61" i="22"/>
  <c r="U60" i="22"/>
  <c r="AA56" i="23" l="1"/>
  <c r="J55" i="23"/>
  <c r="H56" i="23"/>
  <c r="S56" i="23"/>
  <c r="K57" i="23"/>
  <c r="C58" i="23"/>
  <c r="AA57" i="23"/>
  <c r="G56" i="23"/>
  <c r="O60" i="22"/>
  <c r="F60" i="22"/>
  <c r="G60" i="22" s="1"/>
  <c r="C62" i="22"/>
  <c r="U61" i="22"/>
  <c r="G57" i="23" l="1"/>
  <c r="J56" i="23"/>
  <c r="H57" i="23"/>
  <c r="S57" i="23"/>
  <c r="AA58" i="23"/>
  <c r="C59" i="23"/>
  <c r="K58" i="23"/>
  <c r="O61" i="22"/>
  <c r="F61" i="22"/>
  <c r="G61" i="22" s="1"/>
  <c r="C63" i="22"/>
  <c r="U62" i="22"/>
  <c r="J57" i="23" l="1"/>
  <c r="G58" i="23"/>
  <c r="S58" i="23"/>
  <c r="H58" i="23"/>
  <c r="J58" i="23" s="1"/>
  <c r="K59" i="23"/>
  <c r="C60" i="23"/>
  <c r="AA59" i="23"/>
  <c r="O62" i="22"/>
  <c r="F62" i="22"/>
  <c r="G62" i="22" s="1"/>
  <c r="C64" i="22"/>
  <c r="U63" i="22"/>
  <c r="K60" i="23" l="1"/>
  <c r="C61" i="23"/>
  <c r="AA60" i="23"/>
  <c r="S59" i="23"/>
  <c r="H59" i="23"/>
  <c r="J59" i="23" s="1"/>
  <c r="G59" i="23"/>
  <c r="O63" i="22"/>
  <c r="F63" i="22"/>
  <c r="G63" i="22" s="1"/>
  <c r="C65" i="22"/>
  <c r="U64" i="22"/>
  <c r="H60" i="23" l="1"/>
  <c r="J60" i="23" s="1"/>
  <c r="S60" i="23"/>
  <c r="K61" i="23"/>
  <c r="C62" i="23"/>
  <c r="AA61" i="23"/>
  <c r="G60" i="23"/>
  <c r="C66" i="22"/>
  <c r="U65" i="22"/>
  <c r="O64" i="22"/>
  <c r="F64" i="22"/>
  <c r="G64" i="22" s="1"/>
  <c r="G61" i="23" l="1"/>
  <c r="H61" i="23"/>
  <c r="J61" i="23" s="1"/>
  <c r="S61" i="23"/>
  <c r="AA62" i="23"/>
  <c r="C63" i="23"/>
  <c r="K62" i="23"/>
  <c r="O65" i="22"/>
  <c r="F65" i="22"/>
  <c r="G65" i="22" s="1"/>
  <c r="C67" i="22"/>
  <c r="U66" i="22"/>
  <c r="G62" i="23" l="1"/>
  <c r="S62" i="23"/>
  <c r="H62" i="23"/>
  <c r="J62" i="23" s="1"/>
  <c r="K63" i="23"/>
  <c r="C64" i="23"/>
  <c r="AA63" i="23"/>
  <c r="O66" i="22"/>
  <c r="F66" i="22"/>
  <c r="G66" i="22" s="1"/>
  <c r="C68" i="22"/>
  <c r="U67" i="22"/>
  <c r="G63" i="23" l="1"/>
  <c r="S63" i="23"/>
  <c r="H63" i="23"/>
  <c r="J63" i="23" s="1"/>
  <c r="K64" i="23"/>
  <c r="C65" i="23"/>
  <c r="AA64" i="23"/>
  <c r="O67" i="22"/>
  <c r="F67" i="22"/>
  <c r="G67" i="22" s="1"/>
  <c r="C69" i="22"/>
  <c r="U68" i="22"/>
  <c r="H64" i="23" l="1"/>
  <c r="J64" i="23" s="1"/>
  <c r="S64" i="23"/>
  <c r="G64" i="23"/>
  <c r="K65" i="23"/>
  <c r="C66" i="23"/>
  <c r="AA65" i="23"/>
  <c r="O68" i="22"/>
  <c r="F68" i="22"/>
  <c r="G68" i="22" s="1"/>
  <c r="C70" i="22"/>
  <c r="U69" i="22"/>
  <c r="G65" i="23" l="1"/>
  <c r="H65" i="23"/>
  <c r="J65" i="23" s="1"/>
  <c r="S65" i="23"/>
  <c r="AA66" i="23"/>
  <c r="K66" i="23"/>
  <c r="C67" i="23"/>
  <c r="O69" i="22"/>
  <c r="F69" i="22"/>
  <c r="G69" i="22" s="1"/>
  <c r="C71" i="22"/>
  <c r="U70" i="22"/>
  <c r="G66" i="23" l="1"/>
  <c r="K67" i="23"/>
  <c r="C68" i="23"/>
  <c r="AA67" i="23"/>
  <c r="S66" i="23"/>
  <c r="H66" i="23"/>
  <c r="J66" i="23" s="1"/>
  <c r="O70" i="22"/>
  <c r="F70" i="22"/>
  <c r="G70" i="22" s="1"/>
  <c r="C72" i="22"/>
  <c r="U71" i="22"/>
  <c r="K68" i="23" l="1"/>
  <c r="C69" i="23"/>
  <c r="AA68" i="23"/>
  <c r="G67" i="23"/>
  <c r="S67" i="23"/>
  <c r="H67" i="23"/>
  <c r="J67" i="23" s="1"/>
  <c r="O71" i="22"/>
  <c r="F71" i="22"/>
  <c r="G71" i="22" s="1"/>
  <c r="C73" i="22"/>
  <c r="U72" i="22"/>
  <c r="H68" i="23" l="1"/>
  <c r="J68" i="23" s="1"/>
  <c r="S68" i="23"/>
  <c r="K69" i="23"/>
  <c r="C70" i="23"/>
  <c r="AA69" i="23"/>
  <c r="G68" i="23"/>
  <c r="O72" i="22"/>
  <c r="F72" i="22"/>
  <c r="G72" i="22" s="1"/>
  <c r="C74" i="22"/>
  <c r="U73" i="22"/>
  <c r="H69" i="23" l="1"/>
  <c r="J69" i="23" s="1"/>
  <c r="S69" i="23"/>
  <c r="AA70" i="23"/>
  <c r="C71" i="23"/>
  <c r="K70" i="23"/>
  <c r="G69" i="23"/>
  <c r="C75" i="22"/>
  <c r="U74" i="22"/>
  <c r="O73" i="22"/>
  <c r="F73" i="22"/>
  <c r="G73" i="22" s="1"/>
  <c r="G70" i="23" l="1"/>
  <c r="K71" i="23"/>
  <c r="C72" i="23"/>
  <c r="AA71" i="23"/>
  <c r="S70" i="23"/>
  <c r="H70" i="23"/>
  <c r="J70" i="23" s="1"/>
  <c r="O74" i="22"/>
  <c r="F74" i="22"/>
  <c r="G74" i="22" s="1"/>
  <c r="C76" i="22"/>
  <c r="U75" i="22"/>
  <c r="K72" i="23" l="1"/>
  <c r="C73" i="23"/>
  <c r="AA72" i="23"/>
  <c r="G71" i="23"/>
  <c r="S71" i="23"/>
  <c r="H71" i="23"/>
  <c r="J71" i="23" s="1"/>
  <c r="O75" i="22"/>
  <c r="F75" i="22"/>
  <c r="G75" i="22" s="1"/>
  <c r="C77" i="22"/>
  <c r="U76" i="22"/>
  <c r="H72" i="23" l="1"/>
  <c r="J72" i="23" s="1"/>
  <c r="S72" i="23"/>
  <c r="K73" i="23"/>
  <c r="C74" i="23"/>
  <c r="AA73" i="23"/>
  <c r="G72" i="23"/>
  <c r="O76" i="22"/>
  <c r="F76" i="22"/>
  <c r="G76" i="22" s="1"/>
  <c r="C78" i="22"/>
  <c r="U77" i="22"/>
  <c r="G73" i="23" l="1"/>
  <c r="H73" i="23"/>
  <c r="J73" i="23" s="1"/>
  <c r="S73" i="23"/>
  <c r="AA74" i="23"/>
  <c r="C75" i="23"/>
  <c r="K74" i="23"/>
  <c r="O77" i="22"/>
  <c r="F77" i="22"/>
  <c r="G77" i="22" s="1"/>
  <c r="U78" i="22"/>
  <c r="K75" i="23" l="1"/>
  <c r="C76" i="23"/>
  <c r="AA75" i="23"/>
  <c r="S74" i="23"/>
  <c r="H74" i="23"/>
  <c r="J74" i="23" s="1"/>
  <c r="G74" i="23"/>
  <c r="O78" i="22"/>
  <c r="F78" i="22"/>
  <c r="G78" i="22" s="1"/>
  <c r="Z35" i="22" a="1"/>
  <c r="Z35" i="22" s="1"/>
  <c r="Z38" i="22" s="1"/>
  <c r="Z36" i="22" a="1"/>
  <c r="Z36" i="22" s="1"/>
  <c r="AN28" i="22" s="1"/>
  <c r="W57" i="22" l="1"/>
  <c r="V57" i="22"/>
  <c r="V56" i="22"/>
  <c r="W56" i="22"/>
  <c r="K76" i="23"/>
  <c r="C77" i="23"/>
  <c r="AA76" i="23"/>
  <c r="G75" i="23"/>
  <c r="S75" i="23"/>
  <c r="H75" i="23"/>
  <c r="J75" i="23" s="1"/>
  <c r="Z13" i="22" a="1"/>
  <c r="Z13" i="22" s="1"/>
  <c r="Z16" i="22" s="1"/>
  <c r="Z14" i="22" a="1"/>
  <c r="Z14" i="22" s="1"/>
  <c r="W55" i="22"/>
  <c r="W52" i="22"/>
  <c r="V55" i="22"/>
  <c r="V52" i="22"/>
  <c r="V49" i="22"/>
  <c r="W53" i="22"/>
  <c r="W45" i="22"/>
  <c r="W40" i="22"/>
  <c r="V53" i="22"/>
  <c r="W50" i="22"/>
  <c r="V45" i="22"/>
  <c r="V40" i="22"/>
  <c r="W35" i="22"/>
  <c r="W25" i="22"/>
  <c r="V50" i="22"/>
  <c r="W54" i="22"/>
  <c r="W51" i="22"/>
  <c r="V54" i="22"/>
  <c r="V47" i="22"/>
  <c r="W48" i="22"/>
  <c r="W43" i="22"/>
  <c r="V32" i="22"/>
  <c r="V27" i="22"/>
  <c r="W22" i="22"/>
  <c r="W17" i="22"/>
  <c r="V41" i="22"/>
  <c r="V38" i="22"/>
  <c r="W24" i="22"/>
  <c r="W15" i="22"/>
  <c r="V43" i="22"/>
  <c r="V35" i="22"/>
  <c r="W33" i="22"/>
  <c r="V24" i="22"/>
  <c r="W21" i="22"/>
  <c r="W18" i="22"/>
  <c r="V15" i="22"/>
  <c r="V51" i="22"/>
  <c r="V48" i="22"/>
  <c r="V33" i="22"/>
  <c r="W31" i="22"/>
  <c r="V18" i="22"/>
  <c r="W8" i="22"/>
  <c r="V21" i="22"/>
  <c r="W11" i="22"/>
  <c r="V37" i="22"/>
  <c r="V29" i="22"/>
  <c r="W27" i="22"/>
  <c r="W16" i="22"/>
  <c r="V25" i="22"/>
  <c r="V22" i="22"/>
  <c r="W19" i="22"/>
  <c r="V16" i="22"/>
  <c r="W12" i="22"/>
  <c r="W49" i="22"/>
  <c r="W42" i="22"/>
  <c r="W39" i="22"/>
  <c r="W36" i="22"/>
  <c r="W34" i="22"/>
  <c r="W23" i="22"/>
  <c r="V9" i="22"/>
  <c r="V42" i="22"/>
  <c r="V39" i="22"/>
  <c r="V36" i="22"/>
  <c r="V34" i="22"/>
  <c r="W32" i="22"/>
  <c r="V23" i="22"/>
  <c r="W46" i="22"/>
  <c r="V46" i="22"/>
  <c r="W30" i="22"/>
  <c r="W28" i="22"/>
  <c r="W26" i="22"/>
  <c r="W20" i="22"/>
  <c r="V17" i="22"/>
  <c r="V13" i="22"/>
  <c r="W44" i="22"/>
  <c r="V30" i="22"/>
  <c r="V28" i="22"/>
  <c r="V26" i="22"/>
  <c r="V20" i="22"/>
  <c r="W14" i="22"/>
  <c r="W10" i="22"/>
  <c r="W47" i="22"/>
  <c r="V44" i="22"/>
  <c r="W41" i="22"/>
  <c r="W38" i="22"/>
  <c r="W9" i="22"/>
  <c r="V8" i="22"/>
  <c r="V10" i="22"/>
  <c r="W37" i="22"/>
  <c r="V11" i="22"/>
  <c r="V19" i="22"/>
  <c r="W13" i="22"/>
  <c r="V31" i="22"/>
  <c r="W29" i="22"/>
  <c r="V14" i="22"/>
  <c r="V12" i="22"/>
  <c r="Z24" i="22" a="1"/>
  <c r="Z24" i="22" s="1"/>
  <c r="Z27" i="22" s="1"/>
  <c r="Z25" i="22" a="1"/>
  <c r="Z25" i="22" s="1"/>
  <c r="AN18" i="22" s="1"/>
  <c r="J56" i="22" l="1"/>
  <c r="K56" i="22"/>
  <c r="K57" i="22"/>
  <c r="J57" i="22"/>
  <c r="P56" i="22"/>
  <c r="Q57" i="22"/>
  <c r="P55" i="22"/>
  <c r="P57" i="22"/>
  <c r="Q55" i="22"/>
  <c r="Q56" i="22"/>
  <c r="H76" i="23"/>
  <c r="J76" i="23" s="1"/>
  <c r="S76" i="23"/>
  <c r="K77" i="23"/>
  <c r="C78" i="23"/>
  <c r="AA77" i="23"/>
  <c r="G76" i="23"/>
  <c r="Q46" i="22"/>
  <c r="P54" i="22"/>
  <c r="P51" i="22"/>
  <c r="Q47" i="22"/>
  <c r="Q42" i="22"/>
  <c r="P47" i="22"/>
  <c r="P42" i="22"/>
  <c r="P37" i="22"/>
  <c r="Q48" i="22"/>
  <c r="Q43" i="22"/>
  <c r="P32" i="22"/>
  <c r="P27" i="22"/>
  <c r="Q52" i="22"/>
  <c r="P48" i="22"/>
  <c r="P52" i="22"/>
  <c r="Q49" i="22"/>
  <c r="Q53" i="22"/>
  <c r="Q45" i="22"/>
  <c r="P53" i="22"/>
  <c r="Q50" i="22"/>
  <c r="P45" i="22"/>
  <c r="P40" i="22"/>
  <c r="Q35" i="22"/>
  <c r="Q25" i="22"/>
  <c r="Q19" i="22"/>
  <c r="P46" i="22"/>
  <c r="P39" i="22"/>
  <c r="Q36" i="22"/>
  <c r="Q34" i="22"/>
  <c r="Q54" i="22"/>
  <c r="Q44" i="22"/>
  <c r="P36" i="22"/>
  <c r="P34" i="22"/>
  <c r="Q32" i="22"/>
  <c r="Q23" i="22"/>
  <c r="P9" i="22"/>
  <c r="P44" i="22"/>
  <c r="Q30" i="22"/>
  <c r="Q28" i="22"/>
  <c r="Q26" i="22"/>
  <c r="Q17" i="22"/>
  <c r="P23" i="22"/>
  <c r="Q20" i="22"/>
  <c r="Q13" i="22"/>
  <c r="Q51" i="22"/>
  <c r="Q41" i="22"/>
  <c r="P38" i="22"/>
  <c r="Q14" i="22"/>
  <c r="P41" i="22"/>
  <c r="Q24" i="22"/>
  <c r="P14" i="22"/>
  <c r="P10" i="22"/>
  <c r="P43" i="22"/>
  <c r="P35" i="22"/>
  <c r="Q33" i="22"/>
  <c r="P33" i="22"/>
  <c r="Q31" i="22"/>
  <c r="P21" i="22"/>
  <c r="Q18" i="22"/>
  <c r="P15" i="22"/>
  <c r="Q40" i="22"/>
  <c r="P31" i="22"/>
  <c r="Q29" i="22"/>
  <c r="P18" i="22"/>
  <c r="P49" i="22"/>
  <c r="Q37" i="22"/>
  <c r="P29" i="22"/>
  <c r="Q27" i="22"/>
  <c r="Q16" i="22"/>
  <c r="P11" i="22"/>
  <c r="P8" i="22"/>
  <c r="P22" i="22"/>
  <c r="P25" i="22"/>
  <c r="Q22" i="22"/>
  <c r="P16" i="22"/>
  <c r="P50" i="22"/>
  <c r="Q39" i="22"/>
  <c r="P19" i="22"/>
  <c r="P13" i="22"/>
  <c r="P20" i="22"/>
  <c r="P17" i="22"/>
  <c r="P28" i="22"/>
  <c r="Q21" i="22"/>
  <c r="Q12" i="22"/>
  <c r="P12" i="22"/>
  <c r="Q38" i="22"/>
  <c r="P26" i="22"/>
  <c r="P24" i="22"/>
  <c r="Q15" i="22"/>
  <c r="Q11" i="22"/>
  <c r="P30" i="22"/>
  <c r="Q10" i="22"/>
  <c r="Q9" i="22"/>
  <c r="Q8" i="22"/>
  <c r="J55" i="22"/>
  <c r="K49" i="22"/>
  <c r="K53" i="22"/>
  <c r="K45" i="22"/>
  <c r="K40" i="22"/>
  <c r="J53" i="22"/>
  <c r="K50" i="22"/>
  <c r="J45" i="22"/>
  <c r="J40" i="22"/>
  <c r="J50" i="22"/>
  <c r="J35" i="22"/>
  <c r="K30" i="22"/>
  <c r="J25" i="22"/>
  <c r="K54" i="22"/>
  <c r="K51" i="22"/>
  <c r="J54" i="22"/>
  <c r="J51" i="22"/>
  <c r="K48" i="22"/>
  <c r="K55" i="22"/>
  <c r="K52" i="22"/>
  <c r="J48" i="22"/>
  <c r="J43" i="22"/>
  <c r="K38" i="22"/>
  <c r="K33" i="22"/>
  <c r="J22" i="22"/>
  <c r="J17" i="22"/>
  <c r="J37" i="22"/>
  <c r="J31" i="22"/>
  <c r="K29" i="22"/>
  <c r="J21" i="22"/>
  <c r="J18" i="22"/>
  <c r="J15" i="22"/>
  <c r="J29" i="22"/>
  <c r="K27" i="22"/>
  <c r="K11" i="22"/>
  <c r="K8" i="22"/>
  <c r="K46" i="22"/>
  <c r="K42" i="22"/>
  <c r="K16" i="22"/>
  <c r="J27" i="22"/>
  <c r="K25" i="22"/>
  <c r="J11" i="22"/>
  <c r="J8" i="22"/>
  <c r="K47" i="22"/>
  <c r="J46" i="22"/>
  <c r="J42" i="22"/>
  <c r="K39" i="22"/>
  <c r="J47" i="22"/>
  <c r="J39" i="22"/>
  <c r="K36" i="22"/>
  <c r="K34" i="22"/>
  <c r="J19" i="22"/>
  <c r="K44" i="22"/>
  <c r="J36" i="22"/>
  <c r="J34" i="22"/>
  <c r="K32" i="22"/>
  <c r="J12" i="22"/>
  <c r="K9" i="22"/>
  <c r="J32" i="22"/>
  <c r="J44" i="22"/>
  <c r="K41" i="22"/>
  <c r="J30" i="22"/>
  <c r="K28" i="22"/>
  <c r="K26" i="22"/>
  <c r="J23" i="22"/>
  <c r="K20" i="22"/>
  <c r="K17" i="22"/>
  <c r="K13" i="22"/>
  <c r="J41" i="22"/>
  <c r="J38" i="22"/>
  <c r="J28" i="22"/>
  <c r="J26" i="22"/>
  <c r="J20" i="22"/>
  <c r="K24" i="22"/>
  <c r="K14" i="22"/>
  <c r="K10" i="22"/>
  <c r="J49" i="22"/>
  <c r="K43" i="22"/>
  <c r="K35" i="22"/>
  <c r="J24" i="22"/>
  <c r="J14" i="22"/>
  <c r="J10" i="22"/>
  <c r="J52" i="22"/>
  <c r="K37" i="22"/>
  <c r="J33" i="22"/>
  <c r="K31" i="22"/>
  <c r="J16" i="22"/>
  <c r="K23" i="22"/>
  <c r="K19" i="22"/>
  <c r="J13" i="22"/>
  <c r="K21" i="22"/>
  <c r="J9" i="22"/>
  <c r="K22" i="22"/>
  <c r="K18" i="22"/>
  <c r="K12" i="22"/>
  <c r="K15" i="22"/>
  <c r="G77" i="23" l="1"/>
  <c r="H77" i="23"/>
  <c r="J77" i="23" s="1"/>
  <c r="S77" i="23"/>
  <c r="AA78" i="23"/>
  <c r="AF37" i="23" s="1" a="1"/>
  <c r="AF37" i="23" s="1"/>
  <c r="K78" i="23"/>
  <c r="AF49" i="23" s="1" a="1"/>
  <c r="AF49" i="23" s="1"/>
  <c r="G78" i="23" l="1"/>
  <c r="AF50" i="23" a="1"/>
  <c r="AF50" i="23" s="1"/>
  <c r="AS43" i="23" s="1"/>
  <c r="AF52" i="23"/>
  <c r="AF40" i="23"/>
  <c r="AF38" i="23" a="1"/>
  <c r="AF38" i="23" s="1"/>
  <c r="AS28" i="23" s="1"/>
  <c r="S78" i="23"/>
  <c r="AF25" i="23" s="1" a="1"/>
  <c r="AF25" i="23" s="1"/>
  <c r="H78" i="23"/>
  <c r="AF17" i="23" s="1"/>
  <c r="AC57" i="23" l="1"/>
  <c r="AB57" i="23"/>
  <c r="AC56" i="23"/>
  <c r="AB56" i="23"/>
  <c r="J78" i="23"/>
  <c r="AF13" i="23" s="1" a="1"/>
  <c r="AF13" i="23" s="1"/>
  <c r="AF18" i="23"/>
  <c r="AF26" i="23" a="1"/>
  <c r="AF26" i="23" s="1"/>
  <c r="AS18" i="23" s="1"/>
  <c r="AF28" i="23"/>
  <c r="AC54" i="23"/>
  <c r="AB54" i="23"/>
  <c r="AC50" i="23"/>
  <c r="AB50" i="23"/>
  <c r="AC46" i="23"/>
  <c r="AC42" i="23"/>
  <c r="AC53" i="23"/>
  <c r="AB46" i="23"/>
  <c r="AB42" i="23"/>
  <c r="AC38" i="23"/>
  <c r="AC34" i="23"/>
  <c r="AB53" i="23"/>
  <c r="AB38" i="23"/>
  <c r="AC49" i="23"/>
  <c r="AC45" i="23"/>
  <c r="AC41" i="23"/>
  <c r="AC52" i="23"/>
  <c r="AB49" i="23"/>
  <c r="AB45" i="23"/>
  <c r="AB41" i="23"/>
  <c r="AB52" i="23"/>
  <c r="AC37" i="23"/>
  <c r="AB33" i="23"/>
  <c r="AC48" i="23"/>
  <c r="AC44" i="23"/>
  <c r="AC40" i="23"/>
  <c r="AB37" i="23"/>
  <c r="AC29" i="23"/>
  <c r="AC55" i="23"/>
  <c r="AC51" i="23"/>
  <c r="AB48" i="23"/>
  <c r="AB44" i="23"/>
  <c r="AB40" i="23"/>
  <c r="AC32" i="23"/>
  <c r="AB29" i="23"/>
  <c r="AB47" i="23"/>
  <c r="AB36" i="23"/>
  <c r="AB16" i="23"/>
  <c r="AC27" i="23"/>
  <c r="AC23" i="23"/>
  <c r="AC19" i="23"/>
  <c r="AC12" i="23"/>
  <c r="AB51" i="23"/>
  <c r="AC43" i="23"/>
  <c r="AC28" i="23"/>
  <c r="AB27" i="23"/>
  <c r="AB23" i="23"/>
  <c r="AB19" i="23"/>
  <c r="AC15" i="23"/>
  <c r="AB12" i="23"/>
  <c r="AB43" i="23"/>
  <c r="AC33" i="23"/>
  <c r="AC30" i="23"/>
  <c r="AB28" i="23"/>
  <c r="AC26" i="23"/>
  <c r="AB15" i="23"/>
  <c r="AC36" i="23"/>
  <c r="AC35" i="23"/>
  <c r="AB30" i="23"/>
  <c r="AB26" i="23"/>
  <c r="AC22" i="23"/>
  <c r="AC11" i="23"/>
  <c r="AB35" i="23"/>
  <c r="AC31" i="23"/>
  <c r="AB22" i="23"/>
  <c r="AC18" i="23"/>
  <c r="AB11" i="23"/>
  <c r="AB55" i="23"/>
  <c r="AB31" i="23"/>
  <c r="AC25" i="23"/>
  <c r="AB18" i="23"/>
  <c r="AC14" i="23"/>
  <c r="AC10" i="23"/>
  <c r="AB25" i="23"/>
  <c r="AC21" i="23"/>
  <c r="AB14" i="23"/>
  <c r="AB10" i="23"/>
  <c r="AB9" i="23"/>
  <c r="AC39" i="23"/>
  <c r="AB21" i="23"/>
  <c r="AC17" i="23"/>
  <c r="AC9" i="23"/>
  <c r="AB39" i="23"/>
  <c r="AB34" i="23"/>
  <c r="AC24" i="23"/>
  <c r="AB17" i="23"/>
  <c r="AB32" i="23"/>
  <c r="AB24" i="23"/>
  <c r="AC20" i="23"/>
  <c r="AC13" i="23"/>
  <c r="AC8" i="23"/>
  <c r="AC47" i="23"/>
  <c r="AC16" i="23"/>
  <c r="AB20" i="23"/>
  <c r="AB8" i="23"/>
  <c r="AB13" i="23"/>
  <c r="U56" i="23" l="1"/>
  <c r="T56" i="23"/>
  <c r="T57" i="23"/>
  <c r="U57" i="23"/>
  <c r="T53" i="23"/>
  <c r="U49" i="23"/>
  <c r="U45" i="23"/>
  <c r="U52" i="23"/>
  <c r="T49" i="23"/>
  <c r="T45" i="23"/>
  <c r="T41" i="23"/>
  <c r="T52" i="23"/>
  <c r="U37" i="23"/>
  <c r="T33" i="23"/>
  <c r="U48" i="23"/>
  <c r="U44" i="23"/>
  <c r="U40" i="23"/>
  <c r="U55" i="23"/>
  <c r="U51" i="23"/>
  <c r="T48" i="23"/>
  <c r="T44" i="23"/>
  <c r="T40" i="23"/>
  <c r="U32" i="23"/>
  <c r="T55" i="23"/>
  <c r="T51" i="23"/>
  <c r="U47" i="23"/>
  <c r="U43" i="23"/>
  <c r="U39" i="23"/>
  <c r="T36" i="23"/>
  <c r="U54" i="23"/>
  <c r="T47" i="23"/>
  <c r="T43" i="23"/>
  <c r="T39" i="23"/>
  <c r="U31" i="23"/>
  <c r="U28" i="23"/>
  <c r="T54" i="23"/>
  <c r="U50" i="23"/>
  <c r="U35" i="23"/>
  <c r="T31" i="23"/>
  <c r="T28" i="23"/>
  <c r="T42" i="23"/>
  <c r="U34" i="23"/>
  <c r="U22" i="23"/>
  <c r="U11" i="23"/>
  <c r="U41" i="23"/>
  <c r="T37" i="23"/>
  <c r="T34" i="23"/>
  <c r="T22" i="23"/>
  <c r="U18" i="23"/>
  <c r="T11" i="23"/>
  <c r="U10" i="23"/>
  <c r="U25" i="23"/>
  <c r="T18" i="23"/>
  <c r="U14" i="23"/>
  <c r="T25" i="23"/>
  <c r="U21" i="23"/>
  <c r="T14" i="23"/>
  <c r="T10" i="23"/>
  <c r="T32" i="23"/>
  <c r="T21" i="23"/>
  <c r="U17" i="23"/>
  <c r="U9" i="23"/>
  <c r="U36" i="23"/>
  <c r="U24" i="23"/>
  <c r="T17" i="23"/>
  <c r="T9" i="23"/>
  <c r="U8" i="23"/>
  <c r="T24" i="23"/>
  <c r="U20" i="23"/>
  <c r="U13" i="23"/>
  <c r="T8" i="23"/>
  <c r="T20" i="23"/>
  <c r="U16" i="23"/>
  <c r="T13" i="23"/>
  <c r="U38" i="23"/>
  <c r="T35" i="23"/>
  <c r="U33" i="23"/>
  <c r="U27" i="23"/>
  <c r="T16" i="23"/>
  <c r="T50" i="23"/>
  <c r="U46" i="23"/>
  <c r="T38" i="23"/>
  <c r="U30" i="23"/>
  <c r="U29" i="23"/>
  <c r="T27" i="23"/>
  <c r="U23" i="23"/>
  <c r="U19" i="23"/>
  <c r="U12" i="23"/>
  <c r="T46" i="23"/>
  <c r="T30" i="23"/>
  <c r="T29" i="23"/>
  <c r="U26" i="23"/>
  <c r="T23" i="23"/>
  <c r="T19" i="23"/>
  <c r="U15" i="23"/>
  <c r="T12" i="23"/>
  <c r="U53" i="23"/>
  <c r="U42" i="23"/>
  <c r="T26" i="23"/>
  <c r="T15" i="23"/>
  <c r="AF14" i="23" a="1"/>
  <c r="AF14" i="23" s="1"/>
  <c r="AF16" i="23"/>
  <c r="M56" i="23" l="1"/>
  <c r="L56" i="23"/>
  <c r="L57" i="23"/>
  <c r="M57" i="23"/>
  <c r="L55" i="23"/>
  <c r="M55" i="23"/>
  <c r="M51" i="23"/>
  <c r="L51" i="23"/>
  <c r="M47" i="23"/>
  <c r="M43" i="23"/>
  <c r="M39" i="23"/>
  <c r="M54" i="23"/>
  <c r="L47" i="23"/>
  <c r="L43" i="23"/>
  <c r="L39" i="23"/>
  <c r="L54" i="23"/>
  <c r="M50" i="23"/>
  <c r="L50" i="23"/>
  <c r="M46" i="23"/>
  <c r="M42" i="23"/>
  <c r="L35" i="23"/>
  <c r="M53" i="23"/>
  <c r="L46" i="23"/>
  <c r="L42" i="23"/>
  <c r="M38" i="23"/>
  <c r="L53" i="23"/>
  <c r="L38" i="23"/>
  <c r="L34" i="23"/>
  <c r="M49" i="23"/>
  <c r="M45" i="23"/>
  <c r="M41" i="23"/>
  <c r="L30" i="23"/>
  <c r="M52" i="23"/>
  <c r="L49" i="23"/>
  <c r="L45" i="23"/>
  <c r="L41" i="23"/>
  <c r="M33" i="23"/>
  <c r="M24" i="23"/>
  <c r="L17" i="23"/>
  <c r="L9" i="23"/>
  <c r="L8" i="23"/>
  <c r="L33" i="23"/>
  <c r="L24" i="23"/>
  <c r="M20" i="23"/>
  <c r="M13" i="23"/>
  <c r="M35" i="23"/>
  <c r="M29" i="23"/>
  <c r="L20" i="23"/>
  <c r="M16" i="23"/>
  <c r="L13" i="23"/>
  <c r="M40" i="23"/>
  <c r="M37" i="23"/>
  <c r="L29" i="23"/>
  <c r="M28" i="23"/>
  <c r="M27" i="23"/>
  <c r="L16" i="23"/>
  <c r="L40" i="23"/>
  <c r="L37" i="23"/>
  <c r="M31" i="23"/>
  <c r="M30" i="23"/>
  <c r="L28" i="23"/>
  <c r="L27" i="23"/>
  <c r="M23" i="23"/>
  <c r="M19" i="23"/>
  <c r="M12" i="23"/>
  <c r="L31" i="23"/>
  <c r="M26" i="23"/>
  <c r="L23" i="23"/>
  <c r="L19" i="23"/>
  <c r="M15" i="23"/>
  <c r="L12" i="23"/>
  <c r="M34" i="23"/>
  <c r="L26" i="23"/>
  <c r="L15" i="23"/>
  <c r="M10" i="23"/>
  <c r="M48" i="23"/>
  <c r="M22" i="23"/>
  <c r="M11" i="23"/>
  <c r="L48" i="23"/>
  <c r="M32" i="23"/>
  <c r="L22" i="23"/>
  <c r="M18" i="23"/>
  <c r="L11" i="23"/>
  <c r="M36" i="23"/>
  <c r="L32" i="23"/>
  <c r="M25" i="23"/>
  <c r="L18" i="23"/>
  <c r="M14" i="23"/>
  <c r="M44" i="23"/>
  <c r="L36" i="23"/>
  <c r="L25" i="23"/>
  <c r="M21" i="23"/>
  <c r="L14" i="23"/>
  <c r="L10" i="23"/>
  <c r="L52" i="23"/>
  <c r="L44" i="23"/>
  <c r="M17" i="23"/>
  <c r="M8" i="23"/>
  <c r="M9" i="23"/>
  <c r="L2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tc={9245F79D-0A65-47DF-94F6-E3B4785505E5}</author>
    <author>tc={508682D8-E4CA-4254-BC8F-0BEE1BE81BAD}</author>
    <author>tc={060E0141-247F-4A90-AA8B-0CA71CEA93DC}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3" authorId="0" shapeId="0" xr:uid="{9245F79D-0A65-47DF-94F6-E3B4785505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1" shapeId="0" xr:uid="{508682D8-E4CA-4254-BC8F-0BEE1BE81BA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2" shapeId="0" xr:uid="{060E0141-247F-4A90-AA8B-0CA71CEA93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<sst xmlns="http://schemas.openxmlformats.org/spreadsheetml/2006/main" count="4546" uniqueCount="151">
  <si>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</si>
  <si>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</si>
  <si>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</si>
  <si>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</si>
  <si>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</si>
  <si>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</si>
  <si>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</si>
  <si>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</si>
  <si>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</si>
  <si>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</si>
  <si>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</si>
  <si>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</si>
  <si>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</si>
  <si>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</si>
  <si>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</si>
  <si>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</si>
  <si>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</si>
  <si>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</si>
  <si>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</si>
  <si>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</si>
  <si>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</si>
  <si>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</si>
  <si>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</si>
  <si>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</si>
  <si>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</si>
  <si>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</si>
  <si>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</si>
  <si>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</si>
  <si>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</si>
  <si>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</si>
  <si>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</si>
  <si>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</si>
  <si>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</si>
  <si>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</si>
  <si>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</si>
  <si>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</si>
  <si>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</si>
  <si>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</si>
  <si>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</si>
  <si>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</si>
  <si>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</si>
  <si>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</si>
  <si>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</si>
  <si>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</si>
  <si>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</si>
  <si>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</si>
  <si>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</si>
  <si>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</si>
  <si>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</si>
  <si>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</si>
  <si>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</si>
  <si>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</si>
  <si>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</si>
  <si>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</si>
  <si>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</si>
  <si>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</si>
  <si>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</si>
  <si>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</si>
  <si>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</si>
  <si>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</si>
  <si>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</si>
  <si>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</si>
  <si>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</si>
  <si>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</si>
  <si>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</si>
  <si>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</si>
  <si>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</si>
  <si>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</si>
  <si>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</si>
  <si>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</si>
  <si>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</si>
  <si>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</si>
  <si>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</si>
  <si>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</si>
  <si>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</si>
  <si>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</si>
  <si>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</si>
  <si>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</si>
  <si>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</si>
  <si>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</si>
  <si>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</si>
  <si>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</si>
  <si>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</si>
  <si>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</si>
  <si>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</si>
  <si>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</si>
  <si>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</si>
  <si>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</si>
  <si>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</si>
  <si>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</si>
  <si>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</si>
  <si>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</si>
  <si>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</si>
  <si>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</si>
  <si>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</si>
  <si>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</si>
  <si>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</si>
  <si>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</si>
  <si>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</si>
  <si>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</si>
  <si>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</si>
  <si>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</si>
  <si>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</si>
  <si>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</si>
  <si>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</si>
  <si>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</si>
  <si>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</si>
  <si>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</si>
  <si>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</si>
  <si>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</si>
  <si>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</si>
  <si>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</si>
  <si>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</si>
  <si>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</si>
  <si>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</si>
  <si>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</si>
  <si>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</si>
  <si>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</si>
  <si>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</si>
  <si>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</si>
  <si>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</si>
  <si>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</si>
  <si>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</si>
  <si>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</si>
  <si>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</si>
  <si>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</si>
  <si>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</si>
  <si>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</si>
  <si>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</si>
  <si>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</si>
  <si>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</si>
  <si>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t0=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</si>
  <si>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</si>
  <si>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</si>
  <si>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</si>
  <si>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</si>
  <si>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</si>
  <si>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</si>
  <si>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</si>
  <si>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</si>
  <si>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Italy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</si>
  <si>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</si>
  <si>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</si>
  <si>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</si>
  <si>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</si>
  <si>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</si>
  <si>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</si>
  <si>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</si>
  <si>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</si>
  <si>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Modeling function: Gompertz</t>
  </si>
  <si>
    <t>Solver method: GRG2 non linear engine - option: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</si>
</sst>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4" borderId="0" applyNumberFormat="0" applyBorder="0" applyAlignment="0" applyProtection="0"/>
  </cellStyleXfs>
  <cellXfs count="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5" fillId="0" borderId="10" xfId="5" applyAlignment="1">
      <alignment horizontal="left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8" fillId="2" borderId="0" xfId="0" applyFont="1" applyFill="1"/>
    <xf numFmtId="1" fontId="17" fillId="2" borderId="0" xfId="0" applyNumberFormat="1" applyFont="1" applyFill="1"/>
    <xf numFmtId="0" fontId="17" fillId="0" borderId="0" xfId="0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1" fontId="1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9" fillId="0" borderId="0" xfId="0" applyFont="1"/>
    <xf numFmtId="1" fontId="9" fillId="0" borderId="0" xfId="0" applyNumberFormat="1" applyFont="1"/>
    <xf numFmtId="0" fontId="14" fillId="0" borderId="9" xfId="4"/>
    <xf numFmtId="0" fontId="15" fillId="0" borderId="0" xfId="0" applyFont="1" applyAlignment="1">
      <alignment wrapText="1"/>
    </xf>
    <xf numFmtId="1" fontId="16" fillId="4" borderId="0" xfId="6" applyNumberFormat="1" applyAlignment="1">
      <alignment horizontal="center"/>
    </xf>
    <xf numFmtId="165" fontId="17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166" fontId="15" fillId="0" borderId="0" xfId="0" applyNumberFormat="1" applyFont="1"/>
    <xf numFmtId="166" fontId="11" fillId="0" borderId="0" xfId="0" applyNumberFormat="1" applyFont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1" fontId="21" fillId="0" borderId="0" xfId="0" applyNumberFormat="1" applyFont="1"/>
    <xf numFmtId="166" fontId="21" fillId="0" borderId="0" xfId="0" applyNumberFormat="1" applyFont="1"/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20" fillId="0" borderId="3" xfId="0" applyNumberFormat="1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164" fontId="9" fillId="0" borderId="3" xfId="0" applyNumberFormat="1" applyFont="1" applyFill="1" applyBorder="1"/>
    <xf numFmtId="0" fontId="9" fillId="0" borderId="3" xfId="0" applyFont="1" applyFill="1" applyBorder="1"/>
    <xf numFmtId="0" fontId="9" fillId="0" borderId="7" xfId="0" applyFont="1" applyFill="1" applyBorder="1"/>
    <xf numFmtId="164" fontId="9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20" fillId="5" borderId="3" xfId="0" applyNumberFormat="1" applyFont="1" applyFill="1" applyBorder="1"/>
    <xf numFmtId="0" fontId="20" fillId="5" borderId="3" xfId="0" applyFont="1" applyFill="1" applyBorder="1"/>
    <xf numFmtId="164" fontId="0" fillId="5" borderId="12" xfId="0" applyNumberForma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5" fillId="0" borderId="10" xfId="5" applyAlignment="1">
      <alignment horizontal="left" vertical="center"/>
    </xf>
    <xf numFmtId="0" fontId="0" fillId="0" borderId="0" xfId="0"/>
    <xf numFmtId="0" fontId="0" fillId="0" borderId="6" xfId="0" applyBorder="1"/>
    <xf numFmtId="164" fontId="9" fillId="0" borderId="7" xfId="0" applyNumberFormat="1" applyFont="1" applyFill="1" applyBorder="1" applyAlignment="1">
      <alignment horizontal="center" vertical="center" textRotation="255" wrapText="1"/>
    </xf>
    <xf numFmtId="0" fontId="12" fillId="0" borderId="0" xfId="2"/>
    <xf numFmtId="0" fontId="0" fillId="0" borderId="0" xfId="0"/>
    <xf numFmtId="0" fontId="15" fillId="0" borderId="11" xfId="5" applyBorder="1" applyAlignment="1">
      <alignment horizontal="left" vertical="center"/>
    </xf>
    <xf numFmtId="0" fontId="13" fillId="0" borderId="8" xfId="3"/>
    <xf numFmtId="0" fontId="14" fillId="0" borderId="9" xfId="4"/>
    <xf numFmtId="0" fontId="15" fillId="0" borderId="10" xfId="5" applyAlignment="1">
      <alignment horizontal="left" vertical="center"/>
    </xf>
    <xf numFmtId="164" fontId="9" fillId="5" borderId="6" xfId="0" applyNumberFormat="1" applyFont="1" applyFill="1" applyBorder="1" applyAlignment="1">
      <alignment textRotation="255" wrapText="1"/>
    </xf>
    <xf numFmtId="164" fontId="9" fillId="5" borderId="3" xfId="0" applyNumberFormat="1" applyFont="1" applyFill="1" applyBorder="1" applyAlignment="1">
      <alignment textRotation="255" wrapText="1"/>
    </xf>
    <xf numFmtId="164" fontId="9" fillId="5" borderId="4" xfId="0" applyNumberFormat="1" applyFont="1" applyFill="1" applyBorder="1" applyAlignment="1">
      <alignment textRotation="255" wrapText="1"/>
    </xf>
  </cellXfs>
  <cellStyles count="7"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57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Gompertz'!$F$7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Gompertz'!$F$8:$F$78</c:f>
              <c:numCache>
                <c:formatCode>0</c:formatCode>
                <c:ptCount val="71"/>
                <c:pt idx="0">
                  <c:v>5.3504538076167098E-2</c:v>
                </c:pt>
                <c:pt idx="1">
                  <c:v>0.14517199639100292</c:v>
                </c:pt>
                <c:pt idx="2">
                  <c:v>0.36469368092836751</c:v>
                </c:pt>
                <c:pt idx="3">
                  <c:v>0.85336890276531974</c:v>
                </c:pt>
                <c:pt idx="4">
                  <c:v>1.8703308462404689</c:v>
                </c:pt>
                <c:pt idx="5">
                  <c:v>3.8591942016392489</c:v>
                </c:pt>
                <c:pt idx="6">
                  <c:v>7.532200052306016</c:v>
                </c:pt>
                <c:pt idx="7">
                  <c:v>13.966385705327792</c:v>
                </c:pt>
                <c:pt idx="8">
                  <c:v>24.701570111093623</c:v>
                </c:pt>
                <c:pt idx="9">
                  <c:v>41.826102006630286</c:v>
                </c:pt>
                <c:pt idx="10">
                  <c:v>68.034557030127985</c:v>
                </c:pt>
                <c:pt idx="11">
                  <c:v>106.64265498681046</c:v>
                </c:pt>
                <c:pt idx="12">
                  <c:v>161.54867694186783</c:v>
                </c:pt>
                <c:pt idx="13">
                  <c:v>237.13695230479973</c:v>
                </c:pt>
                <c:pt idx="14">
                  <c:v>338.12638611191443</c:v>
                </c:pt>
                <c:pt idx="15">
                  <c:v>469.37412923872137</c:v>
                </c:pt>
                <c:pt idx="16">
                  <c:v>635.65012266407473</c:v>
                </c:pt>
                <c:pt idx="17">
                  <c:v>841.40153574454666</c:v>
                </c:pt>
                <c:pt idx="18">
                  <c:v>1090.5267542891465</c:v>
                </c:pt>
                <c:pt idx="19">
                  <c:v>1386.1767443618048</c:v>
                </c:pt>
                <c:pt idx="20">
                  <c:v>1730.597884756025</c:v>
                </c:pt>
                <c:pt idx="21">
                  <c:v>2125.0254879048057</c:v>
                </c:pt>
                <c:pt idx="22">
                  <c:v>2569.6320061629367</c:v>
                </c:pt>
                <c:pt idx="23">
                  <c:v>3063.5290313764808</c:v>
                </c:pt>
                <c:pt idx="24">
                  <c:v>3604.8181362089435</c:v>
                </c:pt>
                <c:pt idx="25">
                  <c:v>4190.6826569185832</c:v>
                </c:pt>
                <c:pt idx="26">
                  <c:v>4817.510760762766</c:v>
                </c:pt>
                <c:pt idx="27">
                  <c:v>5481.0395005519222</c:v>
                </c:pt>
                <c:pt idx="28">
                  <c:v>6176.5098522590069</c:v>
                </c:pt>
                <c:pt idx="29">
                  <c:v>6898.8237233253076</c:v>
                </c:pt>
                <c:pt idx="30">
                  <c:v>7642.6953628890005</c:v>
                </c:pt>
                <c:pt idx="31">
                  <c:v>8402.7912743264587</c:v>
                </c:pt>
                <c:pt idx="32">
                  <c:v>9173.8544379285049</c:v>
                </c:pt>
                <c:pt idx="33">
                  <c:v>9950.8102569890452</c:v>
                </c:pt>
                <c:pt idx="34">
                  <c:v>10728.853050959638</c:v>
                </c:pt>
                <c:pt idx="35">
                  <c:v>11503.513083495447</c:v>
                </c:pt>
                <c:pt idx="36">
                  <c:v>12270.705014083427</c:v>
                </c:pt>
                <c:pt idx="37">
                  <c:v>13026.75930758347</c:v>
                </c:pt>
                <c:pt idx="38">
                  <c:v>13768.438551271222</c:v>
                </c:pt>
                <c:pt idx="39">
                  <c:v>14492.940848218244</c:v>
                </c:pt>
                <c:pt idx="40">
                  <c:v>15197.892517262986</c:v>
                </c:pt>
                <c:pt idx="41">
                  <c:v>15881.332271254396</c:v>
                </c:pt>
                <c:pt idx="42">
                  <c:v>16541.688901443184</c:v>
                </c:pt>
                <c:pt idx="43">
                  <c:v>17177.754296953961</c:v>
                </c:pt>
                <c:pt idx="44">
                  <c:v>17788.653398966337</c:v>
                </c:pt>
                <c:pt idx="45">
                  <c:v>18373.812448979967</c:v>
                </c:pt>
                <c:pt idx="46">
                  <c:v>18932.926653777467</c:v>
                </c:pt>
                <c:pt idx="47">
                  <c:v>19465.928166519523</c:v>
                </c:pt>
                <c:pt idx="48">
                  <c:v>19972.95508027076</c:v>
                </c:pt>
                <c:pt idx="49">
                  <c:v>20454.321950732621</c:v>
                </c:pt>
                <c:pt idx="50">
                  <c:v>20910.492210415465</c:v>
                </c:pt>
                <c:pt idx="51">
                  <c:v>21342.052706676281</c:v>
                </c:pt>
                <c:pt idx="52">
                  <c:v>21749.690489645494</c:v>
                </c:pt>
                <c:pt idx="53">
                  <c:v>22134.171891038735</c:v>
                </c:pt>
                <c:pt idx="54">
                  <c:v>22496.323868798216</c:v>
                </c:pt>
                <c:pt idx="55">
                  <c:v>22837.017542892609</c:v>
                </c:pt>
                <c:pt idx="56">
                  <c:v>23157.153811911325</c:v>
                </c:pt>
                <c:pt idx="57">
                  <c:v>23457.650915944036</c:v>
                </c:pt>
                <c:pt idx="58">
                  <c:v>23739.433796470432</c:v>
                </c:pt>
                <c:pt idx="59">
                  <c:v>24003.42509667277</c:v>
                </c:pt>
                <c:pt idx="60">
                  <c:v>24250.537644051888</c:v>
                </c:pt>
                <c:pt idx="61">
                  <c:v>24481.668260054943</c:v>
                </c:pt>
                <c:pt idx="62">
                  <c:v>24697.692747422981</c:v>
                </c:pt>
                <c:pt idx="63">
                  <c:v>24899.461914166437</c:v>
                </c:pt>
                <c:pt idx="64">
                  <c:v>25087.79850269392</c:v>
                </c:pt>
                <c:pt idx="65">
                  <c:v>25263.494903036921</c:v>
                </c:pt>
                <c:pt idx="66">
                  <c:v>25427.311539852213</c:v>
                </c:pt>
                <c:pt idx="67">
                  <c:v>25579.975833585413</c:v>
                </c:pt>
                <c:pt idx="68">
                  <c:v>25722.181646579396</c:v>
                </c:pt>
                <c:pt idx="69">
                  <c:v>25854.589134825335</c:v>
                </c:pt>
                <c:pt idx="70">
                  <c:v>25977.824935359728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Gompertz'!$H$7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Gompertz'!$H$8:$H$78</c:f>
              <c:numCache>
                <c:formatCode>0</c:formatCode>
                <c:ptCount val="71"/>
                <c:pt idx="0">
                  <c:v>6.2324870954059523E-2</c:v>
                </c:pt>
                <c:pt idx="1">
                  <c:v>0.16393098067438877</c:v>
                </c:pt>
                <c:pt idx="2">
                  <c:v>0.40123782088608578</c:v>
                </c:pt>
                <c:pt idx="3">
                  <c:v>0.91877745580112546</c:v>
                </c:pt>
                <c:pt idx="4">
                  <c:v>1.9780613325570904</c:v>
                </c:pt>
                <c:pt idx="5">
                  <c:v>4.0223808181273757</c:v>
                </c:pt>
                <c:pt idx="6">
                  <c:v>7.7586353892943105</c:v>
                </c:pt>
                <c:pt idx="7">
                  <c:v>14.251272717011418</c:v>
                </c:pt>
                <c:pt idx="8">
                  <c:v>25.018914080488351</c:v>
                </c:pt>
                <c:pt idx="9">
                  <c:v>42.120399866999001</c:v>
                </c:pt>
                <c:pt idx="10">
                  <c:v>68.21495608905542</c:v>
                </c:pt>
                <c:pt idx="11">
                  <c:v>106.58176602470908</c:v>
                </c:pt>
                <c:pt idx="12">
                  <c:v>161.08765077787197</c:v>
                </c:pt>
                <c:pt idx="13">
                  <c:v>236.09735834644007</c:v>
                </c:pt>
                <c:pt idx="14">
                  <c:v>336.32811278309919</c:v>
                </c:pt>
                <c:pt idx="15">
                  <c:v>466.65727794471411</c:v>
                </c:pt>
                <c:pt idx="16">
                  <c:v>631.89798123985088</c:v>
                </c:pt>
                <c:pt idx="17">
                  <c:v>836.56138068880932</c:v>
                </c:pt>
                <c:pt idx="18">
                  <c:v>1084.6254867912742</c:v>
                </c:pt>
                <c:pt idx="19">
                  <c:v>1379.3291212215161</c:v>
                </c:pt>
                <c:pt idx="20">
                  <c:v>1723.0061767172228</c:v>
                </c:pt>
                <c:pt idx="21">
                  <c:v>2116.9705635957985</c:v>
                </c:pt>
                <c:pt idx="22">
                  <c:v>2561.4568961017058</c:v>
                </c:pt>
                <c:pt idx="23">
                  <c:v>3055.6168244948904</c:v>
                </c:pt>
                <c:pt idx="24">
                  <c:v>3597.5665236251257</c:v>
                </c:pt>
                <c:pt idx="25">
                  <c:v>4184.4775560770258</c:v>
                </c:pt>
                <c:pt idx="26">
                  <c:v>4812.7012736396646</c:v>
                </c:pt>
                <c:pt idx="27">
                  <c:v>5477.9160616910876</c:v>
                </c:pt>
                <c:pt idx="28">
                  <c:v>6175.2868974982839</c:v>
                </c:pt>
                <c:pt idx="29">
                  <c:v>6899.627644959839</c:v>
                </c:pt>
                <c:pt idx="30">
                  <c:v>7645.557982479113</c:v>
                </c:pt>
                <c:pt idx="31">
                  <c:v>8407.6486098488585</c:v>
                </c:pt>
                <c:pt idx="32">
                  <c:v>9180.5501950857888</c:v>
                </c:pt>
                <c:pt idx="33">
                  <c:v>9959.1032437311769</c:v>
                </c:pt>
                <c:pt idx="34">
                  <c:v>10738.427593540704</c:v>
                </c:pt>
                <c:pt idx="35">
                  <c:v>11513.991496006873</c:v>
                </c:pt>
                <c:pt idx="36">
                  <c:v>12281.66122069986</c:v>
                </c:pt>
                <c:pt idx="37">
                  <c:v>13037.732815790197</c:v>
                </c:pt>
                <c:pt idx="38">
                  <c:v>13778.948104557354</c:v>
                </c:pt>
                <c:pt idx="39">
                  <c:v>14502.497230573155</c:v>
                </c:pt>
                <c:pt idx="40">
                  <c:v>15206.010125532574</c:v>
                </c:pt>
                <c:pt idx="41">
                  <c:v>15887.539205112826</c:v>
                </c:pt>
                <c:pt idx="42">
                  <c:v>16545.535438098745</c:v>
                </c:pt>
                <c:pt idx="43">
                  <c:v>17178.819715427941</c:v>
                </c:pt>
                <c:pt idx="44">
                  <c:v>17786.551195907577</c:v>
                </c:pt>
                <c:pt idx="45">
                  <c:v>18368.194045251388</c:v>
                </c:pt>
                <c:pt idx="46">
                  <c:v>18923.483730336753</c:v>
                </c:pt>
                <c:pt idx="47">
                  <c:v>19452.3937919087</c:v>
                </c:pt>
                <c:pt idx="48">
                  <c:v>19955.103803078062</c:v>
                </c:pt>
                <c:pt idx="49">
                  <c:v>20431.969031431032</c:v>
                </c:pt>
                <c:pt idx="50">
                  <c:v>20883.492160555707</c:v>
                </c:pt>
                <c:pt idx="51">
                  <c:v>21310.297291758696</c:v>
                </c:pt>
                <c:pt idx="52">
                  <c:v>21713.106337005054</c:v>
                </c:pt>
                <c:pt idx="53">
                  <c:v>22092.717827283377</c:v>
                </c:pt>
                <c:pt idx="54">
                  <c:v>22449.98809393464</c:v>
                </c:pt>
                <c:pt idx="55">
                  <c:v>22785.814731143862</c:v>
                </c:pt>
                <c:pt idx="56">
                  <c:v>23101.122213002523</c:v>
                </c:pt>
                <c:pt idx="57">
                  <c:v>23396.849515716112</c:v>
                </c:pt>
                <c:pt idx="58">
                  <c:v>23673.939582312934</c:v>
                </c:pt>
                <c:pt idx="59">
                  <c:v>23933.330461548951</c:v>
                </c:pt>
                <c:pt idx="60">
                  <c:v>24175.947952827501</c:v>
                </c:pt>
                <c:pt idx="61">
                  <c:v>24402.699593371224</c:v>
                </c:pt>
                <c:pt idx="62">
                  <c:v>24614.469831363578</c:v>
                </c:pt>
                <c:pt idx="63">
                  <c:v>24812.116238319359</c:v>
                </c:pt>
                <c:pt idx="64">
                  <c:v>24996.466624751105</c:v>
                </c:pt>
                <c:pt idx="65">
                  <c:v>25168.316934651255</c:v>
                </c:pt>
                <c:pt idx="66">
                  <c:v>25328.429805934582</c:v>
                </c:pt>
                <c:pt idx="67">
                  <c:v>25477.533695431292</c:v>
                </c:pt>
                <c:pt idx="68">
                  <c:v>25616.322478036789</c:v>
                </c:pt>
                <c:pt idx="69">
                  <c:v>25745.455440038262</c:v>
                </c:pt>
                <c:pt idx="70">
                  <c:v>25865.557596342333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Gompertz'!$N$7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Gompertz'!$N$8:$N$78</c:f>
              <c:numCache>
                <c:formatCode>0</c:formatCode>
                <c:ptCount val="71"/>
                <c:pt idx="0">
                  <c:v>4.3472236691099932E-2</c:v>
                </c:pt>
                <c:pt idx="1">
                  <c:v>0.11761549580172699</c:v>
                </c:pt>
                <c:pt idx="2">
                  <c:v>0.29427750146640869</c:v>
                </c:pt>
                <c:pt idx="3">
                  <c:v>0.68510575374840599</c:v>
                </c:pt>
                <c:pt idx="4">
                  <c:v>1.492535500454214</c:v>
                </c:pt>
                <c:pt idx="5">
                  <c:v>3.0586060030532369</c:v>
                </c:pt>
                <c:pt idx="6">
                  <c:v>5.9243615187368217</c:v>
                </c:pt>
                <c:pt idx="7">
                  <c:v>10.894368519958226</c:v>
                </c:pt>
                <c:pt idx="8">
                  <c:v>19.09753444327124</c:v>
                </c:pt>
                <c:pt idx="9">
                  <c:v>32.033196142043089</c:v>
                </c:pt>
                <c:pt idx="10">
                  <c:v>51.591205774976558</c:v>
                </c:pt>
                <c:pt idx="11">
                  <c:v>80.036852898447648</c:v>
                </c:pt>
                <c:pt idx="12">
                  <c:v>119.95567676144898</c:v>
                </c:pt>
                <c:pt idx="13">
                  <c:v>174.15873758729072</c:v>
                </c:pt>
                <c:pt idx="14">
                  <c:v>245.55460925814447</c:v>
                </c:pt>
                <c:pt idx="15">
                  <c:v>336.99910869128377</c:v>
                </c:pt>
                <c:pt idx="16">
                  <c:v>451.13675120406083</c:v>
                </c:pt>
                <c:pt idx="17">
                  <c:v>590.24872384759908</c:v>
                </c:pt>
                <c:pt idx="18">
                  <c:v>756.12087582882214</c:v>
                </c:pt>
                <c:pt idx="19">
                  <c:v>949.94228573847738</c:v>
                </c:pt>
                <c:pt idx="20">
                  <c:v>1172.2410409883134</c:v>
                </c:pt>
                <c:pt idx="21">
                  <c:v>1422.8596597653602</c:v>
                </c:pt>
                <c:pt idx="22">
                  <c:v>1700.9687093424834</c:v>
                </c:pt>
                <c:pt idx="23">
                  <c:v>2005.1140584820232</c:v>
                </c:pt>
                <c:pt idx="24">
                  <c:v>2333.2910730480335</c:v>
                </c:pt>
                <c:pt idx="25">
                  <c:v>2683.0379627121265</c:v>
                </c:pt>
                <c:pt idx="26">
                  <c:v>3051.5403099335826</c:v>
                </c:pt>
                <c:pt idx="27">
                  <c:v>3435.7393690223466</c:v>
                </c:pt>
                <c:pt idx="28">
                  <c:v>3832.4377849928155</c:v>
                </c:pt>
                <c:pt idx="29">
                  <c:v>4238.3977248903866</c:v>
                </c:pt>
                <c:pt idx="30">
                  <c:v>4650.4278450399715</c:v>
                </c:pt>
                <c:pt idx="31">
                  <c:v>5065.4568877809234</c:v>
                </c:pt>
                <c:pt idx="32">
                  <c:v>5480.592910459045</c:v>
                </c:pt>
                <c:pt idx="33">
                  <c:v>5893.1681417605296</c:v>
                </c:pt>
                <c:pt idx="34">
                  <c:v>6300.7702161775178</c:v>
                </c:pt>
                <c:pt idx="35">
                  <c:v>6701.2610634986077</c:v>
                </c:pt>
                <c:pt idx="36">
                  <c:v>7092.7850511724246</c:v>
                </c:pt>
                <c:pt idx="37">
                  <c:v>7473.7681271252759</c:v>
                </c:pt>
                <c:pt idx="38">
                  <c:v>7842.9097263362564</c:v>
                </c:pt>
                <c:pt idx="39">
                  <c:v>8199.1691223216494</c:v>
                </c:pt>
                <c:pt idx="40">
                  <c:v>8541.7477569891562</c:v>
                </c:pt>
                <c:pt idx="41">
                  <c:v>8870.0688962144559</c:v>
                </c:pt>
                <c:pt idx="42">
                  <c:v>9183.7557554391115</c:v>
                </c:pt>
                <c:pt idx="43">
                  <c:v>9482.6090356238965</c:v>
                </c:pt>
                <c:pt idx="44">
                  <c:v>9766.5846162118996</c:v>
                </c:pt>
                <c:pt idx="45">
                  <c:v>10035.771975509855</c:v>
                </c:pt>
                <c:pt idx="46">
                  <c:v>10290.373754018397</c:v>
                </c:pt>
                <c:pt idx="47">
                  <c:v>10530.686744241868</c:v>
                </c:pt>
                <c:pt idx="48">
                  <c:v>10757.084481166796</c:v>
                </c:pt>
                <c:pt idx="49">
                  <c:v>10970.001519543579</c:v>
                </c:pt>
                <c:pt idx="50">
                  <c:v>11169.919415273589</c:v>
                </c:pt>
                <c:pt idx="51">
                  <c:v>11357.354376181407</c:v>
                </c:pt>
                <c:pt idx="52">
                  <c:v>11532.846509729623</c:v>
                </c:pt>
                <c:pt idx="53">
                  <c:v>11696.950569374603</c:v>
                </c:pt>
                <c:pt idx="54">
                  <c:v>11850.228085009712</c:v>
                </c:pt>
                <c:pt idx="55">
                  <c:v>11993.240754281633</c:v>
                </c:pt>
                <c:pt idx="56">
                  <c:v>12126.544968746239</c:v>
                </c:pt>
                <c:pt idx="57">
                  <c:v>12250.687350371532</c:v>
                </c:pt>
                <c:pt idx="58">
                  <c:v>12366.201178569814</c:v>
                </c:pt>
                <c:pt idx="59">
                  <c:v>12473.603594754932</c:v>
                </c:pt>
                <c:pt idx="60">
                  <c:v>12573.393479583379</c:v>
                </c:pt>
                <c:pt idx="61">
                  <c:v>12666.049906936771</c:v>
                </c:pt>
                <c:pt idx="62">
                  <c:v>12752.031087872436</c:v>
                </c:pt>
                <c:pt idx="63">
                  <c:v>12831.773726865969</c:v>
                </c:pt>
                <c:pt idx="64">
                  <c:v>12905.692721450512</c:v>
                </c:pt>
                <c:pt idx="65">
                  <c:v>12974.181144657654</c:v>
                </c:pt>
                <c:pt idx="66">
                  <c:v>13037.610457380744</c:v>
                </c:pt>
                <c:pt idx="67">
                  <c:v>13096.330904856668</c:v>
                </c:pt>
                <c:pt idx="68">
                  <c:v>13150.672057876076</c:v>
                </c:pt>
                <c:pt idx="69">
                  <c:v>13200.943465088909</c:v>
                </c:pt>
                <c:pt idx="70">
                  <c:v>13247.435387894844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Gompertz'!$T$7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Gompertz'!$T$8:$T$78</c:f>
              <c:numCache>
                <c:formatCode>0</c:formatCode>
                <c:ptCount val="71"/>
                <c:pt idx="0">
                  <c:v>1.0032301385067168E-2</c:v>
                </c:pt>
                <c:pt idx="1">
                  <c:v>2.7556500589275945E-2</c:v>
                </c:pt>
                <c:pt idx="2">
                  <c:v>7.0416179461958842E-2</c:v>
                </c:pt>
                <c:pt idx="3">
                  <c:v>0.16826314901691369</c:v>
                </c:pt>
                <c:pt idx="4">
                  <c:v>0.37779534578625473</c:v>
                </c:pt>
                <c:pt idx="5">
                  <c:v>0.80058819858601205</c:v>
                </c:pt>
                <c:pt idx="6">
                  <c:v>1.607838533569194</c:v>
                </c:pt>
                <c:pt idx="7">
                  <c:v>3.0720171853695648</c:v>
                </c:pt>
                <c:pt idx="8">
                  <c:v>5.6040356678223828</c:v>
                </c:pt>
                <c:pt idx="9">
                  <c:v>9.7929058645871976</c:v>
                </c:pt>
                <c:pt idx="10">
                  <c:v>16.44335125515143</c:v>
                </c:pt>
                <c:pt idx="11">
                  <c:v>26.605802088362804</c:v>
                </c:pt>
                <c:pt idx="12">
                  <c:v>41.593000180418834</c:v>
                </c:pt>
                <c:pt idx="13">
                  <c:v>62.978214717509012</c:v>
                </c:pt>
                <c:pt idx="14">
                  <c:v>92.571776853769961</c:v>
                </c:pt>
                <c:pt idx="15">
                  <c:v>132.37502054743757</c:v>
                </c:pt>
                <c:pt idx="16">
                  <c:v>184.51337146001387</c:v>
                </c:pt>
                <c:pt idx="17">
                  <c:v>251.15281189694761</c:v>
                </c:pt>
                <c:pt idx="18">
                  <c:v>334.40587846032435</c:v>
                </c:pt>
                <c:pt idx="19">
                  <c:v>436.2344586233275</c:v>
                </c:pt>
                <c:pt idx="20">
                  <c:v>558.35684376771167</c:v>
                </c:pt>
                <c:pt idx="21">
                  <c:v>702.16582813944535</c:v>
                </c:pt>
                <c:pt idx="22">
                  <c:v>868.66329682045318</c:v>
                </c:pt>
                <c:pt idx="23">
                  <c:v>1058.4149728944576</c:v>
                </c:pt>
                <c:pt idx="24">
                  <c:v>1271.5270631609098</c:v>
                </c:pt>
                <c:pt idx="25">
                  <c:v>1507.6446942064563</c:v>
                </c:pt>
                <c:pt idx="26">
                  <c:v>1765.9704508291836</c:v>
                </c:pt>
                <c:pt idx="27">
                  <c:v>2045.3001315295755</c:v>
                </c:pt>
                <c:pt idx="28">
                  <c:v>2344.0720672661919</c:v>
                </c:pt>
                <c:pt idx="29">
                  <c:v>2660.4259984349214</c:v>
                </c:pt>
                <c:pt idx="30">
                  <c:v>2992.267517849029</c:v>
                </c:pt>
                <c:pt idx="31">
                  <c:v>3337.3343865455349</c:v>
                </c:pt>
                <c:pt idx="32">
                  <c:v>3693.2615274694599</c:v>
                </c:pt>
                <c:pt idx="33">
                  <c:v>4057.6421152285152</c:v>
                </c:pt>
                <c:pt idx="34">
                  <c:v>4428.0828347821207</c:v>
                </c:pt>
                <c:pt idx="35">
                  <c:v>4802.2520199968403</c:v>
                </c:pt>
                <c:pt idx="36">
                  <c:v>5177.9199629110026</c:v>
                </c:pt>
                <c:pt idx="37">
                  <c:v>5552.9911804581952</c:v>
                </c:pt>
                <c:pt idx="38">
                  <c:v>5925.528824934966</c:v>
                </c:pt>
                <c:pt idx="39">
                  <c:v>6293.7717258965949</c:v>
                </c:pt>
                <c:pt idx="40">
                  <c:v>6656.1447602738308</c:v>
                </c:pt>
                <c:pt idx="41">
                  <c:v>7011.2633750399391</c:v>
                </c:pt>
                <c:pt idx="42">
                  <c:v>7357.933146004073</c:v>
                </c:pt>
                <c:pt idx="43">
                  <c:v>7695.1452613300635</c:v>
                </c:pt>
                <c:pt idx="44">
                  <c:v>8022.0687827544352</c:v>
                </c:pt>
                <c:pt idx="45">
                  <c:v>8338.0404734701133</c:v>
                </c:pt>
                <c:pt idx="46">
                  <c:v>8642.5528997590718</c:v>
                </c:pt>
                <c:pt idx="47">
                  <c:v>8935.241422277657</c:v>
                </c:pt>
                <c:pt idx="48">
                  <c:v>9215.8705991039624</c:v>
                </c:pt>
                <c:pt idx="49">
                  <c:v>9484.320431189044</c:v>
                </c:pt>
                <c:pt idx="50">
                  <c:v>9740.5727951418758</c:v>
                </c:pt>
                <c:pt idx="51">
                  <c:v>9984.6983304948735</c:v>
                </c:pt>
                <c:pt idx="52">
                  <c:v>10216.843979915871</c:v>
                </c:pt>
                <c:pt idx="53">
                  <c:v>10437.221321664132</c:v>
                </c:pt>
                <c:pt idx="54">
                  <c:v>10646.095783788502</c:v>
                </c:pt>
                <c:pt idx="55">
                  <c:v>10843.776788610974</c:v>
                </c:pt>
                <c:pt idx="56">
                  <c:v>11030.608843165088</c:v>
                </c:pt>
                <c:pt idx="57">
                  <c:v>11206.963565572503</c:v>
                </c:pt>
                <c:pt idx="58">
                  <c:v>11373.232617900616</c:v>
                </c:pt>
                <c:pt idx="59">
                  <c:v>11529.821501917839</c:v>
                </c:pt>
                <c:pt idx="60">
                  <c:v>11677.144164468509</c:v>
                </c:pt>
                <c:pt idx="61">
                  <c:v>11815.618353118172</c:v>
                </c:pt>
                <c:pt idx="62">
                  <c:v>11945.661659550547</c:v>
                </c:pt>
                <c:pt idx="63">
                  <c:v>12067.688187300468</c:v>
                </c:pt>
                <c:pt idx="64">
                  <c:v>12182.10578124341</c:v>
                </c:pt>
                <c:pt idx="65">
                  <c:v>12289.313758379267</c:v>
                </c:pt>
                <c:pt idx="66">
                  <c:v>12389.701082471469</c:v>
                </c:pt>
                <c:pt idx="67">
                  <c:v>12483.644928728747</c:v>
                </c:pt>
                <c:pt idx="68">
                  <c:v>12571.509588703322</c:v>
                </c:pt>
                <c:pt idx="69">
                  <c:v>12653.645669736426</c:v>
                </c:pt>
                <c:pt idx="70">
                  <c:v>12730.389547464883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Gompertz'!$P$7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Gompertz'!$P$8:$P$78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178.59295857991566</c:v>
                      </c:pt>
                      <c:pt idx="1">
                        <c:v>178.66710183902629</c:v>
                      </c:pt>
                      <c:pt idx="2">
                        <c:v>178.84376384469098</c:v>
                      </c:pt>
                      <c:pt idx="3">
                        <c:v>179.23459209697299</c:v>
                      </c:pt>
                      <c:pt idx="4">
                        <c:v>180.04202184367878</c:v>
                      </c:pt>
                      <c:pt idx="5">
                        <c:v>181.6080923462778</c:v>
                      </c:pt>
                      <c:pt idx="6">
                        <c:v>184.47384786196139</c:v>
                      </c:pt>
                      <c:pt idx="7">
                        <c:v>189.44385486318279</c:v>
                      </c:pt>
                      <c:pt idx="8">
                        <c:v>197.6470207864958</c:v>
                      </c:pt>
                      <c:pt idx="9">
                        <c:v>210.58268248526767</c:v>
                      </c:pt>
                      <c:pt idx="10">
                        <c:v>230.14069211820112</c:v>
                      </c:pt>
                      <c:pt idx="11">
                        <c:v>258.58633924167225</c:v>
                      </c:pt>
                      <c:pt idx="12">
                        <c:v>298.50516310467356</c:v>
                      </c:pt>
                      <c:pt idx="13">
                        <c:v>352.70822393051526</c:v>
                      </c:pt>
                      <c:pt idx="14">
                        <c:v>424.10409560136907</c:v>
                      </c:pt>
                      <c:pt idx="15">
                        <c:v>515.54859503450837</c:v>
                      </c:pt>
                      <c:pt idx="16">
                        <c:v>629.68623754728537</c:v>
                      </c:pt>
                      <c:pt idx="17">
                        <c:v>768.79821019082362</c:v>
                      </c:pt>
                      <c:pt idx="18">
                        <c:v>934.67036217204668</c:v>
                      </c:pt>
                      <c:pt idx="19">
                        <c:v>1128.491772081702</c:v>
                      </c:pt>
                      <c:pt idx="20">
                        <c:v>1350.790527331538</c:v>
                      </c:pt>
                      <c:pt idx="21">
                        <c:v>1601.4091461085848</c:v>
                      </c:pt>
                      <c:pt idx="22">
                        <c:v>1879.518195685708</c:v>
                      </c:pt>
                      <c:pt idx="23">
                        <c:v>2183.6635448252478</c:v>
                      </c:pt>
                      <c:pt idx="24">
                        <c:v>2511.840559391258</c:v>
                      </c:pt>
                      <c:pt idx="25">
                        <c:v>2861.587449055351</c:v>
                      </c:pt>
                      <c:pt idx="26">
                        <c:v>3230.0897962768072</c:v>
                      </c:pt>
                      <c:pt idx="27">
                        <c:v>3614.2888553655712</c:v>
                      </c:pt>
                      <c:pt idx="28">
                        <c:v>4010.9872713360401</c:v>
                      </c:pt>
                      <c:pt idx="29">
                        <c:v>4416.9472112336116</c:v>
                      </c:pt>
                      <c:pt idx="30">
                        <c:v>4828.9773313831965</c:v>
                      </c:pt>
                      <c:pt idx="31">
                        <c:v>5244.0063741241484</c:v>
                      </c:pt>
                      <c:pt idx="32">
                        <c:v>5659.14239680227</c:v>
                      </c:pt>
                      <c:pt idx="33">
                        <c:v>6071.7176281037546</c:v>
                      </c:pt>
                      <c:pt idx="34">
                        <c:v>6479.3197025207428</c:v>
                      </c:pt>
                      <c:pt idx="35">
                        <c:v>6879.8105498418327</c:v>
                      </c:pt>
                      <c:pt idx="36">
                        <c:v>7271.3345375156496</c:v>
                      </c:pt>
                      <c:pt idx="37">
                        <c:v>7652.3176134685009</c:v>
                      </c:pt>
                      <c:pt idx="38">
                        <c:v>8021.4592126794814</c:v>
                      </c:pt>
                      <c:pt idx="39">
                        <c:v>8377.7186086648744</c:v>
                      </c:pt>
                      <c:pt idx="40">
                        <c:v>8720.2972433323812</c:v>
                      </c:pt>
                      <c:pt idx="41">
                        <c:v>9048.6183825576809</c:v>
                      </c:pt>
                      <c:pt idx="42">
                        <c:v>9362.3052417823365</c:v>
                      </c:pt>
                      <c:pt idx="43">
                        <c:v>9661.1585219671215</c:v>
                      </c:pt>
                      <c:pt idx="44">
                        <c:v>9945.1341025551246</c:v>
                      </c:pt>
                      <c:pt idx="45">
                        <c:v>10214.32146185308</c:v>
                      </c:pt>
                      <c:pt idx="46">
                        <c:v>10468.923240361622</c:v>
                      </c:pt>
                      <c:pt idx="47">
                        <c:v>10709.236230585093</c:v>
                      </c:pt>
                      <c:pt idx="48">
                        <c:v>10935.633967510021</c:v>
                      </c:pt>
                      <c:pt idx="49">
                        <c:v>11148.551005886804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67.005122914919895</c:v>
                      </c:pt>
                      <c:pt idx="15">
                        <c:v>158.44962234805919</c:v>
                      </c:pt>
                      <c:pt idx="16">
                        <c:v>272.58726486083629</c:v>
                      </c:pt>
                      <c:pt idx="17">
                        <c:v>411.69923750437454</c:v>
                      </c:pt>
                      <c:pt idx="18">
                        <c:v>577.57138948559759</c:v>
                      </c:pt>
                      <c:pt idx="19">
                        <c:v>771.39279939525284</c:v>
                      </c:pt>
                      <c:pt idx="20">
                        <c:v>993.6915546450889</c:v>
                      </c:pt>
                      <c:pt idx="21">
                        <c:v>1244.3101734221357</c:v>
                      </c:pt>
                      <c:pt idx="22">
                        <c:v>1522.4192229992589</c:v>
                      </c:pt>
                      <c:pt idx="23">
                        <c:v>1826.5645721387987</c:v>
                      </c:pt>
                      <c:pt idx="24">
                        <c:v>2154.7415867048089</c:v>
                      </c:pt>
                      <c:pt idx="25">
                        <c:v>2504.488476368902</c:v>
                      </c:pt>
                      <c:pt idx="26">
                        <c:v>2872.9908235903581</c:v>
                      </c:pt>
                      <c:pt idx="27">
                        <c:v>3257.1898826791221</c:v>
                      </c:pt>
                      <c:pt idx="28">
                        <c:v>3653.888298649591</c:v>
                      </c:pt>
                      <c:pt idx="29">
                        <c:v>4059.8482385471621</c:v>
                      </c:pt>
                      <c:pt idx="30">
                        <c:v>4471.8783586967465</c:v>
                      </c:pt>
                      <c:pt idx="31">
                        <c:v>4886.9074014376984</c:v>
                      </c:pt>
                      <c:pt idx="32">
                        <c:v>5302.04342411582</c:v>
                      </c:pt>
                      <c:pt idx="33">
                        <c:v>5714.6186554173046</c:v>
                      </c:pt>
                      <c:pt idx="34">
                        <c:v>6122.2207298342928</c:v>
                      </c:pt>
                      <c:pt idx="35">
                        <c:v>6522.7115771553827</c:v>
                      </c:pt>
                      <c:pt idx="36">
                        <c:v>6914.2355648291996</c:v>
                      </c:pt>
                      <c:pt idx="37">
                        <c:v>7295.2186407820509</c:v>
                      </c:pt>
                      <c:pt idx="38">
                        <c:v>7664.3602399930314</c:v>
                      </c:pt>
                      <c:pt idx="39">
                        <c:v>8020.6196359784244</c:v>
                      </c:pt>
                      <c:pt idx="40">
                        <c:v>8363.1982706459312</c:v>
                      </c:pt>
                      <c:pt idx="41">
                        <c:v>8691.5194098712309</c:v>
                      </c:pt>
                      <c:pt idx="42">
                        <c:v>9005.2062690958865</c:v>
                      </c:pt>
                      <c:pt idx="43">
                        <c:v>9304.0595492806715</c:v>
                      </c:pt>
                      <c:pt idx="44">
                        <c:v>9588.0351298686746</c:v>
                      </c:pt>
                      <c:pt idx="45">
                        <c:v>9857.2224891666301</c:v>
                      </c:pt>
                      <c:pt idx="46">
                        <c:v>10111.824267675172</c:v>
                      </c:pt>
                      <c:pt idx="47">
                        <c:v>10352.137257898643</c:v>
                      </c:pt>
                      <c:pt idx="48">
                        <c:v>10578.534994823571</c:v>
                      </c:pt>
                      <c:pt idx="49">
                        <c:v>10791.452033200354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76.97858859590346</c:v>
                      </c:pt>
                      <c:pt idx="1">
                        <c:v>76.996112795107663</c:v>
                      </c:pt>
                      <c:pt idx="2">
                        <c:v>77.038972473980351</c:v>
                      </c:pt>
                      <c:pt idx="3">
                        <c:v>77.136819443535302</c:v>
                      </c:pt>
                      <c:pt idx="4">
                        <c:v>77.346351640304647</c:v>
                      </c:pt>
                      <c:pt idx="5">
                        <c:v>77.769144493104406</c:v>
                      </c:pt>
                      <c:pt idx="6">
                        <c:v>78.576394828087587</c:v>
                      </c:pt>
                      <c:pt idx="7">
                        <c:v>80.040573479887954</c:v>
                      </c:pt>
                      <c:pt idx="8">
                        <c:v>82.57259196234078</c:v>
                      </c:pt>
                      <c:pt idx="9">
                        <c:v>86.761462159105591</c:v>
                      </c:pt>
                      <c:pt idx="10">
                        <c:v>93.41190754966982</c:v>
                      </c:pt>
                      <c:pt idx="11">
                        <c:v>103.5743583828812</c:v>
                      </c:pt>
                      <c:pt idx="12">
                        <c:v>118.56155647493722</c:v>
                      </c:pt>
                      <c:pt idx="13">
                        <c:v>139.9467710120274</c:v>
                      </c:pt>
                      <c:pt idx="14">
                        <c:v>169.54033314828837</c:v>
                      </c:pt>
                      <c:pt idx="15">
                        <c:v>209.34357684195595</c:v>
                      </c:pt>
                      <c:pt idx="16">
                        <c:v>261.48192775453225</c:v>
                      </c:pt>
                      <c:pt idx="17">
                        <c:v>328.12136819146599</c:v>
                      </c:pt>
                      <c:pt idx="18">
                        <c:v>411.37443475484275</c:v>
                      </c:pt>
                      <c:pt idx="19">
                        <c:v>513.20301491784585</c:v>
                      </c:pt>
                      <c:pt idx="20">
                        <c:v>635.32540006223007</c:v>
                      </c:pt>
                      <c:pt idx="21">
                        <c:v>779.13438443396376</c:v>
                      </c:pt>
                      <c:pt idx="22">
                        <c:v>945.63185311497159</c:v>
                      </c:pt>
                      <c:pt idx="23">
                        <c:v>1135.3835291889759</c:v>
                      </c:pt>
                      <c:pt idx="24">
                        <c:v>1348.4956194554281</c:v>
                      </c:pt>
                      <c:pt idx="25">
                        <c:v>1584.6132505009746</c:v>
                      </c:pt>
                      <c:pt idx="26">
                        <c:v>1842.9390071237019</c:v>
                      </c:pt>
                      <c:pt idx="27">
                        <c:v>2122.2686878240938</c:v>
                      </c:pt>
                      <c:pt idx="28">
                        <c:v>2421.0406235607102</c:v>
                      </c:pt>
                      <c:pt idx="29">
                        <c:v>2737.3945547294397</c:v>
                      </c:pt>
                      <c:pt idx="30">
                        <c:v>3069.2360741435473</c:v>
                      </c:pt>
                      <c:pt idx="31">
                        <c:v>3414.3029428400532</c:v>
                      </c:pt>
                      <c:pt idx="32">
                        <c:v>3770.2300837639782</c:v>
                      </c:pt>
                      <c:pt idx="33">
                        <c:v>4134.6106715230335</c:v>
                      </c:pt>
                      <c:pt idx="34">
                        <c:v>4505.0513910766394</c:v>
                      </c:pt>
                      <c:pt idx="35">
                        <c:v>4879.2205762913591</c:v>
                      </c:pt>
                      <c:pt idx="36">
                        <c:v>5254.8885192055213</c:v>
                      </c:pt>
                      <c:pt idx="37">
                        <c:v>5629.959736752714</c:v>
                      </c:pt>
                      <c:pt idx="38">
                        <c:v>6002.4973812294847</c:v>
                      </c:pt>
                      <c:pt idx="39">
                        <c:v>6370.7402821911137</c:v>
                      </c:pt>
                      <c:pt idx="40">
                        <c:v>6733.1133165683495</c:v>
                      </c:pt>
                      <c:pt idx="41">
                        <c:v>7088.2319313344578</c:v>
                      </c:pt>
                      <c:pt idx="42">
                        <c:v>7434.9017022985918</c:v>
                      </c:pt>
                      <c:pt idx="43">
                        <c:v>7772.1138176245822</c:v>
                      </c:pt>
                      <c:pt idx="44">
                        <c:v>8099.037339048954</c:v>
                      </c:pt>
                      <c:pt idx="45">
                        <c:v>8415.0090297646311</c:v>
                      </c:pt>
                      <c:pt idx="46">
                        <c:v>8719.5214560535896</c:v>
                      </c:pt>
                      <c:pt idx="47">
                        <c:v>9012.2099785721748</c:v>
                      </c:pt>
                      <c:pt idx="48">
                        <c:v>9292.8391553984802</c:v>
                      </c:pt>
                      <c:pt idx="49">
                        <c:v>9561.2889874835619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15.603220559251568</c:v>
                      </c:pt>
                      <c:pt idx="15">
                        <c:v>55.406464252919179</c:v>
                      </c:pt>
                      <c:pt idx="16">
                        <c:v>107.54481516549548</c:v>
                      </c:pt>
                      <c:pt idx="17">
                        <c:v>174.18425560242923</c:v>
                      </c:pt>
                      <c:pt idx="18">
                        <c:v>257.43732216580594</c:v>
                      </c:pt>
                      <c:pt idx="19">
                        <c:v>359.26590232880909</c:v>
                      </c:pt>
                      <c:pt idx="20">
                        <c:v>481.38828747319326</c:v>
                      </c:pt>
                      <c:pt idx="21">
                        <c:v>625.19727184492695</c:v>
                      </c:pt>
                      <c:pt idx="22">
                        <c:v>791.69474052593478</c:v>
                      </c:pt>
                      <c:pt idx="23">
                        <c:v>981.4464165999392</c:v>
                      </c:pt>
                      <c:pt idx="24">
                        <c:v>1194.5585068663916</c:v>
                      </c:pt>
                      <c:pt idx="25">
                        <c:v>1430.676137911938</c:v>
                      </c:pt>
                      <c:pt idx="26">
                        <c:v>1689.0018945346653</c:v>
                      </c:pt>
                      <c:pt idx="27">
                        <c:v>1968.3315752350572</c:v>
                      </c:pt>
                      <c:pt idx="28">
                        <c:v>2267.1035109716736</c:v>
                      </c:pt>
                      <c:pt idx="29">
                        <c:v>2583.4574421404031</c:v>
                      </c:pt>
                      <c:pt idx="30">
                        <c:v>2915.2989615545107</c:v>
                      </c:pt>
                      <c:pt idx="31">
                        <c:v>3260.3658302510166</c:v>
                      </c:pt>
                      <c:pt idx="32">
                        <c:v>3616.2929711749416</c:v>
                      </c:pt>
                      <c:pt idx="33">
                        <c:v>3980.6735589339969</c:v>
                      </c:pt>
                      <c:pt idx="34">
                        <c:v>4351.114278487602</c:v>
                      </c:pt>
                      <c:pt idx="35">
                        <c:v>4725.2834637023216</c:v>
                      </c:pt>
                      <c:pt idx="36">
                        <c:v>5100.9514066164838</c:v>
                      </c:pt>
                      <c:pt idx="37">
                        <c:v>5476.0226241636765</c:v>
                      </c:pt>
                      <c:pt idx="38">
                        <c:v>5848.5602686404472</c:v>
                      </c:pt>
                      <c:pt idx="39">
                        <c:v>6216.8031696020762</c:v>
                      </c:pt>
                      <c:pt idx="40">
                        <c:v>6579.176203979312</c:v>
                      </c:pt>
                      <c:pt idx="41">
                        <c:v>6934.2948187454203</c:v>
                      </c:pt>
                      <c:pt idx="42">
                        <c:v>7280.9645897095543</c:v>
                      </c:pt>
                      <c:pt idx="43">
                        <c:v>7618.1767050355447</c:v>
                      </c:pt>
                      <c:pt idx="44">
                        <c:v>7945.1002264599165</c:v>
                      </c:pt>
                      <c:pt idx="45">
                        <c:v>8261.0719171755954</c:v>
                      </c:pt>
                      <c:pt idx="46">
                        <c:v>8565.584343464554</c:v>
                      </c:pt>
                      <c:pt idx="47">
                        <c:v>8858.2728659831391</c:v>
                      </c:pt>
                      <c:pt idx="48">
                        <c:v>9138.9020428094445</c:v>
                      </c:pt>
                      <c:pt idx="49">
                        <c:v>9407.3518748945262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Gompertz'!$D$7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Gompertz'!$L$7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Gompertz'!$R$7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Gompertz'!$R$8:$R$78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Gompertz'!$J$7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Gompertz'!$J$8:$J$78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210.12734724613989</c:v>
                      </c:pt>
                      <c:pt idx="1">
                        <c:v>210.21901470445474</c:v>
                      </c:pt>
                      <c:pt idx="2">
                        <c:v>210.43853638899208</c:v>
                      </c:pt>
                      <c:pt idx="3">
                        <c:v>210.92721161082903</c:v>
                      </c:pt>
                      <c:pt idx="4">
                        <c:v>211.9441735543042</c:v>
                      </c:pt>
                      <c:pt idx="5">
                        <c:v>213.93303690970296</c:v>
                      </c:pt>
                      <c:pt idx="6">
                        <c:v>217.60604276036975</c:v>
                      </c:pt>
                      <c:pt idx="7">
                        <c:v>224.0402284133915</c:v>
                      </c:pt>
                      <c:pt idx="8">
                        <c:v>234.77541281915734</c:v>
                      </c:pt>
                      <c:pt idx="9">
                        <c:v>251.89994471469402</c:v>
                      </c:pt>
                      <c:pt idx="10">
                        <c:v>278.10839973819168</c:v>
                      </c:pt>
                      <c:pt idx="11">
                        <c:v>316.71649769487419</c:v>
                      </c:pt>
                      <c:pt idx="12">
                        <c:v>371.62251964993152</c:v>
                      </c:pt>
                      <c:pt idx="13">
                        <c:v>447.21079501286346</c:v>
                      </c:pt>
                      <c:pt idx="14">
                        <c:v>548.20022881997818</c:v>
                      </c:pt>
                      <c:pt idx="15">
                        <c:v>679.44797194678506</c:v>
                      </c:pt>
                      <c:pt idx="16">
                        <c:v>845.72396537213842</c:v>
                      </c:pt>
                      <c:pt idx="17">
                        <c:v>1051.4753784526104</c:v>
                      </c:pt>
                      <c:pt idx="18">
                        <c:v>1300.6005969972102</c:v>
                      </c:pt>
                      <c:pt idx="19">
                        <c:v>1596.2505870698685</c:v>
                      </c:pt>
                      <c:pt idx="20">
                        <c:v>1940.6717274640887</c:v>
                      </c:pt>
                      <c:pt idx="21">
                        <c:v>2335.0993306128694</c:v>
                      </c:pt>
                      <c:pt idx="22">
                        <c:v>2779.7058488710004</c:v>
                      </c:pt>
                      <c:pt idx="23">
                        <c:v>3273.6028740845445</c:v>
                      </c:pt>
                      <c:pt idx="24">
                        <c:v>3814.8919789170072</c:v>
                      </c:pt>
                      <c:pt idx="25">
                        <c:v>4400.7564996266474</c:v>
                      </c:pt>
                      <c:pt idx="26">
                        <c:v>5027.5846034708302</c:v>
                      </c:pt>
                      <c:pt idx="27">
                        <c:v>5691.1133432599863</c:v>
                      </c:pt>
                      <c:pt idx="28">
                        <c:v>6386.5836949670711</c:v>
                      </c:pt>
                      <c:pt idx="29">
                        <c:v>7108.8975660333717</c:v>
                      </c:pt>
                      <c:pt idx="30">
                        <c:v>7852.7692055970647</c:v>
                      </c:pt>
                      <c:pt idx="31">
                        <c:v>8612.865117034522</c:v>
                      </c:pt>
                      <c:pt idx="32">
                        <c:v>9383.9282806365682</c:v>
                      </c:pt>
                      <c:pt idx="33">
                        <c:v>10160.884099697108</c:v>
                      </c:pt>
                      <c:pt idx="34">
                        <c:v>10938.926893667702</c:v>
                      </c:pt>
                      <c:pt idx="35">
                        <c:v>11713.58692620351</c:v>
                      </c:pt>
                      <c:pt idx="36">
                        <c:v>12480.77885679149</c:v>
                      </c:pt>
                      <c:pt idx="37">
                        <c:v>13236.833150291533</c:v>
                      </c:pt>
                      <c:pt idx="38">
                        <c:v>13978.512393979285</c:v>
                      </c:pt>
                      <c:pt idx="39">
                        <c:v>14703.014690926308</c:v>
                      </c:pt>
                      <c:pt idx="40">
                        <c:v>15407.966359971049</c:v>
                      </c:pt>
                      <c:pt idx="41">
                        <c:v>16091.406113962459</c:v>
                      </c:pt>
                      <c:pt idx="42">
                        <c:v>16751.762744151249</c:v>
                      </c:pt>
                      <c:pt idx="43">
                        <c:v>17387.828139662026</c:v>
                      </c:pt>
                      <c:pt idx="44">
                        <c:v>17998.727241674402</c:v>
                      </c:pt>
                      <c:pt idx="45">
                        <c:v>18583.886291688032</c:v>
                      </c:pt>
                      <c:pt idx="46">
                        <c:v>19143.000496485532</c:v>
                      </c:pt>
                      <c:pt idx="47">
                        <c:v>19676.002009227588</c:v>
                      </c:pt>
                      <c:pt idx="48">
                        <c:v>20183.028922978825</c:v>
                      </c:pt>
                      <c:pt idx="49">
                        <c:v>20664.395793440686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Gompertz'!$K$8:$K$78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27.063109596736012</c:v>
                      </c:pt>
                      <c:pt idx="14">
                        <c:v>128.05254340385071</c:v>
                      </c:pt>
                      <c:pt idx="15">
                        <c:v>259.30028653065767</c:v>
                      </c:pt>
                      <c:pt idx="16">
                        <c:v>425.57627995601104</c:v>
                      </c:pt>
                      <c:pt idx="17">
                        <c:v>631.32769303648297</c:v>
                      </c:pt>
                      <c:pt idx="18">
                        <c:v>880.45291158108284</c:v>
                      </c:pt>
                      <c:pt idx="19">
                        <c:v>1176.1029016537411</c:v>
                      </c:pt>
                      <c:pt idx="20">
                        <c:v>1520.5240420479613</c:v>
                      </c:pt>
                      <c:pt idx="21">
                        <c:v>1914.951645196742</c:v>
                      </c:pt>
                      <c:pt idx="22">
                        <c:v>2359.558163454873</c:v>
                      </c:pt>
                      <c:pt idx="23">
                        <c:v>2853.4551886684171</c:v>
                      </c:pt>
                      <c:pt idx="24">
                        <c:v>3394.7442935008798</c:v>
                      </c:pt>
                      <c:pt idx="25">
                        <c:v>3980.6088142105195</c:v>
                      </c:pt>
                      <c:pt idx="26">
                        <c:v>4607.4369180547019</c:v>
                      </c:pt>
                      <c:pt idx="27">
                        <c:v>5270.965657843858</c:v>
                      </c:pt>
                      <c:pt idx="28">
                        <c:v>5966.4360095509428</c:v>
                      </c:pt>
                      <c:pt idx="29">
                        <c:v>6688.7498806172434</c:v>
                      </c:pt>
                      <c:pt idx="30">
                        <c:v>7432.6215201809364</c:v>
                      </c:pt>
                      <c:pt idx="31">
                        <c:v>8192.7174316183955</c:v>
                      </c:pt>
                      <c:pt idx="32">
                        <c:v>8963.7805952204417</c:v>
                      </c:pt>
                      <c:pt idx="33">
                        <c:v>9740.736414280982</c:v>
                      </c:pt>
                      <c:pt idx="34">
                        <c:v>10518.779208251575</c:v>
                      </c:pt>
                      <c:pt idx="35">
                        <c:v>11293.439240787384</c:v>
                      </c:pt>
                      <c:pt idx="36">
                        <c:v>12060.631171375364</c:v>
                      </c:pt>
                      <c:pt idx="37">
                        <c:v>12816.685464875407</c:v>
                      </c:pt>
                      <c:pt idx="38">
                        <c:v>13558.364708563158</c:v>
                      </c:pt>
                      <c:pt idx="39">
                        <c:v>14282.867005510181</c:v>
                      </c:pt>
                      <c:pt idx="40">
                        <c:v>14987.818674554923</c:v>
                      </c:pt>
                      <c:pt idx="41">
                        <c:v>15671.258428546333</c:v>
                      </c:pt>
                      <c:pt idx="42">
                        <c:v>16331.61505873512</c:v>
                      </c:pt>
                      <c:pt idx="43">
                        <c:v>16967.680454245896</c:v>
                      </c:pt>
                      <c:pt idx="44">
                        <c:v>17578.579556258272</c:v>
                      </c:pt>
                      <c:pt idx="45">
                        <c:v>18163.738606271902</c:v>
                      </c:pt>
                      <c:pt idx="46">
                        <c:v>18722.852811069402</c:v>
                      </c:pt>
                      <c:pt idx="47">
                        <c:v>19255.854323811458</c:v>
                      </c:pt>
                      <c:pt idx="48">
                        <c:v>19762.881237562695</c:v>
                      </c:pt>
                      <c:pt idx="49">
                        <c:v>20244.248108024556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Gompertz'!$Y$47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Gompertz'!$Z$47</c:f>
              <c:numCache>
                <c:formatCode>0.0000</c:formatCode>
                <c:ptCount val="1"/>
                <c:pt idx="0">
                  <c:v>0.99984464679962415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Gompertz'!$Y$49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Gompertz'!$Z$49</c:f>
              <c:numCache>
                <c:formatCode>0</c:formatCode>
                <c:ptCount val="1"/>
                <c:pt idx="0">
                  <c:v>213.68370111548344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Gompertz'!$Y$41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Gompertz'!$Z$41</c:f>
              <c:numCache>
                <c:formatCode>0</c:formatCode>
                <c:ptCount val="1"/>
                <c:pt idx="0">
                  <c:v>27406.823711884386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Gompertz'!$Y$14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Gompertz'!$Z$14</c:f>
              <c:numCache>
                <c:formatCode>0.0000</c:formatCode>
                <c:ptCount val="1"/>
                <c:pt idx="0">
                  <c:v>0.99983976100786032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Gompertz'!$Y$16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Gompertz'!$Z$16</c:f>
              <c:numCache>
                <c:formatCode>0</c:formatCode>
                <c:ptCount val="1"/>
                <c:pt idx="0">
                  <c:v>210.07384270806372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Gompertz'!$Y$17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Gompertz'!$Z$17</c:f>
              <c:numCache>
                <c:formatCode>0</c:formatCode>
                <c:ptCount val="1"/>
                <c:pt idx="0">
                  <c:v>27575.406856646507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Gompertz'!$Y$25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Gompertz'!$Z$25</c:f>
              <c:numCache>
                <c:formatCode>0.0000</c:formatCode>
                <c:ptCount val="1"/>
                <c:pt idx="0">
                  <c:v>0.99964761218097897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Gompertz'!$Y$27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Gompertz'!$Z$27</c:f>
              <c:numCache>
                <c:formatCode>0</c:formatCode>
                <c:ptCount val="1"/>
                <c:pt idx="0">
                  <c:v>178.54948634322457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Gompertz'!$Y$19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Gompertz'!$Z$19</c:f>
              <c:numCache>
                <c:formatCode>0</c:formatCode>
                <c:ptCount val="1"/>
                <c:pt idx="0">
                  <c:v>13805.081899783412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Gompertz'!$Y$36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Gompertz'!$Z$36</c:f>
              <c:numCache>
                <c:formatCode>0.0000</c:formatCode>
                <c:ptCount val="1"/>
                <c:pt idx="0">
                  <c:v>0.99989895148505226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Gompertz'!$Y$38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Gompertz'!$Z$38</c:f>
              <c:numCache>
                <c:formatCode>0</c:formatCode>
                <c:ptCount val="1"/>
                <c:pt idx="0">
                  <c:v>76.968556294518393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Gompertz'!$Y$30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Gompertz'!$Z$30</c:f>
              <c:numCache>
                <c:formatCode>0</c:formatCode>
                <c:ptCount val="1"/>
                <c:pt idx="0">
                  <c:v>13770.324956863093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Gompertz model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Gompertz'!$E$7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9E1-44DE-9DAF-9529BD98EE71}"/>
            </c:ext>
          </c:extLst>
        </c:ser>
        <c:ser>
          <c:idx val="5"/>
          <c:order val="5"/>
          <c:tx>
            <c:strRef>
              <c:f>'New_deaths - Gompertz'!$O$7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1-44DE-9DAF-9529BD98EE71}"/>
            </c:ext>
          </c:extLst>
        </c:ser>
        <c:ser>
          <c:idx val="9"/>
          <c:order val="9"/>
          <c:tx>
            <c:strRef>
              <c:f>'New_deaths - Gompertz'!$W$7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Gompertz'!$L$7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Gompertz'!$L$8:$L$78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138.03514545671371</c:v>
                      </c:pt>
                      <c:pt idx="1">
                        <c:v>138.11872820526131</c:v>
                      </c:pt>
                      <c:pt idx="2">
                        <c:v>138.30220084514067</c:v>
                      </c:pt>
                      <c:pt idx="3">
                        <c:v>138.67635716326629</c:v>
                      </c:pt>
                      <c:pt idx="4">
                        <c:v>139.38921872260127</c:v>
                      </c:pt>
                      <c:pt idx="5">
                        <c:v>140.66471884416436</c:v>
                      </c:pt>
                      <c:pt idx="6">
                        <c:v>142.81826317016811</c:v>
                      </c:pt>
                      <c:pt idx="7">
                        <c:v>146.26440816180417</c:v>
                      </c:pt>
                      <c:pt idx="8">
                        <c:v>151.51215237389036</c:v>
                      </c:pt>
                      <c:pt idx="9">
                        <c:v>159.14486376922886</c:v>
                      </c:pt>
                      <c:pt idx="10">
                        <c:v>169.78442979514921</c:v>
                      </c:pt>
                      <c:pt idx="11">
                        <c:v>184.04222687109635</c:v>
                      </c:pt>
                      <c:pt idx="12">
                        <c:v>202.46221933850217</c:v>
                      </c:pt>
                      <c:pt idx="13">
                        <c:v>225.46325765028791</c:v>
                      </c:pt>
                      <c:pt idx="14">
                        <c:v>253.28807058536626</c:v>
                      </c:pt>
                      <c:pt idx="15">
                        <c:v>285.96551116973808</c:v>
                      </c:pt>
                      <c:pt idx="16">
                        <c:v>323.29061215530805</c:v>
                      </c:pt>
                      <c:pt idx="17">
                        <c:v>364.82442108948374</c:v>
                      </c:pt>
                      <c:pt idx="18">
                        <c:v>409.91295005505509</c:v>
                      </c:pt>
                      <c:pt idx="19">
                        <c:v>457.72234208097871</c:v>
                      </c:pt>
                      <c:pt idx="20">
                        <c:v>507.28581637618538</c:v>
                      </c:pt>
                      <c:pt idx="21">
                        <c:v>557.55721791338112</c:v>
                      </c:pt>
                      <c:pt idx="22">
                        <c:v>607.46601543076963</c:v>
                      </c:pt>
                      <c:pt idx="23">
                        <c:v>655.9692087883484</c:v>
                      </c:pt>
                      <c:pt idx="24">
                        <c:v>702.09661240789637</c:v>
                      </c:pt>
                      <c:pt idx="25">
                        <c:v>744.98716338526742</c:v>
                      </c:pt>
                      <c:pt idx="26">
                        <c:v>783.91507901290151</c:v>
                      </c:pt>
                      <c:pt idx="27">
                        <c:v>818.30572648558768</c:v>
                      </c:pt>
                      <c:pt idx="28">
                        <c:v>847.74188877717643</c:v>
                      </c:pt>
                      <c:pt idx="29">
                        <c:v>871.96168456922101</c:v>
                      </c:pt>
                      <c:pt idx="30">
                        <c:v>890.84973350179348</c:v>
                      </c:pt>
                      <c:pt idx="31">
                        <c:v>904.42328245668114</c:v>
                      </c:pt>
                      <c:pt idx="32">
                        <c:v>912.81496865835197</c:v>
                      </c:pt>
                      <c:pt idx="33">
                        <c:v>916.25373929284797</c:v>
                      </c:pt>
                      <c:pt idx="34">
                        <c:v>915.04522031287684</c:v>
                      </c:pt>
                      <c:pt idx="35">
                        <c:v>909.55256740468531</c:v>
                      </c:pt>
                      <c:pt idx="36">
                        <c:v>900.17856936091448</c:v>
                      </c:pt>
                      <c:pt idx="37">
                        <c:v>887.34952915683652</c:v>
                      </c:pt>
                      <c:pt idx="38">
                        <c:v>871.50123377244836</c:v>
                      </c:pt>
                      <c:pt idx="39">
                        <c:v>853.06714664425908</c:v>
                      </c:pt>
                      <c:pt idx="40">
                        <c:v>832.46881805034741</c:v>
                      </c:pt>
                      <c:pt idx="41">
                        <c:v>810.10840679956345</c:v>
                      </c:pt>
                      <c:pt idx="42">
                        <c:v>786.36313726789399</c:v>
                      </c:pt>
                      <c:pt idx="43">
                        <c:v>761.58147398363803</c:v>
                      </c:pt>
                      <c:pt idx="44">
                        <c:v>736.08077617891104</c:v>
                      </c:pt>
                      <c:pt idx="45">
                        <c:v>710.14619177942222</c:v>
                      </c:pt>
                      <c:pt idx="46">
                        <c:v>684.03055950787939</c:v>
                      </c:pt>
                      <c:pt idx="47">
                        <c:v>657.95510513123963</c:v>
                      </c:pt>
                      <c:pt idx="48">
                        <c:v>632.1107401332215</c:v>
                      </c:pt>
                      <c:pt idx="49">
                        <c:v>606.65979570370905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9E1-44DE-9DAF-9529BD98EE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10.006379665847589</c:v>
                      </c:pt>
                      <c:pt idx="16">
                        <c:v>47.331480651417564</c:v>
                      </c:pt>
                      <c:pt idx="17">
                        <c:v>88.865289585593246</c:v>
                      </c:pt>
                      <c:pt idx="18">
                        <c:v>133.9538185511646</c:v>
                      </c:pt>
                      <c:pt idx="19">
                        <c:v>181.76321057708822</c:v>
                      </c:pt>
                      <c:pt idx="20">
                        <c:v>231.32668487229489</c:v>
                      </c:pt>
                      <c:pt idx="21">
                        <c:v>281.59808640949063</c:v>
                      </c:pt>
                      <c:pt idx="22">
                        <c:v>331.50688392687908</c:v>
                      </c:pt>
                      <c:pt idx="23">
                        <c:v>380.01007728445796</c:v>
                      </c:pt>
                      <c:pt idx="24">
                        <c:v>426.13748090400583</c:v>
                      </c:pt>
                      <c:pt idx="25">
                        <c:v>469.02803188137699</c:v>
                      </c:pt>
                      <c:pt idx="26">
                        <c:v>507.95594750901097</c:v>
                      </c:pt>
                      <c:pt idx="27">
                        <c:v>542.34659498169708</c:v>
                      </c:pt>
                      <c:pt idx="28">
                        <c:v>571.78275727328582</c:v>
                      </c:pt>
                      <c:pt idx="29">
                        <c:v>596.0025530653304</c:v>
                      </c:pt>
                      <c:pt idx="30">
                        <c:v>614.89060199790288</c:v>
                      </c:pt>
                      <c:pt idx="31">
                        <c:v>628.46415095279076</c:v>
                      </c:pt>
                      <c:pt idx="32">
                        <c:v>636.85583715446137</c:v>
                      </c:pt>
                      <c:pt idx="33">
                        <c:v>640.29460778895736</c:v>
                      </c:pt>
                      <c:pt idx="34">
                        <c:v>639.08608880898646</c:v>
                      </c:pt>
                      <c:pt idx="35">
                        <c:v>633.5934359007947</c:v>
                      </c:pt>
                      <c:pt idx="36">
                        <c:v>624.21943785702388</c:v>
                      </c:pt>
                      <c:pt idx="37">
                        <c:v>611.39039765294592</c:v>
                      </c:pt>
                      <c:pt idx="38">
                        <c:v>595.54210226855798</c:v>
                      </c:pt>
                      <c:pt idx="39">
                        <c:v>577.10801514036848</c:v>
                      </c:pt>
                      <c:pt idx="40">
                        <c:v>556.50968654645703</c:v>
                      </c:pt>
                      <c:pt idx="41">
                        <c:v>534.14927529567285</c:v>
                      </c:pt>
                      <c:pt idx="42">
                        <c:v>510.40400576400344</c:v>
                      </c:pt>
                      <c:pt idx="43">
                        <c:v>485.6223424797476</c:v>
                      </c:pt>
                      <c:pt idx="44">
                        <c:v>460.1216446750206</c:v>
                      </c:pt>
                      <c:pt idx="45">
                        <c:v>434.18706027553179</c:v>
                      </c:pt>
                      <c:pt idx="46">
                        <c:v>408.07142800398896</c:v>
                      </c:pt>
                      <c:pt idx="47">
                        <c:v>381.99597362734909</c:v>
                      </c:pt>
                      <c:pt idx="48">
                        <c:v>356.15160862933095</c:v>
                      </c:pt>
                      <c:pt idx="49">
                        <c:v>330.7006641998185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E1-44DE-9DAF-9529BD98EE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121.81367141392747</c:v>
                      </c:pt>
                      <c:pt idx="1">
                        <c:v>121.88094785815714</c:v>
                      </c:pt>
                      <c:pt idx="2">
                        <c:v>122.02760108800008</c:v>
                      </c:pt>
                      <c:pt idx="3">
                        <c:v>122.32419511204155</c:v>
                      </c:pt>
                      <c:pt idx="4">
                        <c:v>122.88388640342025</c:v>
                      </c:pt>
                      <c:pt idx="5">
                        <c:v>123.87455045728848</c:v>
                      </c:pt>
                      <c:pt idx="6">
                        <c:v>125.52723280050502</c:v>
                      </c:pt>
                      <c:pt idx="7">
                        <c:v>128.13735502786272</c:v>
                      </c:pt>
                      <c:pt idx="8">
                        <c:v>132.05572738658418</c:v>
                      </c:pt>
                      <c:pt idx="9">
                        <c:v>137.66802890080473</c:v>
                      </c:pt>
                      <c:pt idx="10">
                        <c:v>145.36367825089278</c:v>
                      </c:pt>
                      <c:pt idx="11">
                        <c:v>155.4973518694834</c:v>
                      </c:pt>
                      <c:pt idx="12">
                        <c:v>168.34818486341061</c:v>
                      </c:pt>
                      <c:pt idx="13">
                        <c:v>184.08245636472151</c:v>
                      </c:pt>
                      <c:pt idx="14">
                        <c:v>202.72515349956632</c:v>
                      </c:pt>
                      <c:pt idx="15">
                        <c:v>224.14438305433117</c:v>
                      </c:pt>
                      <c:pt idx="16">
                        <c:v>248.0505440556544</c:v>
                      </c:pt>
                      <c:pt idx="17">
                        <c:v>274.0099677618386</c:v>
                      </c:pt>
                      <c:pt idx="18">
                        <c:v>301.47081049822873</c:v>
                      </c:pt>
                      <c:pt idx="19">
                        <c:v>329.79764831081025</c:v>
                      </c:pt>
                      <c:pt idx="20">
                        <c:v>358.31059552729857</c:v>
                      </c:pt>
                      <c:pt idx="21">
                        <c:v>386.32481789745361</c:v>
                      </c:pt>
                      <c:pt idx="22">
                        <c:v>413.18688907850776</c:v>
                      </c:pt>
                      <c:pt idx="23">
                        <c:v>438.30534701331032</c:v>
                      </c:pt>
                      <c:pt idx="24">
                        <c:v>461.17384228025173</c:v>
                      </c:pt>
                      <c:pt idx="25">
                        <c:v>481.3862657919434</c:v>
                      </c:pt>
                      <c:pt idx="26">
                        <c:v>498.6440823154644</c:v>
                      </c:pt>
                      <c:pt idx="27">
                        <c:v>512.75671790177773</c:v>
                      </c:pt>
                      <c:pt idx="28">
                        <c:v>523.63623912031039</c:v>
                      </c:pt>
                      <c:pt idx="29">
                        <c:v>531.28773971179135</c:v>
                      </c:pt>
                      <c:pt idx="30">
                        <c:v>535.7968557922253</c:v>
                      </c:pt>
                      <c:pt idx="31">
                        <c:v>537.31571206906824</c:v>
                      </c:pt>
                      <c:pt idx="32">
                        <c:v>536.04840583011037</c:v>
                      </c:pt>
                      <c:pt idx="33">
                        <c:v>532.23690344997146</c:v>
                      </c:pt>
                      <c:pt idx="34">
                        <c:v>526.14798740407389</c:v>
                      </c:pt>
                      <c:pt idx="35">
                        <c:v>518.06167221684404</c:v>
                      </c:pt>
                      <c:pt idx="36">
                        <c:v>508.26131858465953</c:v>
                      </c:pt>
                      <c:pt idx="37">
                        <c:v>497.02552217278503</c:v>
                      </c:pt>
                      <c:pt idx="38">
                        <c:v>484.62173809933688</c:v>
                      </c:pt>
                      <c:pt idx="39">
                        <c:v>471.30152120169635</c:v>
                      </c:pt>
                      <c:pt idx="40">
                        <c:v>457.29721113452558</c:v>
                      </c:pt>
                      <c:pt idx="41">
                        <c:v>442.81986460841995</c:v>
                      </c:pt>
                      <c:pt idx="42">
                        <c:v>428.05822901513807</c:v>
                      </c:pt>
                      <c:pt idx="43">
                        <c:v>413.17855711612435</c:v>
                      </c:pt>
                      <c:pt idx="44">
                        <c:v>398.32507693554078</c:v>
                      </c:pt>
                      <c:pt idx="45">
                        <c:v>383.62095086726265</c:v>
                      </c:pt>
                      <c:pt idx="46">
                        <c:v>369.16958047070966</c:v>
                      </c:pt>
                      <c:pt idx="47">
                        <c:v>355.05613643451915</c:v>
                      </c:pt>
                      <c:pt idx="48">
                        <c:v>341.34921530965755</c:v>
                      </c:pt>
                      <c:pt idx="49">
                        <c:v>328.10254495146603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E1-44DE-9DAF-9529BD98EE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4.5133255082791095</c:v>
                      </c:pt>
                      <c:pt idx="17">
                        <c:v>30.472749214463306</c:v>
                      </c:pt>
                      <c:pt idx="18">
                        <c:v>57.933591950853412</c:v>
                      </c:pt>
                      <c:pt idx="19">
                        <c:v>86.260429763434928</c:v>
                      </c:pt>
                      <c:pt idx="20">
                        <c:v>114.77337697992328</c:v>
                      </c:pt>
                      <c:pt idx="21">
                        <c:v>142.78759935007835</c:v>
                      </c:pt>
                      <c:pt idx="22">
                        <c:v>169.64967053113244</c:v>
                      </c:pt>
                      <c:pt idx="23">
                        <c:v>194.76812846593501</c:v>
                      </c:pt>
                      <c:pt idx="24">
                        <c:v>217.63662373287647</c:v>
                      </c:pt>
                      <c:pt idx="25">
                        <c:v>237.84904724456814</c:v>
                      </c:pt>
                      <c:pt idx="26">
                        <c:v>255.10686376808908</c:v>
                      </c:pt>
                      <c:pt idx="27">
                        <c:v>269.2194993544025</c:v>
                      </c:pt>
                      <c:pt idx="28">
                        <c:v>280.09902057293516</c:v>
                      </c:pt>
                      <c:pt idx="29">
                        <c:v>287.75052116441611</c:v>
                      </c:pt>
                      <c:pt idx="30">
                        <c:v>292.25963724484996</c:v>
                      </c:pt>
                      <c:pt idx="31">
                        <c:v>293.77849352169289</c:v>
                      </c:pt>
                      <c:pt idx="32">
                        <c:v>292.51118728273502</c:v>
                      </c:pt>
                      <c:pt idx="33">
                        <c:v>288.69968490259612</c:v>
                      </c:pt>
                      <c:pt idx="34">
                        <c:v>282.61076885669854</c:v>
                      </c:pt>
                      <c:pt idx="35">
                        <c:v>274.5244536694687</c:v>
                      </c:pt>
                      <c:pt idx="36">
                        <c:v>264.72410003728419</c:v>
                      </c:pt>
                      <c:pt idx="37">
                        <c:v>253.48830362540977</c:v>
                      </c:pt>
                      <c:pt idx="38">
                        <c:v>241.08451955196156</c:v>
                      </c:pt>
                      <c:pt idx="39">
                        <c:v>227.76430265432109</c:v>
                      </c:pt>
                      <c:pt idx="40">
                        <c:v>213.75999258715026</c:v>
                      </c:pt>
                      <c:pt idx="41">
                        <c:v>199.28264606104469</c:v>
                      </c:pt>
                      <c:pt idx="42">
                        <c:v>184.52101046776275</c:v>
                      </c:pt>
                      <c:pt idx="43">
                        <c:v>169.64133856874909</c:v>
                      </c:pt>
                      <c:pt idx="44">
                        <c:v>154.78785838816552</c:v>
                      </c:pt>
                      <c:pt idx="45">
                        <c:v>140.08373231988739</c:v>
                      </c:pt>
                      <c:pt idx="46">
                        <c:v>125.63236192333437</c:v>
                      </c:pt>
                      <c:pt idx="47">
                        <c:v>111.51891788714386</c:v>
                      </c:pt>
                      <c:pt idx="48">
                        <c:v>97.811996762282234</c:v>
                      </c:pt>
                      <c:pt idx="49">
                        <c:v>84.565326404090769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E1-44DE-9DAF-9529BD98EE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65.87742673232809</c:v>
                      </c:pt>
                      <c:pt idx="1">
                        <c:v>65.893733036646012</c:v>
                      </c:pt>
                      <c:pt idx="2">
                        <c:v>65.930552446682427</c:v>
                      </c:pt>
                      <c:pt idx="3">
                        <c:v>66.008114740766587</c:v>
                      </c:pt>
                      <c:pt idx="4">
                        <c:v>66.161285008722885</c:v>
                      </c:pt>
                      <c:pt idx="5">
                        <c:v>66.446121076417725</c:v>
                      </c:pt>
                      <c:pt idx="6">
                        <c:v>66.946983059204925</c:v>
                      </c:pt>
                      <c:pt idx="7">
                        <c:v>67.783005823483279</c:v>
                      </c:pt>
                      <c:pt idx="8">
                        <c:v>69.112377676848027</c:v>
                      </c:pt>
                      <c:pt idx="9">
                        <c:v>71.132787557965983</c:v>
                      </c:pt>
                      <c:pt idx="10">
                        <c:v>74.076704233798282</c:v>
                      </c:pt>
                      <c:pt idx="11">
                        <c:v>78.200827691154799</c:v>
                      </c:pt>
                      <c:pt idx="12">
                        <c:v>83.769987164633406</c:v>
                      </c:pt>
                      <c:pt idx="13">
                        <c:v>91.036753975108269</c:v>
                      </c:pt>
                      <c:pt idx="14">
                        <c:v>100.21886977534176</c:v>
                      </c:pt>
                      <c:pt idx="15">
                        <c:v>111.47708080494877</c:v>
                      </c:pt>
                      <c:pt idx="16">
                        <c:v>124.89602078919549</c:v>
                      </c:pt>
                      <c:pt idx="17">
                        <c:v>140.47040601718697</c:v>
                      </c:pt>
                      <c:pt idx="18">
                        <c:v>158.09809224636825</c:v>
                      </c:pt>
                      <c:pt idx="19">
                        <c:v>177.58064645971035</c:v>
                      </c:pt>
                      <c:pt idx="20">
                        <c:v>198.63117353842864</c:v>
                      </c:pt>
                      <c:pt idx="21">
                        <c:v>220.88835270546934</c:v>
                      </c:pt>
                      <c:pt idx="22">
                        <c:v>243.93507904180365</c:v>
                      </c:pt>
                      <c:pt idx="23">
                        <c:v>267.31981446458002</c:v>
                      </c:pt>
                      <c:pt idx="24">
                        <c:v>290.57872281718647</c:v>
                      </c:pt>
                      <c:pt idx="25">
                        <c:v>313.25685028286591</c:v>
                      </c:pt>
                      <c:pt idx="26">
                        <c:v>334.92694938697889</c:v>
                      </c:pt>
                      <c:pt idx="27">
                        <c:v>355.20496127335173</c:v>
                      </c:pt>
                      <c:pt idx="28">
                        <c:v>373.76160234640781</c:v>
                      </c:pt>
                      <c:pt idx="29">
                        <c:v>390.32989754697149</c:v>
                      </c:pt>
                      <c:pt idx="30">
                        <c:v>404.70883039910996</c:v>
                      </c:pt>
                      <c:pt idx="31">
                        <c:v>416.76352307715484</c:v>
                      </c:pt>
                      <c:pt idx="32">
                        <c:v>426.42251551778338</c:v>
                      </c:pt>
                      <c:pt idx="33">
                        <c:v>433.67278853241828</c:v>
                      </c:pt>
                      <c:pt idx="34">
                        <c:v>438.5531855983449</c:v>
                      </c:pt>
                      <c:pt idx="35">
                        <c:v>441.14684787738304</c:v>
                      </c:pt>
                      <c:pt idx="36">
                        <c:v>441.57320346579684</c:v>
                      </c:pt>
                      <c:pt idx="37">
                        <c:v>439.97995967359327</c:v>
                      </c:pt>
                      <c:pt idx="38">
                        <c:v>436.53544836265343</c:v>
                      </c:pt>
                      <c:pt idx="39">
                        <c:v>431.42157813210451</c:v>
                      </c:pt>
                      <c:pt idx="40">
                        <c:v>424.82755960536377</c:v>
                      </c:pt>
                      <c:pt idx="41">
                        <c:v>416.94449488068534</c:v>
                      </c:pt>
                      <c:pt idx="42">
                        <c:v>407.9608609422977</c:v>
                      </c:pt>
                      <c:pt idx="43">
                        <c:v>398.05886955705557</c:v>
                      </c:pt>
                      <c:pt idx="44">
                        <c:v>387.41165193291215</c:v>
                      </c:pt>
                      <c:pt idx="45">
                        <c:v>376.18119360170147</c:v>
                      </c:pt>
                      <c:pt idx="46">
                        <c:v>364.51693172671162</c:v>
                      </c:pt>
                      <c:pt idx="47">
                        <c:v>352.55492138626232</c:v>
                      </c:pt>
                      <c:pt idx="48">
                        <c:v>340.41747751310578</c:v>
                      </c:pt>
                      <c:pt idx="49">
                        <c:v>328.2132034417848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E1-44DE-9DAF-9529BD98EE71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8.7365876815880767</c:v>
                      </c:pt>
                      <c:pt idx="18">
                        <c:v>26.36427391076937</c:v>
                      </c:pt>
                      <c:pt idx="19">
                        <c:v>45.84682812411144</c:v>
                      </c:pt>
                      <c:pt idx="20">
                        <c:v>66.897355202829758</c:v>
                      </c:pt>
                      <c:pt idx="21">
                        <c:v>89.154534369870433</c:v>
                      </c:pt>
                      <c:pt idx="22">
                        <c:v>112.20126070620476</c:v>
                      </c:pt>
                      <c:pt idx="23">
                        <c:v>135.58599612898115</c:v>
                      </c:pt>
                      <c:pt idx="24">
                        <c:v>158.84490448158755</c:v>
                      </c:pt>
                      <c:pt idx="25">
                        <c:v>181.52303194726704</c:v>
                      </c:pt>
                      <c:pt idx="26">
                        <c:v>203.19313105137996</c:v>
                      </c:pt>
                      <c:pt idx="27">
                        <c:v>223.4711429377528</c:v>
                      </c:pt>
                      <c:pt idx="28">
                        <c:v>242.02778401080889</c:v>
                      </c:pt>
                      <c:pt idx="29">
                        <c:v>258.59607921137257</c:v>
                      </c:pt>
                      <c:pt idx="30">
                        <c:v>272.97501206351103</c:v>
                      </c:pt>
                      <c:pt idx="31">
                        <c:v>285.02970474155592</c:v>
                      </c:pt>
                      <c:pt idx="32">
                        <c:v>294.68869718218446</c:v>
                      </c:pt>
                      <c:pt idx="33">
                        <c:v>301.93897019681935</c:v>
                      </c:pt>
                      <c:pt idx="34">
                        <c:v>306.81936726274597</c:v>
                      </c:pt>
                      <c:pt idx="35">
                        <c:v>309.41302954178411</c:v>
                      </c:pt>
                      <c:pt idx="36">
                        <c:v>309.83938513019791</c:v>
                      </c:pt>
                      <c:pt idx="37">
                        <c:v>308.24614133799435</c:v>
                      </c:pt>
                      <c:pt idx="38">
                        <c:v>304.8016300270545</c:v>
                      </c:pt>
                      <c:pt idx="39">
                        <c:v>299.68775979650559</c:v>
                      </c:pt>
                      <c:pt idx="40">
                        <c:v>293.09374126976485</c:v>
                      </c:pt>
                      <c:pt idx="41">
                        <c:v>285.21067654508641</c:v>
                      </c:pt>
                      <c:pt idx="42">
                        <c:v>276.22704260669877</c:v>
                      </c:pt>
                      <c:pt idx="43">
                        <c:v>266.32505122145665</c:v>
                      </c:pt>
                      <c:pt idx="44">
                        <c:v>255.67783359731322</c:v>
                      </c:pt>
                      <c:pt idx="45">
                        <c:v>244.44737526610254</c:v>
                      </c:pt>
                      <c:pt idx="46">
                        <c:v>232.78311339111269</c:v>
                      </c:pt>
                      <c:pt idx="47">
                        <c:v>220.8211030506634</c:v>
                      </c:pt>
                      <c:pt idx="48">
                        <c:v>208.68365917750685</c:v>
                      </c:pt>
                      <c:pt idx="49">
                        <c:v>196.47938510618587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E1-44DE-9DAF-9529BD98EE7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Gompertz'!$H$7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Gompertz'!$H$8:$H$78</c:f>
              <c:numCache>
                <c:formatCode>0</c:formatCode>
                <c:ptCount val="71"/>
                <c:pt idx="0">
                  <c:v>5.5579704768469282E-2</c:v>
                </c:pt>
                <c:pt idx="1">
                  <c:v>0.13916245331606747</c:v>
                </c:pt>
                <c:pt idx="2">
                  <c:v>0.32263509319542105</c:v>
                </c:pt>
                <c:pt idx="3">
                  <c:v>0.69679141132104372</c:v>
                </c:pt>
                <c:pt idx="4">
                  <c:v>1.4096529706560372</c:v>
                </c:pt>
                <c:pt idx="5">
                  <c:v>2.6851530922191116</c:v>
                </c:pt>
                <c:pt idx="6">
                  <c:v>4.8386974182228553</c:v>
                </c:pt>
                <c:pt idx="7">
                  <c:v>8.2848424098589213</c:v>
                </c:pt>
                <c:pt idx="8">
                  <c:v>13.532586621945105</c:v>
                </c:pt>
                <c:pt idx="9">
                  <c:v>21.165298017283618</c:v>
                </c:pt>
                <c:pt idx="10">
                  <c:v>31.804864043203949</c:v>
                </c:pt>
                <c:pt idx="11">
                  <c:v>46.062661119151102</c:v>
                </c:pt>
                <c:pt idx="12">
                  <c:v>64.482653586556907</c:v>
                </c:pt>
                <c:pt idx="13">
                  <c:v>87.483691898342684</c:v>
                </c:pt>
                <c:pt idx="14">
                  <c:v>115.308504833421</c:v>
                </c:pt>
                <c:pt idx="15">
                  <c:v>147.98594541779283</c:v>
                </c:pt>
                <c:pt idx="16">
                  <c:v>185.31104640336281</c:v>
                </c:pt>
                <c:pt idx="17">
                  <c:v>226.84485533753849</c:v>
                </c:pt>
                <c:pt idx="18">
                  <c:v>271.93338430310985</c:v>
                </c:pt>
                <c:pt idx="19">
                  <c:v>319.74277632903346</c:v>
                </c:pt>
                <c:pt idx="20">
                  <c:v>369.30625062424014</c:v>
                </c:pt>
                <c:pt idx="21">
                  <c:v>419.57765216143588</c:v>
                </c:pt>
                <c:pt idx="22">
                  <c:v>469.48644967882433</c:v>
                </c:pt>
                <c:pt idx="23">
                  <c:v>517.98964303640321</c:v>
                </c:pt>
                <c:pt idx="24">
                  <c:v>564.11704665595107</c:v>
                </c:pt>
                <c:pt idx="25">
                  <c:v>607.00759763332223</c:v>
                </c:pt>
                <c:pt idx="26">
                  <c:v>645.93551326095621</c:v>
                </c:pt>
                <c:pt idx="27">
                  <c:v>680.32616073364238</c:v>
                </c:pt>
                <c:pt idx="28">
                  <c:v>709.76232302523113</c:v>
                </c:pt>
                <c:pt idx="29">
                  <c:v>733.9821188172757</c:v>
                </c:pt>
                <c:pt idx="30">
                  <c:v>752.87016774984818</c:v>
                </c:pt>
                <c:pt idx="31">
                  <c:v>766.44371670473595</c:v>
                </c:pt>
                <c:pt idx="32">
                  <c:v>774.83540290640667</c:v>
                </c:pt>
                <c:pt idx="33">
                  <c:v>778.27417354090267</c:v>
                </c:pt>
                <c:pt idx="34">
                  <c:v>777.06565456093165</c:v>
                </c:pt>
                <c:pt idx="35">
                  <c:v>771.57300165274</c:v>
                </c:pt>
                <c:pt idx="36">
                  <c:v>762.19900360896918</c:v>
                </c:pt>
                <c:pt idx="37">
                  <c:v>749.36996340489122</c:v>
                </c:pt>
                <c:pt idx="38">
                  <c:v>733.52166802050317</c:v>
                </c:pt>
                <c:pt idx="39">
                  <c:v>715.08758089231378</c:v>
                </c:pt>
                <c:pt idx="40">
                  <c:v>694.48925229840222</c:v>
                </c:pt>
                <c:pt idx="41">
                  <c:v>672.12884104761815</c:v>
                </c:pt>
                <c:pt idx="42">
                  <c:v>648.38357151594869</c:v>
                </c:pt>
                <c:pt idx="43">
                  <c:v>623.60190823169285</c:v>
                </c:pt>
                <c:pt idx="44">
                  <c:v>598.10121042696585</c:v>
                </c:pt>
                <c:pt idx="45">
                  <c:v>572.16662602747704</c:v>
                </c:pt>
                <c:pt idx="46">
                  <c:v>546.0509937559342</c:v>
                </c:pt>
                <c:pt idx="47">
                  <c:v>519.97553937929433</c:v>
                </c:pt>
                <c:pt idx="48">
                  <c:v>494.1311743812762</c:v>
                </c:pt>
                <c:pt idx="49">
                  <c:v>468.68022995176375</c:v>
                </c:pt>
                <c:pt idx="50">
                  <c:v>443.75848426470662</c:v>
                </c:pt>
                <c:pt idx="51">
                  <c:v>419.47736523229116</c:v>
                </c:pt>
                <c:pt idx="52">
                  <c:v>395.92623339808529</c:v>
                </c:pt>
                <c:pt idx="53">
                  <c:v>373.17466984809482</c:v>
                </c:pt>
                <c:pt idx="54">
                  <c:v>351.27471173177332</c:v>
                </c:pt>
                <c:pt idx="55">
                  <c:v>330.26299314889928</c:v>
                </c:pt>
                <c:pt idx="56">
                  <c:v>310.16276186355316</c:v>
                </c:pt>
                <c:pt idx="57">
                  <c:v>290.98575273175175</c:v>
                </c:pt>
                <c:pt idx="58">
                  <c:v>272.73390710349372</c:v>
                </c:pt>
                <c:pt idx="59">
                  <c:v>255.40093403454426</c:v>
                </c:pt>
                <c:pt idx="60">
                  <c:v>238.97371417261138</c:v>
                </c:pt>
                <c:pt idx="61">
                  <c:v>223.43355091073954</c:v>
                </c:pt>
                <c:pt idx="62">
                  <c:v>208.7572760532465</c:v>
                </c:pt>
                <c:pt idx="63">
                  <c:v>194.91821901871231</c:v>
                </c:pt>
                <c:pt idx="64">
                  <c:v>181.88704968774039</c:v>
                </c:pt>
                <c:pt idx="65">
                  <c:v>169.63250554277451</c:v>
                </c:pt>
                <c:pt idx="66">
                  <c:v>158.12201387170069</c:v>
                </c:pt>
                <c:pt idx="67">
                  <c:v>147.32221962294571</c:v>
                </c:pt>
                <c:pt idx="68">
                  <c:v>137.19942909442281</c:v>
                </c:pt>
                <c:pt idx="69">
                  <c:v>127.71997908202647</c:v>
                </c:pt>
                <c:pt idx="70">
                  <c:v>118.8505404608288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1-44DE-9DAF-9529BD98EE71}"/>
            </c:ext>
          </c:extLst>
        </c:ser>
        <c:ser>
          <c:idx val="12"/>
          <c:order val="2"/>
          <c:tx>
            <c:strRef>
              <c:f>'New_deaths - Gompertz'!$I$7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Gompertz'!$I$8:$I$78</c:f>
              <c:numCache>
                <c:formatCode>0</c:formatCode>
                <c:ptCount val="71"/>
                <c:pt idx="0">
                  <c:v>6.2634289500456672E-2</c:v>
                </c:pt>
                <c:pt idx="1">
                  <c:v>0.1524835625901621</c:v>
                </c:pt>
                <c:pt idx="2">
                  <c:v>0.34544195447593429</c:v>
                </c:pt>
                <c:pt idx="3">
                  <c:v>0.73214107950737595</c:v>
                </c:pt>
                <c:pt idx="4">
                  <c:v>1.4589332565567499</c:v>
                </c:pt>
                <c:pt idx="5">
                  <c:v>2.745933918499198</c:v>
                </c:pt>
                <c:pt idx="6">
                  <c:v>4.9023404208650758</c:v>
                </c:pt>
                <c:pt idx="7">
                  <c:v>8.3345661790384753</c:v>
                </c:pt>
                <c:pt idx="8">
                  <c:v>13.542817621554519</c:v>
                </c:pt>
                <c:pt idx="9">
                  <c:v>21.103004211630349</c:v>
                </c:pt>
                <c:pt idx="10">
                  <c:v>31.63316378041964</c:v>
                </c:pt>
                <c:pt idx="11">
                  <c:v>45.746425373044332</c:v>
                </c:pt>
                <c:pt idx="12">
                  <c:v>63.995247901664634</c:v>
                </c:pt>
                <c:pt idx="13">
                  <c:v>86.813613085992728</c:v>
                </c:pt>
                <c:pt idx="14">
                  <c:v>114.46457492575163</c:v>
                </c:pt>
                <c:pt idx="15">
                  <c:v>146.99995396891509</c:v>
                </c:pt>
                <c:pt idx="16">
                  <c:v>184.23721035059447</c:v>
                </c:pt>
                <c:pt idx="17">
                  <c:v>225.75606097028185</c:v>
                </c:pt>
                <c:pt idx="18">
                  <c:v>270.91474212322652</c:v>
                </c:pt>
                <c:pt idx="19">
                  <c:v>318.88343836316693</c:v>
                </c:pt>
                <c:pt idx="20">
                  <c:v>368.69064570320819</c:v>
                </c:pt>
                <c:pt idx="21">
                  <c:v>419.27728041772821</c:v>
                </c:pt>
                <c:pt idx="22">
                  <c:v>469.55318246159351</c:v>
                </c:pt>
                <c:pt idx="23">
                  <c:v>518.45116517759755</c:v>
                </c:pt>
                <c:pt idx="24">
                  <c:v>564.97472761190681</c:v>
                </c:pt>
                <c:pt idx="25">
                  <c:v>608.23674980165026</c:v>
                </c:pt>
                <c:pt idx="26">
                  <c:v>647.48773390533381</c:v>
                </c:pt>
                <c:pt idx="27">
                  <c:v>682.13328076317134</c:v>
                </c:pt>
                <c:pt idx="28">
                  <c:v>711.7414042185037</c:v>
                </c:pt>
                <c:pt idx="29">
                  <c:v>736.04093955738051</c:v>
                </c:pt>
                <c:pt idx="30">
                  <c:v>754.91269637435403</c:v>
                </c:pt>
                <c:pt idx="31">
                  <c:v>768.37516889802691</c:v>
                </c:pt>
                <c:pt idx="32">
                  <c:v>776.56659427752061</c:v>
                </c:pt>
                <c:pt idx="33">
                  <c:v>779.72499362040207</c:v>
                </c:pt>
                <c:pt idx="34">
                  <c:v>778.16759183103943</c:v>
                </c:pt>
                <c:pt idx="35">
                  <c:v>772.27073372457869</c:v>
                </c:pt>
                <c:pt idx="36">
                  <c:v>762.45112932246445</c:v>
                </c:pt>
                <c:pt idx="37">
                  <c:v>749.14899468865372</c:v>
                </c:pt>
                <c:pt idx="38">
                  <c:v>732.8134211687277</c:v>
                </c:pt>
                <c:pt idx="39">
                  <c:v>713.89011301150845</c:v>
                </c:pt>
                <c:pt idx="40">
                  <c:v>692.81148296736797</c:v>
                </c:pt>
                <c:pt idx="41">
                  <c:v>669.98898550243212</c:v>
                </c:pt>
                <c:pt idx="42">
                  <c:v>645.80749323422629</c:v>
                </c:pt>
                <c:pt idx="43">
                  <c:v>620.62147833449785</c:v>
                </c:pt>
                <c:pt idx="44">
                  <c:v>594.75274086166712</c:v>
                </c:pt>
                <c:pt idx="45">
                  <c:v>568.48942443398653</c:v>
                </c:pt>
                <c:pt idx="46">
                  <c:v>542.08607110780633</c:v>
                </c:pt>
                <c:pt idx="47">
                  <c:v>515.76448735576753</c:v>
                </c:pt>
                <c:pt idx="48">
                  <c:v>489.71521807077522</c:v>
                </c:pt>
                <c:pt idx="49">
                  <c:v>464.09945279315656</c:v>
                </c:pt>
                <c:pt idx="50">
                  <c:v>439.05121584124544</c:v>
                </c:pt>
                <c:pt idx="51">
                  <c:v>414.67971831152005</c:v>
                </c:pt>
                <c:pt idx="52">
                  <c:v>391.07177409947985</c:v>
                </c:pt>
                <c:pt idx="53">
                  <c:v>368.29420366633144</c:v>
                </c:pt>
                <c:pt idx="54">
                  <c:v>346.39616802309183</c:v>
                </c:pt>
                <c:pt idx="55">
                  <c:v>325.41139131691097</c:v>
                </c:pt>
                <c:pt idx="56">
                  <c:v>305.36024361984414</c:v>
                </c:pt>
                <c:pt idx="57">
                  <c:v>286.2516662615206</c:v>
                </c:pt>
                <c:pt idx="58">
                  <c:v>268.08493058500898</c:v>
                </c:pt>
                <c:pt idx="59">
                  <c:v>250.8512276284774</c:v>
                </c:pt>
                <c:pt idx="60">
                  <c:v>234.53509123017128</c:v>
                </c:pt>
                <c:pt idx="61">
                  <c:v>219.11566069111174</c:v>
                </c:pt>
                <c:pt idx="62">
                  <c:v>204.56779165518094</c:v>
                </c:pt>
                <c:pt idx="63">
                  <c:v>190.86302549847443</c:v>
                </c:pt>
                <c:pt idx="64">
                  <c:v>177.97042844844088</c:v>
                </c:pt>
                <c:pt idx="65">
                  <c:v>165.85731203945639</c:v>
                </c:pt>
                <c:pt idx="66">
                  <c:v>154.48984648959461</c:v>
                </c:pt>
                <c:pt idx="67">
                  <c:v>143.83357826393436</c:v>
                </c:pt>
                <c:pt idx="68">
                  <c:v>133.85386256206507</c:v>
                </c:pt>
                <c:pt idx="69">
                  <c:v>124.51622080250256</c:v>
                </c:pt>
                <c:pt idx="70">
                  <c:v>115.78663242994821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1-44DE-9DAF-9529BD98EE71}"/>
            </c:ext>
          </c:extLst>
        </c:ser>
        <c:ser>
          <c:idx val="6"/>
          <c:order val="6"/>
          <c:tx>
            <c:strRef>
              <c:f>'New_deaths - Gompertz'!$R$7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Gompertz'!$R$8:$R$78</c:f>
              <c:numCache>
                <c:formatCode>0</c:formatCode>
                <c:ptCount val="71"/>
                <c:pt idx="0">
                  <c:v>4.5062140239828186E-2</c:v>
                </c:pt>
                <c:pt idx="1">
                  <c:v>0.11233858446950173</c:v>
                </c:pt>
                <c:pt idx="2">
                  <c:v>0.25899181431244428</c:v>
                </c:pt>
                <c:pt idx="3">
                  <c:v>0.55558583835390496</c:v>
                </c:pt>
                <c:pt idx="4">
                  <c:v>1.1152771297325998</c:v>
                </c:pt>
                <c:pt idx="5">
                  <c:v>2.1059411836008408</c:v>
                </c:pt>
                <c:pt idx="6">
                  <c:v>3.758623526817376</c:v>
                </c:pt>
                <c:pt idx="7">
                  <c:v>6.3687457541750847</c:v>
                </c:pt>
                <c:pt idx="8">
                  <c:v>10.287118112896531</c:v>
                </c:pt>
                <c:pt idx="9">
                  <c:v>15.899419627117082</c:v>
                </c:pt>
                <c:pt idx="10">
                  <c:v>23.595068977205123</c:v>
                </c:pt>
                <c:pt idx="11">
                  <c:v>33.728742595795751</c:v>
                </c:pt>
                <c:pt idx="12">
                  <c:v>46.57957558972295</c:v>
                </c:pt>
                <c:pt idx="13">
                  <c:v>62.313847091033864</c:v>
                </c:pt>
                <c:pt idx="14">
                  <c:v>80.956544225878687</c:v>
                </c:pt>
                <c:pt idx="15">
                  <c:v>102.37577378064353</c:v>
                </c:pt>
                <c:pt idx="16">
                  <c:v>126.28193478196675</c:v>
                </c:pt>
                <c:pt idx="17">
                  <c:v>152.24135848815095</c:v>
                </c:pt>
                <c:pt idx="18">
                  <c:v>179.70220122454106</c:v>
                </c:pt>
                <c:pt idx="19">
                  <c:v>208.02903903712257</c:v>
                </c:pt>
                <c:pt idx="20">
                  <c:v>236.54198625361093</c:v>
                </c:pt>
                <c:pt idx="21">
                  <c:v>264.556208623766</c:v>
                </c:pt>
                <c:pt idx="22">
                  <c:v>291.41827980482009</c:v>
                </c:pt>
                <c:pt idx="23">
                  <c:v>316.53673773962265</c:v>
                </c:pt>
                <c:pt idx="24">
                  <c:v>339.40523300656412</c:v>
                </c:pt>
                <c:pt idx="25">
                  <c:v>359.61765651825579</c:v>
                </c:pt>
                <c:pt idx="26">
                  <c:v>376.87547304177673</c:v>
                </c:pt>
                <c:pt idx="27">
                  <c:v>390.98810862809012</c:v>
                </c:pt>
                <c:pt idx="28">
                  <c:v>401.86762984662278</c:v>
                </c:pt>
                <c:pt idx="29">
                  <c:v>409.51913043810373</c:v>
                </c:pt>
                <c:pt idx="30">
                  <c:v>414.02824651853763</c:v>
                </c:pt>
                <c:pt idx="31">
                  <c:v>415.54710279538057</c:v>
                </c:pt>
                <c:pt idx="32">
                  <c:v>414.2797965564227</c:v>
                </c:pt>
                <c:pt idx="33">
                  <c:v>410.46829417628379</c:v>
                </c:pt>
                <c:pt idx="34">
                  <c:v>404.37937813038621</c:v>
                </c:pt>
                <c:pt idx="35">
                  <c:v>396.29306294315637</c:v>
                </c:pt>
                <c:pt idx="36">
                  <c:v>386.49270931097186</c:v>
                </c:pt>
                <c:pt idx="37">
                  <c:v>375.25691289909741</c:v>
                </c:pt>
                <c:pt idx="38">
                  <c:v>362.85312882564921</c:v>
                </c:pt>
                <c:pt idx="39">
                  <c:v>349.53291192800873</c:v>
                </c:pt>
                <c:pt idx="40">
                  <c:v>335.52860186083791</c:v>
                </c:pt>
                <c:pt idx="41">
                  <c:v>321.05125533473233</c:v>
                </c:pt>
                <c:pt idx="42">
                  <c:v>306.28961974145039</c:v>
                </c:pt>
                <c:pt idx="43">
                  <c:v>291.40994784243674</c:v>
                </c:pt>
                <c:pt idx="44">
                  <c:v>276.55646766185316</c:v>
                </c:pt>
                <c:pt idx="45">
                  <c:v>261.85234159357503</c:v>
                </c:pt>
                <c:pt idx="46">
                  <c:v>247.40097119702202</c:v>
                </c:pt>
                <c:pt idx="47">
                  <c:v>233.2875271608315</c:v>
                </c:pt>
                <c:pt idx="48">
                  <c:v>219.58060603596988</c:v>
                </c:pt>
                <c:pt idx="49">
                  <c:v>206.33393567777841</c:v>
                </c:pt>
                <c:pt idx="50">
                  <c:v>193.58806938657776</c:v>
                </c:pt>
                <c:pt idx="51">
                  <c:v>181.3720242911553</c:v>
                </c:pt>
                <c:pt idx="52">
                  <c:v>169.70483257828545</c:v>
                </c:pt>
                <c:pt idx="53">
                  <c:v>158.59698487017189</c:v>
                </c:pt>
                <c:pt idx="54">
                  <c:v>148.05175360759111</c:v>
                </c:pt>
                <c:pt idx="55">
                  <c:v>138.06639096773304</c:v>
                </c:pt>
                <c:pt idx="56">
                  <c:v>128.63320090269764</c:v>
                </c:pt>
                <c:pt idx="57">
                  <c:v>119.74048859074939</c:v>
                </c:pt>
                <c:pt idx="58">
                  <c:v>111.37339319223729</c:v>
                </c:pt>
                <c:pt idx="59">
                  <c:v>103.51461151447097</c:v>
                </c:pt>
                <c:pt idx="60">
                  <c:v>96.145021205372188</c:v>
                </c:pt>
                <c:pt idx="61">
                  <c:v>89.244212576414697</c:v>
                </c:pt>
                <c:pt idx="62">
                  <c:v>82.790938236153451</c:v>
                </c:pt>
                <c:pt idx="63">
                  <c:v>76.763489506776267</c:v>
                </c:pt>
                <c:pt idx="64">
                  <c:v>71.140008186059035</c:v>
                </c:pt>
                <c:pt idx="65">
                  <c:v>65.898741675564054</c:v>
                </c:pt>
                <c:pt idx="66">
                  <c:v>61.018248876766862</c:v>
                </c:pt>
                <c:pt idx="67">
                  <c:v>56.47756360078705</c:v>
                </c:pt>
                <c:pt idx="68">
                  <c:v>52.256321574618376</c:v>
                </c:pt>
                <c:pt idx="69">
                  <c:v>48.334856478726557</c:v>
                </c:pt>
                <c:pt idx="70">
                  <c:v>44.694269832384784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1-44DE-9DAF-9529BD98EE71}"/>
            </c:ext>
          </c:extLst>
        </c:ser>
        <c:ser>
          <c:idx val="10"/>
          <c:order val="10"/>
          <c:tx>
            <c:strRef>
              <c:f>'New_deaths - Gompertz'!$Z$7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Gompertz'!$C$8:$C$78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Gompertz'!$Z$8:$Z$78</c:f>
              <c:numCache>
                <c:formatCode>0</c:formatCode>
                <c:ptCount val="71"/>
                <c:pt idx="0">
                  <c:v>1.05175645286411E-2</c:v>
                </c:pt>
                <c:pt idx="1">
                  <c:v>2.6823868846565749E-2</c:v>
                </c:pt>
                <c:pt idx="2">
                  <c:v>6.36432788829768E-2</c:v>
                </c:pt>
                <c:pt idx="3">
                  <c:v>0.14120557296713879</c:v>
                </c:pt>
                <c:pt idx="4">
                  <c:v>0.29437584092343733</c:v>
                </c:pt>
                <c:pt idx="5">
                  <c:v>0.57921190861827077</c:v>
                </c:pt>
                <c:pt idx="6">
                  <c:v>1.0800738914054797</c:v>
                </c:pt>
                <c:pt idx="7">
                  <c:v>1.9160966556838364</c:v>
                </c:pt>
                <c:pt idx="8">
                  <c:v>3.2454685090485751</c:v>
                </c:pt>
                <c:pt idx="9">
                  <c:v>5.2658783901665371</c:v>
                </c:pt>
                <c:pt idx="10">
                  <c:v>8.2097950659988275</c:v>
                </c:pt>
                <c:pt idx="11">
                  <c:v>12.333918523355351</c:v>
                </c:pt>
                <c:pt idx="12">
                  <c:v>17.903077996833954</c:v>
                </c:pt>
                <c:pt idx="13">
                  <c:v>25.16984480730882</c:v>
                </c:pt>
                <c:pt idx="14">
                  <c:v>34.35196060754231</c:v>
                </c:pt>
                <c:pt idx="15">
                  <c:v>45.610171637149314</c:v>
                </c:pt>
                <c:pt idx="16">
                  <c:v>59.029111621396041</c:v>
                </c:pt>
                <c:pt idx="17">
                  <c:v>74.603496849387525</c:v>
                </c:pt>
                <c:pt idx="18">
                  <c:v>92.231183078568819</c:v>
                </c:pt>
                <c:pt idx="19">
                  <c:v>111.71373729191089</c:v>
                </c:pt>
                <c:pt idx="20">
                  <c:v>132.76426437062921</c:v>
                </c:pt>
                <c:pt idx="21">
                  <c:v>155.02144353766988</c:v>
                </c:pt>
                <c:pt idx="22">
                  <c:v>178.06816987400421</c:v>
                </c:pt>
                <c:pt idx="23">
                  <c:v>201.45290529678059</c:v>
                </c:pt>
                <c:pt idx="24">
                  <c:v>224.71181364938701</c:v>
                </c:pt>
                <c:pt idx="25">
                  <c:v>247.38994111506648</c:v>
                </c:pt>
                <c:pt idx="26">
                  <c:v>269.06004021917943</c:v>
                </c:pt>
                <c:pt idx="27">
                  <c:v>289.33805210555226</c:v>
                </c:pt>
                <c:pt idx="28">
                  <c:v>307.89469317860835</c:v>
                </c:pt>
                <c:pt idx="29">
                  <c:v>324.46298837917203</c:v>
                </c:pt>
                <c:pt idx="30">
                  <c:v>338.84192123131049</c:v>
                </c:pt>
                <c:pt idx="31">
                  <c:v>350.89661390935538</c:v>
                </c:pt>
                <c:pt idx="32">
                  <c:v>360.55560634998392</c:v>
                </c:pt>
                <c:pt idx="33">
                  <c:v>367.80587936461882</c:v>
                </c:pt>
                <c:pt idx="34">
                  <c:v>372.68627643054543</c:v>
                </c:pt>
                <c:pt idx="35">
                  <c:v>375.27993870958358</c:v>
                </c:pt>
                <c:pt idx="36">
                  <c:v>375.70629429799737</c:v>
                </c:pt>
                <c:pt idx="37">
                  <c:v>374.11305050579381</c:v>
                </c:pt>
                <c:pt idx="38">
                  <c:v>370.66853919485396</c:v>
                </c:pt>
                <c:pt idx="39">
                  <c:v>365.55466896430505</c:v>
                </c:pt>
                <c:pt idx="40">
                  <c:v>358.96065043756431</c:v>
                </c:pt>
                <c:pt idx="41">
                  <c:v>351.07758571288588</c:v>
                </c:pt>
                <c:pt idx="42">
                  <c:v>342.09395177449824</c:v>
                </c:pt>
                <c:pt idx="43">
                  <c:v>332.19196038925611</c:v>
                </c:pt>
                <c:pt idx="44">
                  <c:v>321.54474276511269</c:v>
                </c:pt>
                <c:pt idx="45">
                  <c:v>310.314284433902</c:v>
                </c:pt>
                <c:pt idx="46">
                  <c:v>298.65002255891216</c:v>
                </c:pt>
                <c:pt idx="47">
                  <c:v>286.68801221846286</c:v>
                </c:pt>
                <c:pt idx="48">
                  <c:v>274.55056834530632</c:v>
                </c:pt>
                <c:pt idx="49">
                  <c:v>262.34629427398534</c:v>
                </c:pt>
                <c:pt idx="50">
                  <c:v>250.17041487812887</c:v>
                </c:pt>
                <c:pt idx="51">
                  <c:v>238.10534094113589</c:v>
                </c:pt>
                <c:pt idx="52">
                  <c:v>226.22140081979987</c:v>
                </c:pt>
                <c:pt idx="53">
                  <c:v>214.57768497792293</c:v>
                </c:pt>
                <c:pt idx="54">
                  <c:v>203.22295812418224</c:v>
                </c:pt>
                <c:pt idx="55">
                  <c:v>192.19660218116624</c:v>
                </c:pt>
                <c:pt idx="56">
                  <c:v>181.52956096085552</c:v>
                </c:pt>
                <c:pt idx="57">
                  <c:v>171.24526414100237</c:v>
                </c:pt>
                <c:pt idx="58">
                  <c:v>161.36051391125645</c:v>
                </c:pt>
                <c:pt idx="59">
                  <c:v>151.88632252007329</c:v>
                </c:pt>
                <c:pt idx="60">
                  <c:v>142.82869296723919</c:v>
                </c:pt>
                <c:pt idx="61">
                  <c:v>134.18933833432484</c:v>
                </c:pt>
                <c:pt idx="62">
                  <c:v>125.96633781709305</c:v>
                </c:pt>
                <c:pt idx="63">
                  <c:v>118.15472951193603</c:v>
                </c:pt>
                <c:pt idx="64">
                  <c:v>110.74704150168135</c:v>
                </c:pt>
                <c:pt idx="65">
                  <c:v>103.73376386721046</c:v>
                </c:pt>
                <c:pt idx="66">
                  <c:v>97.10376499493384</c:v>
                </c:pt>
                <c:pt idx="67">
                  <c:v>90.844656022158659</c:v>
                </c:pt>
                <c:pt idx="68">
                  <c:v>84.943107519804443</c:v>
                </c:pt>
                <c:pt idx="69">
                  <c:v>79.385122603299919</c:v>
                </c:pt>
                <c:pt idx="70">
                  <c:v>74.15627062844402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Gompertz'!$AF$14</c:f>
              <c:numCache>
                <c:formatCode>0.0000</c:formatCode>
                <c:ptCount val="1"/>
                <c:pt idx="0">
                  <c:v>0.97221442862463414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05-B250-3CD275ABE471}"/>
            </c:ext>
          </c:extLst>
        </c:ser>
        <c:ser>
          <c:idx val="1"/>
          <c:order val="1"/>
          <c:tx>
            <c:strRef>
              <c:f>'New_deaths - Gompertz'!$AE$16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Gompertz'!$AF$16</c:f>
              <c:numCache>
                <c:formatCode>0</c:formatCode>
                <c:ptCount val="1"/>
                <c:pt idx="0">
                  <c:v>137.97956575194524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605-B250-3CD275ABE471}"/>
            </c:ext>
          </c:extLst>
        </c:ser>
        <c:ser>
          <c:idx val="2"/>
          <c:order val="2"/>
          <c:tx>
            <c:strRef>
              <c:f>'New_deaths - Gompertz'!$AE$17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Gompertz'!$AF$17</c:f>
              <c:numCache>
                <c:formatCode>0</c:formatCode>
                <c:ptCount val="1"/>
                <c:pt idx="0">
                  <c:v>778.27417354090267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605-B250-3CD275ABE471}"/>
            </c:ext>
          </c:extLst>
        </c:ser>
        <c:ser>
          <c:idx val="3"/>
          <c:order val="3"/>
          <c:tx>
            <c:strRef>
              <c:f>'New_deaths - Gompertz'!$AE$18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Gompertz'!$AF$18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605-B250-3CD275AB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Gompertz'!$AF$26</c:f>
              <c:numCache>
                <c:formatCode>0.0000</c:formatCode>
                <c:ptCount val="1"/>
                <c:pt idx="0">
                  <c:v>0.92917873728580769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9-4C13-9204-0FF03DD5D144}"/>
            </c:ext>
          </c:extLst>
        </c:ser>
        <c:ser>
          <c:idx val="1"/>
          <c:order val="1"/>
          <c:tx>
            <c:strRef>
              <c:f>'New_deaths - Gompertz'!$AE$28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Gompertz'!$AF$28</c:f>
              <c:numCache>
                <c:formatCode>0</c:formatCode>
                <c:ptCount val="1"/>
                <c:pt idx="0">
                  <c:v>121.76860927368764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9-4C13-9204-0FF03DD5D144}"/>
            </c:ext>
          </c:extLst>
        </c:ser>
        <c:ser>
          <c:idx val="2"/>
          <c:order val="2"/>
          <c:tx>
            <c:strRef>
              <c:f>'New_deaths - Gompertz'!$AE$29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Gompertz'!$AF$29</c:f>
              <c:numCache>
                <c:formatCode>0</c:formatCode>
                <c:ptCount val="1"/>
                <c:pt idx="0">
                  <c:v>415.54849678152959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9-4C13-9204-0FF03DD5D144}"/>
            </c:ext>
          </c:extLst>
        </c:ser>
        <c:ser>
          <c:idx val="3"/>
          <c:order val="3"/>
          <c:tx>
            <c:strRef>
              <c:f>'New_deaths - Gompertz'!$AE$30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Gompertz'!$AF$30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9-4C13-9204-0FF03DD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Gompertz'!$AF$38</c:f>
              <c:numCache>
                <c:formatCode>0.0000</c:formatCode>
                <c:ptCount val="1"/>
                <c:pt idx="0">
                  <c:v>0.97495344628255787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4-4A86-BE8D-0B44633B5D0E}"/>
            </c:ext>
          </c:extLst>
        </c:ser>
        <c:ser>
          <c:idx val="1"/>
          <c:order val="1"/>
          <c:tx>
            <c:strRef>
              <c:f>'New_deaths - Gompertz'!$AE$40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Gompertz'!$AF$40</c:f>
              <c:numCache>
                <c:formatCode>0</c:formatCode>
                <c:ptCount val="1"/>
                <c:pt idx="0">
                  <c:v>65.866909167799449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4-4A86-BE8D-0B44633B5D0E}"/>
            </c:ext>
          </c:extLst>
        </c:ser>
        <c:ser>
          <c:idx val="2"/>
          <c:order val="2"/>
          <c:tx>
            <c:strRef>
              <c:f>'New_deaths - Gompertz'!$AE$41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Gompertz'!$AF$41</c:f>
              <c:numCache>
                <c:formatCode>0</c:formatCode>
                <c:ptCount val="1"/>
                <c:pt idx="0">
                  <c:v>375.79763402848511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4-4A86-BE8D-0B44633B5D0E}"/>
            </c:ext>
          </c:extLst>
        </c:ser>
        <c:ser>
          <c:idx val="3"/>
          <c:order val="3"/>
          <c:tx>
            <c:strRef>
              <c:f>'New_deaths - Gompertz'!$AE$42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Gompertz'!$AF$42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4-4A86-BE8D-0B44633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Gompertz'!$AE$50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Gompertz'!$AF$50</c:f>
              <c:numCache>
                <c:formatCode>0.0000</c:formatCode>
                <c:ptCount val="1"/>
                <c:pt idx="0">
                  <c:v>0.97217869407169011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6-42FB-8E4E-7A7C3C0566B3}"/>
            </c:ext>
          </c:extLst>
        </c:ser>
        <c:ser>
          <c:idx val="1"/>
          <c:order val="1"/>
          <c:tx>
            <c:strRef>
              <c:f>'New_deaths - Gompertz'!$AE$52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Gompertz'!$AF$52</c:f>
              <c:numCache>
                <c:formatCode>0</c:formatCode>
                <c:ptCount val="1"/>
                <c:pt idx="0">
                  <c:v>142.734831841279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6-42FB-8E4E-7A7C3C0566B3}"/>
            </c:ext>
          </c:extLst>
        </c:ser>
        <c:ser>
          <c:idx val="2"/>
          <c:order val="2"/>
          <c:tx>
            <c:strRef>
              <c:f>'New_deaths - Gompertz'!$AE$53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Gompertz'!$AF$53</c:f>
              <c:numCache>
                <c:formatCode>0</c:formatCode>
                <c:ptCount val="1"/>
                <c:pt idx="0">
                  <c:v>779.78354617581567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6-42FB-8E4E-7A7C3C0566B3}"/>
            </c:ext>
          </c:extLst>
        </c:ser>
        <c:ser>
          <c:idx val="3"/>
          <c:order val="3"/>
          <c:tx>
            <c:strRef>
              <c:f>'New_deaths - Gompertz'!$AE$54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Gompertz'!$AF$54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6-42FB-8E4E-7A7C3C05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4014579" y="1579422"/>
          <a:ext cx="6935585" cy="5492635"/>
          <a:chOff x="20493897" y="1434353"/>
          <a:chExt cx="6940476" cy="549670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493897" y="1434353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1332638" y="234202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1218337" y="355674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4333576" y="3608837"/>
            <a:ext cx="1559001" cy="10085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4269546" y="5622085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756471" y="6571130"/>
            <a:ext cx="5582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2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85D63674-AC64-4D08-9E23-264FE1D33133}"/>
                </a:ext>
              </a:extLst>
            </xdr:cNvPr>
            <xdr:cNvSpPr txBox="1"/>
          </xdr:nvSpPr>
          <xdr:spPr>
            <a:xfrm>
              <a:off x="7232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35</xdr:col>
      <xdr:colOff>110837</xdr:colOff>
      <xdr:row>28</xdr:row>
      <xdr:rowOff>13854</xdr:rowOff>
    </xdr:from>
    <xdr:ext cx="1385454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</xdr:colOff>
      <xdr:row>6</xdr:row>
      <xdr:rowOff>16627</xdr:rowOff>
    </xdr:from>
    <xdr:to>
      <xdr:col>43</xdr:col>
      <xdr:colOff>318654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2A923A13-5722-45E4-933B-FDA5184B5B53}"/>
            </a:ext>
          </a:extLst>
        </xdr:cNvPr>
        <xdr:cNvGrpSpPr/>
      </xdr:nvGrpSpPr>
      <xdr:grpSpPr>
        <a:xfrm>
          <a:off x="40158093" y="1471354"/>
          <a:ext cx="7778634" cy="6334989"/>
          <a:chOff x="40169502" y="1307545"/>
          <a:chExt cx="7559040" cy="6283645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A66DF0D5-8484-470A-A4B0-F15CDD57AC0C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FF4F991-6874-4C08-B19A-3786024D64FD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3D4669AE-F3D9-4BDD-8B7C-C5E6BDC2701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1ACF5C08-C333-440C-8111-3647859328FA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511B37C-27D8-46E8-ACE8-818C7EBDB139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08E80AC9-CCE3-4C8A-A9F9-6FD9A575FAEB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5</xdr:col>
      <xdr:colOff>0</xdr:colOff>
      <xdr:row>2</xdr:row>
      <xdr:rowOff>0</xdr:rowOff>
    </xdr:from>
    <xdr:ext cx="174567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1DA2B986-8FD6-4DD2-9DFE-D7A7AC122B4B}"/>
                </a:ext>
              </a:extLst>
            </xdr:cNvPr>
            <xdr:cNvSpPr txBox="1"/>
          </xdr:nvSpPr>
          <xdr:spPr>
            <a:xfrm>
              <a:off x="4946073" y="484909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166262</xdr:colOff>
      <xdr:row>30</xdr:row>
      <xdr:rowOff>69273</xdr:rowOff>
    </xdr:from>
    <xdr:ext cx="1288472" cy="11083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565135" y="6165273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565135" y="6165273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𝐶𝑑𝑓=𝐾∙𝑒^(−𝑒^(− □(64&amp;(𝑡−𝑡_0)/𝑤))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595745</xdr:colOff>
      <xdr:row>9</xdr:row>
      <xdr:rowOff>13854</xdr:rowOff>
    </xdr:from>
    <xdr:ext cx="1468582" cy="95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85018" y="2202872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85018" y="2202872"/>
              <a:ext cx="146858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𝐶𝑑𝑓∙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 □(64&amp;(𝑡−𝑡_0)/𝑤))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DD43B81-D2E0-4B31-81BF-9129F4C8F46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870361A-171E-4755-A77E-8362F9E31D13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1F9D-CC3C-4C17-B7F7-93624D50D999}" name="dpc_covid19_ita_andamento_nazionale__9" displayName="dpc_covid19_ita_andamento_nazionale__9" ref="A1:O51" tableType="queryTable" totalsRowShown="0">
  <autoFilter ref="A1:O51" xr:uid="{352D8B65-82FD-4F8E-B879-ADFD0161B726}"/>
  <tableColumns count="15">
    <tableColumn id="1" xr3:uid="{8EEFB332-734C-46A1-B1D5-68D4A6C66BED}" uniqueName="1" name="data" queryTableFieldId="1" dataDxfId="56"/>
    <tableColumn id="2" xr3:uid="{BDFBB52B-26D0-4F05-BD67-332113DDD8CA}" uniqueName="2" name="stato" queryTableFieldId="2" dataDxfId="55"/>
    <tableColumn id="3" xr3:uid="{5EBCDF63-CE31-4525-867B-1274ECE2CA0A}" uniqueName="3" name="ricoverati_con_sintomi" queryTableFieldId="3"/>
    <tableColumn id="4" xr3:uid="{263BAE6B-34F3-4220-BE1D-26CC3DD7148D}" uniqueName="4" name="terapia_intensiva" queryTableFieldId="4"/>
    <tableColumn id="5" xr3:uid="{662B5C87-22B9-4BA3-8D30-972F89AE835C}" uniqueName="5" name="totale_ospedalizzati" queryTableFieldId="5"/>
    <tableColumn id="6" xr3:uid="{535C86CF-D254-4C7A-8466-8D3C68918EB8}" uniqueName="6" name="isolamento_domiciliare" queryTableFieldId="6"/>
    <tableColumn id="7" xr3:uid="{0B30836F-0707-448F-A5AA-E941DCBFC8F1}" uniqueName="7" name="totale_positivi" queryTableFieldId="7"/>
    <tableColumn id="8" xr3:uid="{25533D4C-56D5-4BFB-8A62-2C4975B12081}" uniqueName="8" name="variazione_totale_positivi" queryTableFieldId="8"/>
    <tableColumn id="9" xr3:uid="{B8DFE184-5E83-46BB-9B45-523BCE243F4E}" uniqueName="9" name="nuovi_positivi" queryTableFieldId="9"/>
    <tableColumn id="10" xr3:uid="{16DB5C85-7FC0-450C-A02D-B809C2395DC7}" uniqueName="10" name="dimessi_guariti" queryTableFieldId="10"/>
    <tableColumn id="11" xr3:uid="{90FAD4E2-5C78-4725-A446-2ED060C63D8A}" uniqueName="11" name="deceduti" queryTableFieldId="11"/>
    <tableColumn id="12" xr3:uid="{C319D95F-7C76-47D2-AF31-A4CA1DBF911D}" uniqueName="12" name="totale_casi" queryTableFieldId="12"/>
    <tableColumn id="13" xr3:uid="{B2BE763E-0C1E-4314-96CF-E5EFCF5889AA}" uniqueName="13" name="tamponi" queryTableFieldId="13"/>
    <tableColumn id="14" xr3:uid="{9C60E67A-A02A-4667-993F-449C650B16AE}" uniqueName="14" name="note_it" queryTableFieldId="14" dataDxfId="54"/>
    <tableColumn id="15" xr3:uid="{45F79249-FBF8-416D-803C-F50CE2D539F7}" uniqueName="15" name="note_en" queryTableFieldId="15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CCD0A-C2A9-4E31-B249-F5E9B9CB8676}" name="dpc_covid19_ita_regioni__4" displayName="dpc_covid19_ita_regioni__4" ref="A1:S1051" tableType="queryTable" totalsRowShown="0">
  <autoFilter ref="A1:S1051" xr:uid="{61AED931-4BAD-4EA6-925E-4B1C4E46BA30}">
    <filterColumn colId="2">
      <filters>
        <filter val="3"/>
      </filters>
    </filterColumn>
  </autoFilter>
  <tableColumns count="19">
    <tableColumn id="1" xr3:uid="{79814438-B151-4E69-9958-006B8D6A3C37}" uniqueName="1" name="data" queryTableFieldId="1" dataDxfId="52"/>
    <tableColumn id="2" xr3:uid="{0FFF0BA2-0DE1-46D6-8E47-458CCC6B80F8}" uniqueName="2" name="stato" queryTableFieldId="2" dataDxfId="51"/>
    <tableColumn id="3" xr3:uid="{DB465C6F-A730-4302-998E-0AAC0EA25512}" uniqueName="3" name="codice_regione" queryTableFieldId="3"/>
    <tableColumn id="4" xr3:uid="{7BD0B7AD-E208-49E4-A82A-E50444A1C4A4}" uniqueName="4" name="denominazione_regione" queryTableFieldId="4" dataDxfId="50"/>
    <tableColumn id="5" xr3:uid="{86054645-26FE-48C8-AB54-972897FC6557}" uniqueName="5" name="lat" queryTableFieldId="5"/>
    <tableColumn id="6" xr3:uid="{C9D6B838-804B-407E-92B3-7223903F99E2}" uniqueName="6" name="long" queryTableFieldId="6"/>
    <tableColumn id="7" xr3:uid="{59D07E1A-FDE3-4E3C-8D8E-907FC37AFBAA}" uniqueName="7" name="ricoverati_con_sintomi" queryTableFieldId="7"/>
    <tableColumn id="8" xr3:uid="{C5873FD6-F3F3-498D-84B7-3FCC68618A62}" uniqueName="8" name="terapia_intensiva" queryTableFieldId="8"/>
    <tableColumn id="9" xr3:uid="{C5258D14-0E28-4995-A05A-294BCAB1063D}" uniqueName="9" name="totale_ospedalizzati" queryTableFieldId="9"/>
    <tableColumn id="10" xr3:uid="{2BE4B4E9-3FC2-484E-B26F-55417378E860}" uniqueName="10" name="isolamento_domiciliare" queryTableFieldId="10"/>
    <tableColumn id="11" xr3:uid="{D74134E4-C9AD-4104-A911-326BAB72E5C3}" uniqueName="11" name="totale_positivi" queryTableFieldId="11"/>
    <tableColumn id="12" xr3:uid="{378C9891-4635-432C-A82A-29C822C5FFD2}" uniqueName="12" name="variazione_totale_positivi" queryTableFieldId="12"/>
    <tableColumn id="13" xr3:uid="{38D5D8F9-4E1D-4A1C-982E-8BD84A3E841A}" uniqueName="13" name="nuovi_positivi" queryTableFieldId="13"/>
    <tableColumn id="14" xr3:uid="{A6B21E6D-B789-4002-94DA-B926BBF01966}" uniqueName="14" name="dimessi_guariti" queryTableFieldId="14"/>
    <tableColumn id="15" xr3:uid="{D2C0522E-463B-4C25-9D61-49CD985FFEFA}" uniqueName="15" name="deceduti" queryTableFieldId="15"/>
    <tableColumn id="16" xr3:uid="{1A8D538C-BA24-4939-B6FF-E781A3C5BF76}" uniqueName="16" name="totale_casi" queryTableFieldId="16"/>
    <tableColumn id="17" xr3:uid="{11AFD5E4-685C-494F-9080-6667117C5B78}" uniqueName="17" name="tamponi" queryTableFieldId="17"/>
    <tableColumn id="18" xr3:uid="{3C0D5FF0-15A3-4914-BC88-568A235E65DD}" uniqueName="18" name="note_it" queryTableFieldId="18" dataDxfId="49"/>
    <tableColumn id="19" xr3:uid="{C09BBE87-59EE-4129-B06D-09EB75591CB1}" uniqueName="19" name="note_en" queryTableFieldId="1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78" totalsRowShown="0" headerRowDxfId="47">
  <autoFilter ref="B7:W78" xr:uid="{3FC8D4CB-1CF6-4469-84DF-7F0ECB3BF752}"/>
  <tableColumns count="22">
    <tableColumn id="1" xr3:uid="{23135A61-F766-418E-98E1-4B28EB0245EB}" name="Date" dataDxfId="46"/>
    <tableColumn id="2" xr3:uid="{9D31CCAA-E745-495E-AC65-4EE7E5B7C948}" name="Day" dataDxfId="45"/>
    <tableColumn id="3" xr3:uid="{FA8347E6-D263-402C-B119-75408FAF2DAC}" name="Italy cumulative"/>
    <tableColumn id="16" xr3:uid="{8C3FDD01-6166-4DD6-9069-BBFB3B31CBAB}" name="Colonna1" dataDxfId="44">
      <calculatedColumnFormula>Tabella8[[#This Row],[Italy cumulative]]*NOT(ISBLANK(Tabella8[[#This Row],[Italy cumulative]]))</calculatedColumnFormula>
    </tableColumn>
    <tableColumn id="4" xr3:uid="{431A9A26-9F76-4785-835A-2254CAAB0D9D}" name="Italy sum" dataDxfId="43">
      <calculatedColumnFormula>Tabella8[[#This Row],[Lombardy fit]]+Tabella8[[#This Row],[rest of Italy fit]]</calculatedColumnFormula>
    </tableColumn>
    <tableColumn id="17" xr3:uid="{C448742E-FAE5-406F-BB11-395AB7117427}" name="Colonna2" dataDxfId="42">
      <calculatedColumnFormula>Tabella8[[#This Row],[Italy sum]]*NOT(ISBLANK(Tabella8[[#This Row],[Italy cumulative]]))</calculatedColumnFormula>
    </tableColumn>
    <tableColumn id="15" xr3:uid="{EBAC123C-04E4-45BF-87F2-E1463644B09E}" name="Italy fit" dataDxfId="41">
      <calculatedColumnFormula>Kt*EXP(-EXP(-(Tabella8[[#This Row],[Day]]-t0t)/wt))</calculatedColumnFormula>
    </tableColumn>
    <tableColumn id="18" xr3:uid="{BB0581BF-B4E8-454D-A58F-7896262EF839}" name="Colonna3" dataDxfId="40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/>
    <tableColumn id="19" xr3:uid="{F96B47FC-7C3A-47A5-B0B6-FBBA6A0E9F53}" name="Colonna4" dataDxfId="39">
      <calculatedColumnFormula>Tabella8[[#This Row],[Lombardy]]*NOT(ISBLANK(Tabella8[[#This Row],[Lombardy]]))</calculatedColumnFormula>
    </tableColumn>
    <tableColumn id="8" xr3:uid="{FFDFB21E-6B95-4CB3-BEAA-17A88953AF1A}" name="Lombardy fit" dataDxfId="38">
      <calculatedColumnFormula>Kr*EXP(-EXP(-(Tabella8[[#This Row],[Day]]-t0r)/wr))</calculatedColumnFormula>
    </tableColumn>
    <tableColumn id="20" xr3:uid="{E0C56B36-41D5-4E63-90C0-BEF19D5CF307}" name="Colonna5" dataDxfId="37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36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35">
      <calculatedColumnFormula>Ko*EXP(-EXP(-(Tabella8[[#This Row],[Day]]-t0o)/wo))</calculatedColumnFormula>
    </tableColumn>
    <tableColumn id="22" xr3:uid="{D4BF3042-F3E5-4A11-865A-5C285EB3D460}" name="Colonna7" dataDxfId="34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33" dataDxfId="32">
  <autoFilter ref="Y7:Z17" xr:uid="{FE44A3F6-B4C2-400B-AA9A-283E33E9F7C7}"/>
  <tableColumns count="2">
    <tableColumn id="1" xr3:uid="{D2583FE2-794A-4D14-88A1-0EEE16DA7363}" name="Whole country sum" dataDxfId="31"/>
    <tableColumn id="2" xr3:uid="{7AD72336-12D4-4A52-8169-8B6FC2AAA773}" name="Italy sum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29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28">
  <autoFilter ref="Y29:Z39" xr:uid="{4F62C887-D7E5-4422-A98B-007740B545EB}"/>
  <tableColumns count="2">
    <tableColumn id="1" xr3:uid="{BDF94A07-4A3B-4AEE-A628-F130488AED7A}" name="outside" dataDxfId="27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26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78" totalsRowShown="0" headerRowDxfId="25">
  <autoFilter ref="B7:AC78" xr:uid="{5E78D83D-6C25-40E0-A2DB-B68F6AAB46EA}"/>
  <tableColumns count="28">
    <tableColumn id="1" xr3:uid="{AC9FAB61-B731-40E3-83D5-22123EF8AE0D}" name="Date" dataDxfId="24"/>
    <tableColumn id="2" xr3:uid="{AB3B8E39-CEE3-43EE-B1A6-8D28135CAFC6}" name="Day" dataDxfId="23"/>
    <tableColumn id="3" xr3:uid="{DDACA13A-A286-4F18-9A4D-05064582A36A}" name="Cum_Italy"/>
    <tableColumn id="4" xr3:uid="{4A764917-3626-4415-9B41-E9B90EFD7FA4}" name="Italy" dataDxfId="22"/>
    <tableColumn id="21" xr3:uid="{C976B52B-2786-4CB4-B206-E98A3E1A4632}" name="Colonna1" dataDxfId="21">
      <calculatedColumnFormula>Tabella3[[#This Row],[Italy]]*NOT(ISBLANK(Tabella3[[#This Row],[Italy]]))</calculatedColumnFormula>
    </tableColumn>
    <tableColumn id="5" xr3:uid="{3DBA7757-647A-453D-A0D3-43B83465DD6F}" name="Cum_D_fit" dataDxfId="20">
      <calculatedColumnFormula>Tabella3[[#This Row],[Cum_L_fit]]+Tabella3[[#This Row],[Cum_o_fit]]</calculatedColumnFormula>
    </tableColumn>
    <tableColumn id="6" xr3:uid="{ADF84F98-C9B1-4D4E-965D-1E7BE56AE313}" name="Italy sum" dataDxfId="19">
      <calculatedColumnFormula>Tabella3[[#This Row],[Lombardy fit]]+Tabella3[[#This Row],[rest of Italy fit]]</calculatedColumnFormula>
    </tableColumn>
    <tableColumn id="27" xr3:uid="{314DDD96-3EEF-47F6-A093-677CC3B78412}" name="Italy fit" dataDxfId="18">
      <calculatedColumnFormula>Kf*EXP(-EXP(-(Tabella3[[#This Row],[Day]]-t0f)/wf))*EXP(-(Tabella3[[#This Row],[Day]]-t0f)/wf)/wf</calculatedColumnFormula>
    </tableColumn>
    <tableColumn id="22" xr3:uid="{7CB6D2CF-1488-45DF-B3D3-DA9FCE991397}" name="Colonna2" dataDxfId="17">
      <calculatedColumnFormula>Tabella3[[#This Row],[Italy sum]]*NOT(ISBLANK(Tabella3[[#This Row],[Italy]]))</calculatedColumnFormula>
    </tableColumn>
    <tableColumn id="28" xr3:uid="{B7998AB9-1622-4307-B253-C5A912B69B6C}" name="Colonna22" dataDxfId="16">
      <calculatedColumnFormula>Tabella3[[#This Row],[Italy fit]]*NOT(ISBLANK(Tabella3[[#This Row],[Italy]]))</calculatedColumnFormula>
    </tableColumn>
    <tableColumn id="7" xr3:uid="{FD2AFF0D-028F-4079-9B67-B1C4C865DA70}" name="Wh_c_Upper CI"/>
    <tableColumn id="8" xr3:uid="{2C00E3C4-CD56-4BD9-82E9-BA6F629F232D}" name="Wh_c_Lower CI"/>
    <tableColumn id="9" xr3:uid="{62CAAF81-8EFB-45AC-BBA6-8D7C7B486997}" name="Cum_Lom"/>
    <tableColumn id="10" xr3:uid="{09663C31-3E7C-4611-8AF3-0C06B00BA6F1}" name="Lombardy" dataDxfId="15"/>
    <tableColumn id="23" xr3:uid="{10082EA6-D10C-44B2-9A09-0B1409F1C373}" name="Colonna3" dataDxfId="14">
      <calculatedColumnFormula>Tabella3[[#This Row],[Lombardy]]*NOT(ISBLANK(Tabella3[[#This Row],[Lombardy]]))</calculatedColumnFormula>
    </tableColumn>
    <tableColumn id="11" xr3:uid="{CDC351C1-18CE-4B4C-A65D-FD39DA8A5DED}" name="Cum_L_fit" dataDxfId="13">
      <calculatedColumnFormula>Kl*EXP(-EXP(-(Tabella3[[#This Row],[Day]]-t0l)/wl))</calculatedColumnFormula>
    </tableColumn>
    <tableColumn id="12" xr3:uid="{442CC8F3-BD05-4FDA-B285-A701402ADF1D}" name="Lombardy fit" dataDxfId="12">
      <calculatedColumnFormula>Kl*EXP(-EXP(-(Tabella3[[#This Row],[Day]]-t0l)/wl))*EXP(-(Tabella3[[#This Row],[Day]]-t0l)/wl)/wl</calculatedColumnFormula>
    </tableColumn>
    <tableColumn id="24" xr3:uid="{3735E881-B76D-4343-A940-CD03F154AD8A}" name="Colonna32" dataDxfId="11">
      <calculatedColumnFormula>Tabella3[[#This Row],[Lombardy fit]]*NOT(ISBLANK(Tabella3[[#This Row],[Lombardy]]))</calculatedColumnFormula>
    </tableColumn>
    <tableColumn id="13" xr3:uid="{EE889393-6E60-4237-9EC5-DFB1642204B7}" name="r_Upper CI"/>
    <tableColumn id="14" xr3:uid="{4BF9A623-B53D-4A7D-BCED-AF51065FBB44}" name="r_Lower CI"/>
    <tableColumn id="15" xr3:uid="{88406667-2C06-4837-8C1D-7C7FB674BC25}" name="Cum_o"/>
    <tableColumn id="16" xr3:uid="{F9696E58-DE59-43F8-B795-C68B17BE8856}" name="rest of Italy" dataDxfId="10"/>
    <tableColumn id="25" xr3:uid="{0DCF2D46-6281-4B7D-BB9E-222F69A41FF9}" name="Colonna33" dataDxfId="9">
      <calculatedColumnFormula>Tabella3[[#This Row],[rest of Italy]]*NOT(ISBLANK(Tabella3[[#This Row],[rest of Italy]]))</calculatedColumnFormula>
    </tableColumn>
    <tableColumn id="17" xr3:uid="{A81E690D-2D5C-4476-BFC1-14B6B7500BDD}" name="Cum_o_fit" dataDxfId="8">
      <calculatedColumnFormula>Ka*EXP(-EXP(-(Tabella3[[#This Row],[Day]]-t0a)/wa))</calculatedColumnFormula>
    </tableColumn>
    <tableColumn id="18" xr3:uid="{84CE2F6C-88D6-4F6C-BCE7-AB2A3AB959DB}" name="rest of Italy fit" dataDxfId="7">
      <calculatedColumnFormula>Ka*EXP(-EXP(-(Tabella3[[#This Row],[Day]]-t0a)/wa))*EXP(-(Tabella3[[#This Row],[Day]]-t0a)/wa)/wa</calculatedColumnFormula>
    </tableColumn>
    <tableColumn id="26" xr3:uid="{09DF6F78-AD5E-4D2B-8B55-4D9808403ED3}" name="Colonna322" dataDxfId="6">
      <calculatedColumnFormula>Tabella3[[#This Row],[rest of Italy fit]]*NOT(ISBLANK(Tabella3[[#This Row],[rest of Italy]]))</calculatedColumnFormula>
    </tableColumn>
    <tableColumn id="19" xr3:uid="{825B4302-D347-4A3A-B1B4-0C960AAFF399}" name="o_r_Upper CI"/>
    <tableColumn id="20" xr3:uid="{E509F0A5-EBDA-42F5-8E21-168F4C595F15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5" dataDxfId="4">
  <autoFilter ref="AE7:AF18" xr:uid="{00766B7A-46BC-4E07-B4A9-02AE45892E82}"/>
  <tableColumns count="2">
    <tableColumn id="1" xr3:uid="{E4319721-3F80-4342-9D0A-B78DF39299B8}" name="Whole country sum" dataDxfId="3"/>
    <tableColumn id="2" xr3:uid="{B084DEAD-F4A7-4385-950A-B66123852865}" name="Italy sum" dataDxfId="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0" totalsRowShown="0">
  <autoFilter ref="AE19:AF30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1:AF42" totalsRowShown="0" headerRowDxfId="1">
  <autoFilter ref="AE31:AF42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3:AF54" totalsRowShown="0" headerRowDxfId="0">
  <autoFilter ref="AE43:AF54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" dT="2020-04-13T00:14:38.76" personId="{46504131-ADD3-4530-BCC7-16E4FED1C2C4}" id="{9245F79D-0A65-47DF-94F6-E3B4785505E5}">
    <text>Saturation value or carrying capalcity</text>
  </threadedComment>
  <threadedComment ref="AA4" dT="2020-04-13T00:15:06.31" personId="{46504131-ADD3-4530-BCC7-16E4FED1C2C4}" id="{508682D8-E4CA-4254-BC8F-0BEE1BE81BAD}">
    <text>Point of inflection</text>
  </threadedComment>
  <threadedComment ref="AA5" dT="2020-04-13T00:16:48.93" personId="{46504131-ADD3-4530-BCC7-16E4FED1C2C4}" id="{060E0141-247F-4A90-AA8B-0CA71CEA93DC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34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4">
        <v>43885.75</v>
      </c>
      <c r="B2" s="13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3" t="s">
        <v>27</v>
      </c>
      <c r="O2" s="13" t="s">
        <v>27</v>
      </c>
    </row>
    <row r="3" spans="1:15" x14ac:dyDescent="0.3">
      <c r="A3" s="14">
        <v>43886.75</v>
      </c>
      <c r="B3" s="13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3" t="s">
        <v>27</v>
      </c>
      <c r="O3" s="13" t="s">
        <v>27</v>
      </c>
    </row>
    <row r="4" spans="1:15" x14ac:dyDescent="0.3">
      <c r="A4" s="14">
        <v>43887.75</v>
      </c>
      <c r="B4" s="13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3" t="s">
        <v>27</v>
      </c>
      <c r="O4" s="13" t="s">
        <v>27</v>
      </c>
    </row>
    <row r="5" spans="1:15" x14ac:dyDescent="0.3">
      <c r="A5" s="14">
        <v>43888.75</v>
      </c>
      <c r="B5" s="13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3" t="s">
        <v>27</v>
      </c>
      <c r="O5" s="13" t="s">
        <v>27</v>
      </c>
    </row>
    <row r="6" spans="1:15" x14ac:dyDescent="0.3">
      <c r="A6" s="14">
        <v>43889.75</v>
      </c>
      <c r="B6" s="13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3" t="s">
        <v>27</v>
      </c>
      <c r="O6" s="13" t="s">
        <v>27</v>
      </c>
    </row>
    <row r="7" spans="1:15" x14ac:dyDescent="0.3">
      <c r="A7" s="14">
        <v>43890.75</v>
      </c>
      <c r="B7" s="13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3" t="s">
        <v>27</v>
      </c>
      <c r="O7" s="13" t="s">
        <v>27</v>
      </c>
    </row>
    <row r="8" spans="1:15" x14ac:dyDescent="0.3">
      <c r="A8" s="14">
        <v>43891.75</v>
      </c>
      <c r="B8" s="13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3" t="s">
        <v>27</v>
      </c>
      <c r="O8" s="13" t="s">
        <v>27</v>
      </c>
    </row>
    <row r="9" spans="1:15" x14ac:dyDescent="0.3">
      <c r="A9" s="14">
        <v>43892.75</v>
      </c>
      <c r="B9" s="13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3" t="s">
        <v>27</v>
      </c>
      <c r="O9" s="13" t="s">
        <v>27</v>
      </c>
    </row>
    <row r="10" spans="1:15" x14ac:dyDescent="0.3">
      <c r="A10" s="14">
        <v>43893.75</v>
      </c>
      <c r="B10" s="13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3" t="s">
        <v>27</v>
      </c>
      <c r="O10" s="13" t="s">
        <v>27</v>
      </c>
    </row>
    <row r="11" spans="1:15" x14ac:dyDescent="0.3">
      <c r="A11" s="14">
        <v>43894.75</v>
      </c>
      <c r="B11" s="13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3" t="s">
        <v>27</v>
      </c>
      <c r="O11" s="13" t="s">
        <v>27</v>
      </c>
    </row>
    <row r="12" spans="1:15" x14ac:dyDescent="0.3">
      <c r="A12" s="14">
        <v>43895.75</v>
      </c>
      <c r="B12" s="13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3" t="s">
        <v>27</v>
      </c>
      <c r="O12" s="13" t="s">
        <v>27</v>
      </c>
    </row>
    <row r="13" spans="1:15" x14ac:dyDescent="0.3">
      <c r="A13" s="14">
        <v>43896.75</v>
      </c>
      <c r="B13" s="13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3" t="s">
        <v>27</v>
      </c>
      <c r="O13" s="13" t="s">
        <v>27</v>
      </c>
    </row>
    <row r="14" spans="1:15" x14ac:dyDescent="0.3">
      <c r="A14" s="14">
        <v>43897.75</v>
      </c>
      <c r="B14" s="13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3" t="s">
        <v>28</v>
      </c>
      <c r="O14" s="13" t="s">
        <v>29</v>
      </c>
    </row>
    <row r="15" spans="1:15" x14ac:dyDescent="0.3">
      <c r="A15" s="14">
        <v>43898.75</v>
      </c>
      <c r="B15" s="13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3" t="s">
        <v>27</v>
      </c>
      <c r="O15" s="13" t="s">
        <v>27</v>
      </c>
    </row>
    <row r="16" spans="1:15" x14ac:dyDescent="0.3">
      <c r="A16" s="14">
        <v>43899.75</v>
      </c>
      <c r="B16" s="13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3" t="s">
        <v>27</v>
      </c>
      <c r="O16" s="13" t="s">
        <v>27</v>
      </c>
    </row>
    <row r="17" spans="1:15" x14ac:dyDescent="0.3">
      <c r="A17" s="14">
        <v>43900.75</v>
      </c>
      <c r="B17" s="13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3" t="s">
        <v>30</v>
      </c>
      <c r="O17" s="13" t="s">
        <v>31</v>
      </c>
    </row>
    <row r="18" spans="1:15" x14ac:dyDescent="0.3">
      <c r="A18" s="14">
        <v>43901.708333333336</v>
      </c>
      <c r="B18" s="13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3" t="s">
        <v>32</v>
      </c>
      <c r="O18" s="13" t="s">
        <v>33</v>
      </c>
    </row>
    <row r="19" spans="1:15" x14ac:dyDescent="0.3">
      <c r="A19" s="14">
        <v>43902.708333333336</v>
      </c>
      <c r="B19" s="13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3" t="s">
        <v>27</v>
      </c>
      <c r="O19" s="13" t="s">
        <v>27</v>
      </c>
    </row>
    <row r="20" spans="1:15" x14ac:dyDescent="0.3">
      <c r="A20" s="14">
        <v>43903.708333333336</v>
      </c>
      <c r="B20" s="13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3" t="s">
        <v>27</v>
      </c>
      <c r="O20" s="13" t="s">
        <v>27</v>
      </c>
    </row>
    <row r="21" spans="1:15" x14ac:dyDescent="0.3">
      <c r="A21" s="14">
        <v>43904.708333333336</v>
      </c>
      <c r="B21" s="13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3" t="s">
        <v>27</v>
      </c>
      <c r="O21" s="13" t="s">
        <v>27</v>
      </c>
    </row>
    <row r="22" spans="1:15" x14ac:dyDescent="0.3">
      <c r="A22" s="14">
        <v>43905.708333333336</v>
      </c>
      <c r="B22" s="13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3" t="s">
        <v>27</v>
      </c>
      <c r="O22" s="13" t="s">
        <v>27</v>
      </c>
    </row>
    <row r="23" spans="1:15" x14ac:dyDescent="0.3">
      <c r="A23" s="14">
        <v>43906.708333333336</v>
      </c>
      <c r="B23" s="13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3" t="s">
        <v>34</v>
      </c>
      <c r="O23" s="13" t="s">
        <v>35</v>
      </c>
    </row>
    <row r="24" spans="1:15" x14ac:dyDescent="0.3">
      <c r="A24" s="14">
        <v>43907.708333333336</v>
      </c>
      <c r="B24" s="13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3" t="s">
        <v>36</v>
      </c>
      <c r="O24" s="13" t="s">
        <v>37</v>
      </c>
    </row>
    <row r="25" spans="1:15" x14ac:dyDescent="0.3">
      <c r="A25" s="14">
        <v>43908.708333333336</v>
      </c>
      <c r="B25" s="13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3" t="s">
        <v>38</v>
      </c>
      <c r="O25" s="13" t="s">
        <v>39</v>
      </c>
    </row>
    <row r="26" spans="1:15" x14ac:dyDescent="0.3">
      <c r="A26" s="14">
        <v>43909.708333333336</v>
      </c>
      <c r="B26" s="13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3" t="s">
        <v>27</v>
      </c>
      <c r="O26" s="13" t="s">
        <v>27</v>
      </c>
    </row>
    <row r="27" spans="1:15" x14ac:dyDescent="0.3">
      <c r="A27" s="14">
        <v>43910.708333333336</v>
      </c>
      <c r="B27" s="13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3" t="s">
        <v>27</v>
      </c>
      <c r="O27" s="13" t="s">
        <v>27</v>
      </c>
    </row>
    <row r="28" spans="1:15" x14ac:dyDescent="0.3">
      <c r="A28" s="14">
        <v>43911.708333333336</v>
      </c>
      <c r="B28" s="13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3" t="s">
        <v>27</v>
      </c>
      <c r="O28" s="13" t="s">
        <v>27</v>
      </c>
    </row>
    <row r="29" spans="1:15" x14ac:dyDescent="0.3">
      <c r="A29" s="14">
        <v>43912.708333333336</v>
      </c>
      <c r="B29" s="13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3" t="s">
        <v>27</v>
      </c>
      <c r="O29" s="13" t="s">
        <v>27</v>
      </c>
    </row>
    <row r="30" spans="1:15" x14ac:dyDescent="0.3">
      <c r="A30" s="14">
        <v>43913.708333333336</v>
      </c>
      <c r="B30" s="13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3" t="s">
        <v>27</v>
      </c>
      <c r="O30" s="13" t="s">
        <v>27</v>
      </c>
    </row>
    <row r="31" spans="1:15" x14ac:dyDescent="0.3">
      <c r="A31" s="14">
        <v>43914.708333333336</v>
      </c>
      <c r="B31" s="13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3" t="s">
        <v>27</v>
      </c>
      <c r="O31" s="13" t="s">
        <v>27</v>
      </c>
    </row>
    <row r="32" spans="1:15" x14ac:dyDescent="0.3">
      <c r="A32" s="14">
        <v>43915.708333333336</v>
      </c>
      <c r="B32" s="13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3" t="s">
        <v>27</v>
      </c>
      <c r="O32" s="13" t="s">
        <v>27</v>
      </c>
    </row>
    <row r="33" spans="1:15" x14ac:dyDescent="0.3">
      <c r="A33" s="14">
        <v>43916.708333333336</v>
      </c>
      <c r="B33" s="13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3" t="s">
        <v>89</v>
      </c>
      <c r="O33" s="13" t="s">
        <v>90</v>
      </c>
    </row>
    <row r="34" spans="1:15" x14ac:dyDescent="0.3">
      <c r="A34" s="14">
        <v>43917.708333333336</v>
      </c>
      <c r="B34" s="13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3" t="s">
        <v>27</v>
      </c>
      <c r="O34" s="13" t="s">
        <v>27</v>
      </c>
    </row>
    <row r="35" spans="1:15" x14ac:dyDescent="0.3">
      <c r="A35" s="14">
        <v>43918.708333333336</v>
      </c>
      <c r="B35" s="13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3" t="s">
        <v>27</v>
      </c>
      <c r="O35" s="13" t="s">
        <v>27</v>
      </c>
    </row>
    <row r="36" spans="1:15" x14ac:dyDescent="0.3">
      <c r="A36" s="14">
        <v>43919.708333333336</v>
      </c>
      <c r="B36" s="13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3" t="s">
        <v>96</v>
      </c>
      <c r="O36" s="13" t="s">
        <v>97</v>
      </c>
    </row>
    <row r="37" spans="1:15" x14ac:dyDescent="0.3">
      <c r="A37" s="14">
        <v>43920.708333333336</v>
      </c>
      <c r="B37" s="13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3" t="s">
        <v>27</v>
      </c>
      <c r="O37" s="13" t="s">
        <v>27</v>
      </c>
    </row>
    <row r="38" spans="1:15" x14ac:dyDescent="0.3">
      <c r="A38" s="14">
        <v>43921.708333333336</v>
      </c>
      <c r="B38" s="13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3" t="s">
        <v>27</v>
      </c>
      <c r="O38" s="13" t="s">
        <v>27</v>
      </c>
    </row>
    <row r="39" spans="1:15" x14ac:dyDescent="0.3">
      <c r="A39" s="14">
        <v>43922.708333333336</v>
      </c>
      <c r="B39" s="13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3" t="s">
        <v>27</v>
      </c>
      <c r="O39" s="13" t="s">
        <v>27</v>
      </c>
    </row>
    <row r="40" spans="1:15" x14ac:dyDescent="0.3">
      <c r="A40" s="14">
        <v>43923.708333333336</v>
      </c>
      <c r="B40" s="13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3" t="s">
        <v>27</v>
      </c>
      <c r="O40" s="13" t="s">
        <v>27</v>
      </c>
    </row>
    <row r="41" spans="1:15" x14ac:dyDescent="0.3">
      <c r="A41" s="14">
        <v>43924.708333333336</v>
      </c>
      <c r="B41" s="13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3" t="s">
        <v>27</v>
      </c>
      <c r="O41" s="13" t="s">
        <v>27</v>
      </c>
    </row>
    <row r="42" spans="1:15" x14ac:dyDescent="0.3">
      <c r="A42" s="14">
        <v>43925.708333333336</v>
      </c>
      <c r="B42" s="13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3" t="s">
        <v>27</v>
      </c>
      <c r="O42" s="13" t="s">
        <v>27</v>
      </c>
    </row>
    <row r="43" spans="1:15" x14ac:dyDescent="0.3">
      <c r="A43" s="14">
        <v>43926.708333333336</v>
      </c>
      <c r="B43" s="13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3" t="s">
        <v>27</v>
      </c>
      <c r="O43" s="13" t="s">
        <v>27</v>
      </c>
    </row>
    <row r="44" spans="1:15" x14ac:dyDescent="0.3">
      <c r="A44" s="14">
        <v>43927.708333333336</v>
      </c>
      <c r="B44" s="13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3" t="s">
        <v>27</v>
      </c>
      <c r="O44" s="13" t="s">
        <v>27</v>
      </c>
    </row>
    <row r="45" spans="1:15" x14ac:dyDescent="0.3">
      <c r="A45" s="14">
        <v>43928.708333333336</v>
      </c>
      <c r="B45" s="13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3" t="s">
        <v>27</v>
      </c>
      <c r="O45" s="13" t="s">
        <v>27</v>
      </c>
    </row>
    <row r="46" spans="1:15" x14ac:dyDescent="0.3">
      <c r="A46" s="14">
        <v>43929.708333333336</v>
      </c>
      <c r="B46" s="13" t="s">
        <v>23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3" t="s">
        <v>27</v>
      </c>
      <c r="O46" s="13" t="s">
        <v>27</v>
      </c>
    </row>
    <row r="47" spans="1:15" x14ac:dyDescent="0.3">
      <c r="A47" s="14">
        <v>43930.708333333336</v>
      </c>
      <c r="B47" s="13" t="s">
        <v>23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3" t="s">
        <v>27</v>
      </c>
      <c r="O47" s="13" t="s">
        <v>27</v>
      </c>
    </row>
    <row r="48" spans="1:15" x14ac:dyDescent="0.3">
      <c r="A48" s="14">
        <v>43931.708333333336</v>
      </c>
      <c r="B48" s="13" t="s">
        <v>23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3" t="s">
        <v>122</v>
      </c>
      <c r="O48" s="13" t="s">
        <v>123</v>
      </c>
    </row>
    <row r="49" spans="1:15" x14ac:dyDescent="0.3">
      <c r="A49" s="14">
        <v>43932.708333333336</v>
      </c>
      <c r="B49" s="13" t="s">
        <v>23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3" t="s">
        <v>27</v>
      </c>
      <c r="O49" s="13" t="s">
        <v>27</v>
      </c>
    </row>
    <row r="50" spans="1:15" x14ac:dyDescent="0.3">
      <c r="A50" s="14">
        <v>43933.708333333336</v>
      </c>
      <c r="B50" s="13" t="s">
        <v>23</v>
      </c>
      <c r="C50" s="86">
        <v>27847</v>
      </c>
      <c r="D50" s="86">
        <v>3343</v>
      </c>
      <c r="E50" s="86">
        <v>31190</v>
      </c>
      <c r="F50" s="86">
        <v>71063</v>
      </c>
      <c r="G50" s="86">
        <v>102253</v>
      </c>
      <c r="H50" s="86">
        <v>1984</v>
      </c>
      <c r="I50" s="86">
        <v>4092</v>
      </c>
      <c r="J50" s="86">
        <v>34211</v>
      </c>
      <c r="K50" s="86">
        <v>19899</v>
      </c>
      <c r="L50" s="86">
        <v>156363</v>
      </c>
      <c r="M50" s="86">
        <v>1010193</v>
      </c>
      <c r="N50" s="13" t="s">
        <v>124</v>
      </c>
      <c r="O50" s="13" t="s">
        <v>125</v>
      </c>
    </row>
    <row r="51" spans="1:15" x14ac:dyDescent="0.3">
      <c r="A51" s="14">
        <v>43934.708333333336</v>
      </c>
      <c r="B51" s="13" t="s">
        <v>23</v>
      </c>
      <c r="C51" s="86">
        <v>28023</v>
      </c>
      <c r="D51" s="86">
        <v>3260</v>
      </c>
      <c r="E51" s="86">
        <v>31283</v>
      </c>
      <c r="F51" s="86">
        <v>72333</v>
      </c>
      <c r="G51" s="86">
        <v>103616</v>
      </c>
      <c r="H51" s="86">
        <v>1363</v>
      </c>
      <c r="I51" s="86">
        <v>3153</v>
      </c>
      <c r="J51" s="86">
        <v>35435</v>
      </c>
      <c r="K51" s="86">
        <v>20465</v>
      </c>
      <c r="L51" s="86">
        <v>159516</v>
      </c>
      <c r="M51" s="86">
        <v>1046910</v>
      </c>
      <c r="N51" s="13" t="s">
        <v>27</v>
      </c>
      <c r="O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51"/>
  <sheetViews>
    <sheetView topLeftCell="G473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4">
        <v>43885.75</v>
      </c>
      <c r="B2" s="13" t="s">
        <v>23</v>
      </c>
      <c r="C2" s="2">
        <v>13</v>
      </c>
      <c r="D2" s="13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3" t="s">
        <v>27</v>
      </c>
      <c r="S2" s="13" t="s">
        <v>27</v>
      </c>
    </row>
    <row r="3" spans="1:19" hidden="1" x14ac:dyDescent="0.3">
      <c r="A3" s="14">
        <v>43885.75</v>
      </c>
      <c r="B3" s="13" t="s">
        <v>23</v>
      </c>
      <c r="C3" s="2">
        <v>17</v>
      </c>
      <c r="D3" s="13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3" t="s">
        <v>27</v>
      </c>
      <c r="S3" s="13" t="s">
        <v>27</v>
      </c>
    </row>
    <row r="4" spans="1:19" hidden="1" x14ac:dyDescent="0.3">
      <c r="A4" s="14">
        <v>43885.75</v>
      </c>
      <c r="B4" s="13" t="s">
        <v>23</v>
      </c>
      <c r="C4" s="2">
        <v>4</v>
      </c>
      <c r="D4" s="13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3" t="s">
        <v>27</v>
      </c>
      <c r="S4" s="13" t="s">
        <v>27</v>
      </c>
    </row>
    <row r="5" spans="1:19" hidden="1" x14ac:dyDescent="0.3">
      <c r="A5" s="14">
        <v>43885.75</v>
      </c>
      <c r="B5" s="13" t="s">
        <v>23</v>
      </c>
      <c r="C5" s="2">
        <v>18</v>
      </c>
      <c r="D5" s="13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 t="s">
        <v>27</v>
      </c>
      <c r="S5" s="13" t="s">
        <v>27</v>
      </c>
    </row>
    <row r="6" spans="1:19" hidden="1" x14ac:dyDescent="0.3">
      <c r="A6" s="14">
        <v>43885.75</v>
      </c>
      <c r="B6" s="13" t="s">
        <v>23</v>
      </c>
      <c r="C6" s="2">
        <v>15</v>
      </c>
      <c r="D6" s="13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3" t="s">
        <v>27</v>
      </c>
      <c r="S6" s="13" t="s">
        <v>27</v>
      </c>
    </row>
    <row r="7" spans="1:19" hidden="1" x14ac:dyDescent="0.3">
      <c r="A7" s="14">
        <v>43885.75</v>
      </c>
      <c r="B7" s="13" t="s">
        <v>23</v>
      </c>
      <c r="C7" s="2">
        <v>8</v>
      </c>
      <c r="D7" s="13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3" t="s">
        <v>27</v>
      </c>
      <c r="S7" s="13" t="s">
        <v>27</v>
      </c>
    </row>
    <row r="8" spans="1:19" hidden="1" x14ac:dyDescent="0.3">
      <c r="A8" s="14">
        <v>43885.75</v>
      </c>
      <c r="B8" s="13" t="s">
        <v>23</v>
      </c>
      <c r="C8" s="2">
        <v>6</v>
      </c>
      <c r="D8" s="13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3" t="s">
        <v>27</v>
      </c>
      <c r="S8" s="13" t="s">
        <v>27</v>
      </c>
    </row>
    <row r="9" spans="1:19" hidden="1" x14ac:dyDescent="0.3">
      <c r="A9" s="14">
        <v>43885.75</v>
      </c>
      <c r="B9" s="13" t="s">
        <v>23</v>
      </c>
      <c r="C9" s="2">
        <v>12</v>
      </c>
      <c r="D9" s="13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3" t="s">
        <v>27</v>
      </c>
      <c r="S9" s="13" t="s">
        <v>27</v>
      </c>
    </row>
    <row r="10" spans="1:19" hidden="1" x14ac:dyDescent="0.3">
      <c r="A10" s="14">
        <v>43885.75</v>
      </c>
      <c r="B10" s="13" t="s">
        <v>23</v>
      </c>
      <c r="C10" s="2">
        <v>7</v>
      </c>
      <c r="D10" s="13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3" t="s">
        <v>27</v>
      </c>
      <c r="S10" s="13" t="s">
        <v>27</v>
      </c>
    </row>
    <row r="11" spans="1:19" x14ac:dyDescent="0.3">
      <c r="A11" s="14">
        <v>43885.75</v>
      </c>
      <c r="B11" s="13" t="s">
        <v>23</v>
      </c>
      <c r="C11" s="2">
        <v>3</v>
      </c>
      <c r="D11" s="13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3" t="s">
        <v>27</v>
      </c>
      <c r="S11" s="13" t="s">
        <v>27</v>
      </c>
    </row>
    <row r="12" spans="1:19" hidden="1" x14ac:dyDescent="0.3">
      <c r="A12" s="14">
        <v>43885.75</v>
      </c>
      <c r="B12" s="13" t="s">
        <v>23</v>
      </c>
      <c r="C12" s="2">
        <v>11</v>
      </c>
      <c r="D12" s="13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3" t="s">
        <v>27</v>
      </c>
      <c r="S12" s="13" t="s">
        <v>27</v>
      </c>
    </row>
    <row r="13" spans="1:19" hidden="1" x14ac:dyDescent="0.3">
      <c r="A13" s="14">
        <v>43885.75</v>
      </c>
      <c r="B13" s="13" t="s">
        <v>23</v>
      </c>
      <c r="C13" s="2">
        <v>14</v>
      </c>
      <c r="D13" s="13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3" t="s">
        <v>27</v>
      </c>
      <c r="S13" s="13" t="s">
        <v>27</v>
      </c>
    </row>
    <row r="14" spans="1:19" hidden="1" x14ac:dyDescent="0.3">
      <c r="A14" s="14">
        <v>43885.75</v>
      </c>
      <c r="B14" s="13" t="s">
        <v>23</v>
      </c>
      <c r="C14" s="2">
        <v>1</v>
      </c>
      <c r="D14" s="13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3" t="s">
        <v>27</v>
      </c>
      <c r="S14" s="13" t="s">
        <v>27</v>
      </c>
    </row>
    <row r="15" spans="1:19" hidden="1" x14ac:dyDescent="0.3">
      <c r="A15" s="14">
        <v>43885.75</v>
      </c>
      <c r="B15" s="13" t="s">
        <v>23</v>
      </c>
      <c r="C15" s="2">
        <v>16</v>
      </c>
      <c r="D15" s="13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3" t="s">
        <v>27</v>
      </c>
      <c r="S15" s="13" t="s">
        <v>27</v>
      </c>
    </row>
    <row r="16" spans="1:19" hidden="1" x14ac:dyDescent="0.3">
      <c r="A16" s="14">
        <v>43885.75</v>
      </c>
      <c r="B16" s="13" t="s">
        <v>23</v>
      </c>
      <c r="C16" s="2">
        <v>20</v>
      </c>
      <c r="D16" s="13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3" t="s">
        <v>27</v>
      </c>
      <c r="S16" s="13" t="s">
        <v>27</v>
      </c>
    </row>
    <row r="17" spans="1:19" hidden="1" x14ac:dyDescent="0.3">
      <c r="A17" s="14">
        <v>43885.75</v>
      </c>
      <c r="B17" s="13" t="s">
        <v>23</v>
      </c>
      <c r="C17" s="2">
        <v>19</v>
      </c>
      <c r="D17" s="13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3" t="s">
        <v>27</v>
      </c>
      <c r="S17" s="13" t="s">
        <v>27</v>
      </c>
    </row>
    <row r="18" spans="1:19" hidden="1" x14ac:dyDescent="0.3">
      <c r="A18" s="14">
        <v>43885.75</v>
      </c>
      <c r="B18" s="13" t="s">
        <v>23</v>
      </c>
      <c r="C18" s="2">
        <v>9</v>
      </c>
      <c r="D18" s="13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3" t="s">
        <v>27</v>
      </c>
      <c r="S18" s="13" t="s">
        <v>27</v>
      </c>
    </row>
    <row r="19" spans="1:19" hidden="1" x14ac:dyDescent="0.3">
      <c r="A19" s="14">
        <v>43885.75</v>
      </c>
      <c r="B19" s="13" t="s">
        <v>23</v>
      </c>
      <c r="C19" s="2">
        <v>4</v>
      </c>
      <c r="D19" s="13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3" t="s">
        <v>27</v>
      </c>
      <c r="S19" s="13" t="s">
        <v>27</v>
      </c>
    </row>
    <row r="20" spans="1:19" hidden="1" x14ac:dyDescent="0.3">
      <c r="A20" s="14">
        <v>43885.75</v>
      </c>
      <c r="B20" s="13" t="s">
        <v>23</v>
      </c>
      <c r="C20" s="2">
        <v>10</v>
      </c>
      <c r="D20" s="13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 t="s">
        <v>27</v>
      </c>
      <c r="S20" s="13" t="s">
        <v>27</v>
      </c>
    </row>
    <row r="21" spans="1:19" hidden="1" x14ac:dyDescent="0.3">
      <c r="A21" s="14">
        <v>43885.75</v>
      </c>
      <c r="B21" s="13" t="s">
        <v>23</v>
      </c>
      <c r="C21" s="2">
        <v>2</v>
      </c>
      <c r="D21" s="13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3" t="s">
        <v>27</v>
      </c>
      <c r="S21" s="13" t="s">
        <v>27</v>
      </c>
    </row>
    <row r="22" spans="1:19" hidden="1" x14ac:dyDescent="0.3">
      <c r="A22" s="14">
        <v>43885.75</v>
      </c>
      <c r="B22" s="13" t="s">
        <v>23</v>
      </c>
      <c r="C22" s="2">
        <v>5</v>
      </c>
      <c r="D22" s="13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3" t="s">
        <v>27</v>
      </c>
      <c r="S22" s="13" t="s">
        <v>27</v>
      </c>
    </row>
    <row r="23" spans="1:19" hidden="1" x14ac:dyDescent="0.3">
      <c r="A23" s="14">
        <v>43886.75</v>
      </c>
      <c r="B23" s="13" t="s">
        <v>23</v>
      </c>
      <c r="C23" s="2">
        <v>13</v>
      </c>
      <c r="D23" s="13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3" t="s">
        <v>27</v>
      </c>
      <c r="S23" s="13" t="s">
        <v>27</v>
      </c>
    </row>
    <row r="24" spans="1:19" hidden="1" x14ac:dyDescent="0.3">
      <c r="A24" s="14">
        <v>43886.75</v>
      </c>
      <c r="B24" s="13" t="s">
        <v>23</v>
      </c>
      <c r="C24" s="2">
        <v>17</v>
      </c>
      <c r="D24" s="13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3" t="s">
        <v>27</v>
      </c>
      <c r="S24" s="13" t="s">
        <v>27</v>
      </c>
    </row>
    <row r="25" spans="1:19" hidden="1" x14ac:dyDescent="0.3">
      <c r="A25" s="14">
        <v>43886.75</v>
      </c>
      <c r="B25" s="13" t="s">
        <v>23</v>
      </c>
      <c r="C25" s="2">
        <v>4</v>
      </c>
      <c r="D25" s="13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3" t="s">
        <v>27</v>
      </c>
      <c r="S25" s="13" t="s">
        <v>27</v>
      </c>
    </row>
    <row r="26" spans="1:19" hidden="1" x14ac:dyDescent="0.3">
      <c r="A26" s="14">
        <v>43886.75</v>
      </c>
      <c r="B26" s="13" t="s">
        <v>23</v>
      </c>
      <c r="C26" s="2">
        <v>18</v>
      </c>
      <c r="D26" s="13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3" t="s">
        <v>27</v>
      </c>
      <c r="S26" s="13" t="s">
        <v>27</v>
      </c>
    </row>
    <row r="27" spans="1:19" hidden="1" x14ac:dyDescent="0.3">
      <c r="A27" s="14">
        <v>43886.75</v>
      </c>
      <c r="B27" s="13" t="s">
        <v>23</v>
      </c>
      <c r="C27" s="2">
        <v>15</v>
      </c>
      <c r="D27" s="13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3" t="s">
        <v>27</v>
      </c>
      <c r="S27" s="13" t="s">
        <v>27</v>
      </c>
    </row>
    <row r="28" spans="1:19" hidden="1" x14ac:dyDescent="0.3">
      <c r="A28" s="14">
        <v>43886.75</v>
      </c>
      <c r="B28" s="13" t="s">
        <v>23</v>
      </c>
      <c r="C28" s="2">
        <v>8</v>
      </c>
      <c r="D28" s="13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3" t="s">
        <v>27</v>
      </c>
      <c r="S28" s="13" t="s">
        <v>27</v>
      </c>
    </row>
    <row r="29" spans="1:19" hidden="1" x14ac:dyDescent="0.3">
      <c r="A29" s="14">
        <v>43886.75</v>
      </c>
      <c r="B29" s="13" t="s">
        <v>23</v>
      </c>
      <c r="C29" s="2">
        <v>6</v>
      </c>
      <c r="D29" s="13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3" t="s">
        <v>27</v>
      </c>
      <c r="S29" s="13" t="s">
        <v>27</v>
      </c>
    </row>
    <row r="30" spans="1:19" hidden="1" x14ac:dyDescent="0.3">
      <c r="A30" s="14">
        <v>43886.75</v>
      </c>
      <c r="B30" s="13" t="s">
        <v>23</v>
      </c>
      <c r="C30" s="2">
        <v>12</v>
      </c>
      <c r="D30" s="13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3" t="s">
        <v>27</v>
      </c>
      <c r="S30" s="13" t="s">
        <v>27</v>
      </c>
    </row>
    <row r="31" spans="1:19" hidden="1" x14ac:dyDescent="0.3">
      <c r="A31" s="14">
        <v>43886.75</v>
      </c>
      <c r="B31" s="13" t="s">
        <v>23</v>
      </c>
      <c r="C31" s="2">
        <v>7</v>
      </c>
      <c r="D31" s="13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3" t="s">
        <v>27</v>
      </c>
      <c r="S31" s="13" t="s">
        <v>27</v>
      </c>
    </row>
    <row r="32" spans="1:19" x14ac:dyDescent="0.3">
      <c r="A32" s="14">
        <v>43886.75</v>
      </c>
      <c r="B32" s="13" t="s">
        <v>23</v>
      </c>
      <c r="C32" s="2">
        <v>3</v>
      </c>
      <c r="D32" s="13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3" t="s">
        <v>27</v>
      </c>
      <c r="S32" s="13" t="s">
        <v>27</v>
      </c>
    </row>
    <row r="33" spans="1:19" hidden="1" x14ac:dyDescent="0.3">
      <c r="A33" s="14">
        <v>43886.75</v>
      </c>
      <c r="B33" s="13" t="s">
        <v>23</v>
      </c>
      <c r="C33" s="2">
        <v>11</v>
      </c>
      <c r="D33" s="13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3" t="s">
        <v>27</v>
      </c>
      <c r="S33" s="13" t="s">
        <v>27</v>
      </c>
    </row>
    <row r="34" spans="1:19" hidden="1" x14ac:dyDescent="0.3">
      <c r="A34" s="14">
        <v>43886.75</v>
      </c>
      <c r="B34" s="13" t="s">
        <v>23</v>
      </c>
      <c r="C34" s="2">
        <v>14</v>
      </c>
      <c r="D34" s="13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 t="s">
        <v>27</v>
      </c>
      <c r="S34" s="13" t="s">
        <v>27</v>
      </c>
    </row>
    <row r="35" spans="1:19" hidden="1" x14ac:dyDescent="0.3">
      <c r="A35" s="14">
        <v>43886.75</v>
      </c>
      <c r="B35" s="13" t="s">
        <v>23</v>
      </c>
      <c r="C35" s="2">
        <v>1</v>
      </c>
      <c r="D35" s="13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3" t="s">
        <v>27</v>
      </c>
      <c r="S35" s="13" t="s">
        <v>27</v>
      </c>
    </row>
    <row r="36" spans="1:19" hidden="1" x14ac:dyDescent="0.3">
      <c r="A36" s="14">
        <v>43886.75</v>
      </c>
      <c r="B36" s="13" t="s">
        <v>23</v>
      </c>
      <c r="C36" s="2">
        <v>16</v>
      </c>
      <c r="D36" s="13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3" t="s">
        <v>27</v>
      </c>
      <c r="S36" s="13" t="s">
        <v>27</v>
      </c>
    </row>
    <row r="37" spans="1:19" hidden="1" x14ac:dyDescent="0.3">
      <c r="A37" s="14">
        <v>43886.75</v>
      </c>
      <c r="B37" s="13" t="s">
        <v>23</v>
      </c>
      <c r="C37" s="2">
        <v>20</v>
      </c>
      <c r="D37" s="13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3" t="s">
        <v>27</v>
      </c>
      <c r="S37" s="13" t="s">
        <v>27</v>
      </c>
    </row>
    <row r="38" spans="1:19" hidden="1" x14ac:dyDescent="0.3">
      <c r="A38" s="14">
        <v>43886.75</v>
      </c>
      <c r="B38" s="13" t="s">
        <v>23</v>
      </c>
      <c r="C38" s="2">
        <v>19</v>
      </c>
      <c r="D38" s="13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3" t="s">
        <v>27</v>
      </c>
      <c r="S38" s="13" t="s">
        <v>27</v>
      </c>
    </row>
    <row r="39" spans="1:19" hidden="1" x14ac:dyDescent="0.3">
      <c r="A39" s="14">
        <v>43886.75</v>
      </c>
      <c r="B39" s="13" t="s">
        <v>23</v>
      </c>
      <c r="C39" s="2">
        <v>9</v>
      </c>
      <c r="D39" s="13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3" t="s">
        <v>27</v>
      </c>
      <c r="S39" s="13" t="s">
        <v>27</v>
      </c>
    </row>
    <row r="40" spans="1:19" hidden="1" x14ac:dyDescent="0.3">
      <c r="A40" s="14">
        <v>43886.75</v>
      </c>
      <c r="B40" s="13" t="s">
        <v>23</v>
      </c>
      <c r="C40" s="2">
        <v>4</v>
      </c>
      <c r="D40" s="13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3" t="s">
        <v>27</v>
      </c>
      <c r="S40" s="13" t="s">
        <v>27</v>
      </c>
    </row>
    <row r="41" spans="1:19" hidden="1" x14ac:dyDescent="0.3">
      <c r="A41" s="14">
        <v>43886.75</v>
      </c>
      <c r="B41" s="13" t="s">
        <v>23</v>
      </c>
      <c r="C41" s="2">
        <v>10</v>
      </c>
      <c r="D41" s="13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3" t="s">
        <v>27</v>
      </c>
      <c r="S41" s="13" t="s">
        <v>27</v>
      </c>
    </row>
    <row r="42" spans="1:19" hidden="1" x14ac:dyDescent="0.3">
      <c r="A42" s="14">
        <v>43886.75</v>
      </c>
      <c r="B42" s="13" t="s">
        <v>23</v>
      </c>
      <c r="C42" s="2">
        <v>2</v>
      </c>
      <c r="D42" s="13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3" t="s">
        <v>27</v>
      </c>
      <c r="S42" s="13" t="s">
        <v>27</v>
      </c>
    </row>
    <row r="43" spans="1:19" hidden="1" x14ac:dyDescent="0.3">
      <c r="A43" s="14">
        <v>43886.75</v>
      </c>
      <c r="B43" s="13" t="s">
        <v>23</v>
      </c>
      <c r="C43" s="2">
        <v>5</v>
      </c>
      <c r="D43" s="13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3" t="s">
        <v>27</v>
      </c>
      <c r="S43" s="13" t="s">
        <v>27</v>
      </c>
    </row>
    <row r="44" spans="1:19" hidden="1" x14ac:dyDescent="0.3">
      <c r="A44" s="14">
        <v>43887.75</v>
      </c>
      <c r="B44" s="13" t="s">
        <v>23</v>
      </c>
      <c r="C44" s="2">
        <v>13</v>
      </c>
      <c r="D44" s="13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3" t="s">
        <v>27</v>
      </c>
      <c r="S44" s="13" t="s">
        <v>27</v>
      </c>
    </row>
    <row r="45" spans="1:19" hidden="1" x14ac:dyDescent="0.3">
      <c r="A45" s="14">
        <v>43887.75</v>
      </c>
      <c r="B45" s="13" t="s">
        <v>23</v>
      </c>
      <c r="C45" s="2">
        <v>17</v>
      </c>
      <c r="D45" s="13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 t="s">
        <v>27</v>
      </c>
      <c r="S45" s="13" t="s">
        <v>27</v>
      </c>
    </row>
    <row r="46" spans="1:19" hidden="1" x14ac:dyDescent="0.3">
      <c r="A46" s="14">
        <v>43887.75</v>
      </c>
      <c r="B46" s="13" t="s">
        <v>23</v>
      </c>
      <c r="C46" s="2">
        <v>4</v>
      </c>
      <c r="D46" s="13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3" t="s">
        <v>27</v>
      </c>
      <c r="S46" s="13" t="s">
        <v>27</v>
      </c>
    </row>
    <row r="47" spans="1:19" hidden="1" x14ac:dyDescent="0.3">
      <c r="A47" s="14">
        <v>43887.75</v>
      </c>
      <c r="B47" s="13" t="s">
        <v>23</v>
      </c>
      <c r="C47" s="2">
        <v>18</v>
      </c>
      <c r="D47" s="13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3" t="s">
        <v>27</v>
      </c>
      <c r="S47" s="13" t="s">
        <v>27</v>
      </c>
    </row>
    <row r="48" spans="1:19" hidden="1" x14ac:dyDescent="0.3">
      <c r="A48" s="14">
        <v>43887.75</v>
      </c>
      <c r="B48" s="13" t="s">
        <v>23</v>
      </c>
      <c r="C48" s="2">
        <v>15</v>
      </c>
      <c r="D48" s="13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3" t="s">
        <v>27</v>
      </c>
      <c r="S48" s="13" t="s">
        <v>27</v>
      </c>
    </row>
    <row r="49" spans="1:19" hidden="1" x14ac:dyDescent="0.3">
      <c r="A49" s="14">
        <v>43887.75</v>
      </c>
      <c r="B49" s="13" t="s">
        <v>23</v>
      </c>
      <c r="C49" s="2">
        <v>8</v>
      </c>
      <c r="D49" s="13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3" t="s">
        <v>27</v>
      </c>
      <c r="S49" s="13" t="s">
        <v>27</v>
      </c>
    </row>
    <row r="50" spans="1:19" hidden="1" x14ac:dyDescent="0.3">
      <c r="A50" s="14">
        <v>43887.75</v>
      </c>
      <c r="B50" s="13" t="s">
        <v>23</v>
      </c>
      <c r="C50" s="2">
        <v>6</v>
      </c>
      <c r="D50" s="13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3" t="s">
        <v>27</v>
      </c>
      <c r="S50" s="13" t="s">
        <v>27</v>
      </c>
    </row>
    <row r="51" spans="1:19" hidden="1" x14ac:dyDescent="0.3">
      <c r="A51" s="14">
        <v>43887.75</v>
      </c>
      <c r="B51" s="13" t="s">
        <v>23</v>
      </c>
      <c r="C51" s="2">
        <v>12</v>
      </c>
      <c r="D51" s="13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3" t="s">
        <v>27</v>
      </c>
      <c r="S51" s="13" t="s">
        <v>27</v>
      </c>
    </row>
    <row r="52" spans="1:19" hidden="1" x14ac:dyDescent="0.3">
      <c r="A52" s="14">
        <v>43887.75</v>
      </c>
      <c r="B52" s="13" t="s">
        <v>23</v>
      </c>
      <c r="C52" s="2">
        <v>7</v>
      </c>
      <c r="D52" s="13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3" t="s">
        <v>27</v>
      </c>
      <c r="S52" s="13" t="s">
        <v>27</v>
      </c>
    </row>
    <row r="53" spans="1:19" x14ac:dyDescent="0.3">
      <c r="A53" s="14">
        <v>43887.75</v>
      </c>
      <c r="B53" s="13" t="s">
        <v>23</v>
      </c>
      <c r="C53" s="2">
        <v>3</v>
      </c>
      <c r="D53" s="13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3" t="s">
        <v>27</v>
      </c>
      <c r="S53" s="13" t="s">
        <v>27</v>
      </c>
    </row>
    <row r="54" spans="1:19" hidden="1" x14ac:dyDescent="0.3">
      <c r="A54" s="14">
        <v>43887.75</v>
      </c>
      <c r="B54" s="13" t="s">
        <v>23</v>
      </c>
      <c r="C54" s="2">
        <v>11</v>
      </c>
      <c r="D54" s="13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3" t="s">
        <v>27</v>
      </c>
      <c r="S54" s="13" t="s">
        <v>27</v>
      </c>
    </row>
    <row r="55" spans="1:19" hidden="1" x14ac:dyDescent="0.3">
      <c r="A55" s="14">
        <v>43887.75</v>
      </c>
      <c r="B55" s="13" t="s">
        <v>23</v>
      </c>
      <c r="C55" s="2">
        <v>14</v>
      </c>
      <c r="D55" s="13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3" t="s">
        <v>27</v>
      </c>
      <c r="S55" s="13" t="s">
        <v>27</v>
      </c>
    </row>
    <row r="56" spans="1:19" hidden="1" x14ac:dyDescent="0.3">
      <c r="A56" s="14">
        <v>43887.75</v>
      </c>
      <c r="B56" s="13" t="s">
        <v>23</v>
      </c>
      <c r="C56" s="2">
        <v>1</v>
      </c>
      <c r="D56" s="13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3" t="s">
        <v>27</v>
      </c>
      <c r="S56" s="13" t="s">
        <v>27</v>
      </c>
    </row>
    <row r="57" spans="1:19" hidden="1" x14ac:dyDescent="0.3">
      <c r="A57" s="14">
        <v>43887.75</v>
      </c>
      <c r="B57" s="13" t="s">
        <v>23</v>
      </c>
      <c r="C57" s="2">
        <v>16</v>
      </c>
      <c r="D57" s="13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3" t="s">
        <v>27</v>
      </c>
      <c r="S57" s="13" t="s">
        <v>27</v>
      </c>
    </row>
    <row r="58" spans="1:19" hidden="1" x14ac:dyDescent="0.3">
      <c r="A58" s="14">
        <v>43887.75</v>
      </c>
      <c r="B58" s="13" t="s">
        <v>23</v>
      </c>
      <c r="C58" s="2">
        <v>20</v>
      </c>
      <c r="D58" s="13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3" t="s">
        <v>27</v>
      </c>
      <c r="S58" s="13" t="s">
        <v>27</v>
      </c>
    </row>
    <row r="59" spans="1:19" hidden="1" x14ac:dyDescent="0.3">
      <c r="A59" s="14">
        <v>43887.75</v>
      </c>
      <c r="B59" s="13" t="s">
        <v>23</v>
      </c>
      <c r="C59" s="2">
        <v>19</v>
      </c>
      <c r="D59" s="13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3" t="s">
        <v>27</v>
      </c>
      <c r="S59" s="13" t="s">
        <v>27</v>
      </c>
    </row>
    <row r="60" spans="1:19" hidden="1" x14ac:dyDescent="0.3">
      <c r="A60" s="14">
        <v>43887.75</v>
      </c>
      <c r="B60" s="13" t="s">
        <v>23</v>
      </c>
      <c r="C60" s="2">
        <v>9</v>
      </c>
      <c r="D60" s="13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3" t="s">
        <v>27</v>
      </c>
      <c r="S60" s="13" t="s">
        <v>27</v>
      </c>
    </row>
    <row r="61" spans="1:19" hidden="1" x14ac:dyDescent="0.3">
      <c r="A61" s="14">
        <v>43887.75</v>
      </c>
      <c r="B61" s="13" t="s">
        <v>23</v>
      </c>
      <c r="C61" s="2">
        <v>4</v>
      </c>
      <c r="D61" s="13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3" t="s">
        <v>27</v>
      </c>
      <c r="S61" s="13" t="s">
        <v>27</v>
      </c>
    </row>
    <row r="62" spans="1:19" hidden="1" x14ac:dyDescent="0.3">
      <c r="A62" s="14">
        <v>43887.75</v>
      </c>
      <c r="B62" s="13" t="s">
        <v>23</v>
      </c>
      <c r="C62" s="2">
        <v>10</v>
      </c>
      <c r="D62" s="13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3" t="s">
        <v>27</v>
      </c>
      <c r="S62" s="13" t="s">
        <v>27</v>
      </c>
    </row>
    <row r="63" spans="1:19" hidden="1" x14ac:dyDescent="0.3">
      <c r="A63" s="14">
        <v>43887.75</v>
      </c>
      <c r="B63" s="13" t="s">
        <v>23</v>
      </c>
      <c r="C63" s="2">
        <v>2</v>
      </c>
      <c r="D63" s="13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3" t="s">
        <v>27</v>
      </c>
      <c r="S63" s="13" t="s">
        <v>27</v>
      </c>
    </row>
    <row r="64" spans="1:19" hidden="1" x14ac:dyDescent="0.3">
      <c r="A64" s="14">
        <v>43887.75</v>
      </c>
      <c r="B64" s="13" t="s">
        <v>23</v>
      </c>
      <c r="C64" s="2">
        <v>5</v>
      </c>
      <c r="D64" s="13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3" t="s">
        <v>27</v>
      </c>
      <c r="S64" s="13" t="s">
        <v>27</v>
      </c>
    </row>
    <row r="65" spans="1:19" hidden="1" x14ac:dyDescent="0.3">
      <c r="A65" s="14">
        <v>43888.75</v>
      </c>
      <c r="B65" s="13" t="s">
        <v>23</v>
      </c>
      <c r="C65" s="2">
        <v>13</v>
      </c>
      <c r="D65" s="13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3" t="s">
        <v>27</v>
      </c>
      <c r="S65" s="13" t="s">
        <v>27</v>
      </c>
    </row>
    <row r="66" spans="1:19" hidden="1" x14ac:dyDescent="0.3">
      <c r="A66" s="14">
        <v>43888.75</v>
      </c>
      <c r="B66" s="13" t="s">
        <v>23</v>
      </c>
      <c r="C66" s="2">
        <v>17</v>
      </c>
      <c r="D66" s="13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3" t="s">
        <v>27</v>
      </c>
      <c r="S66" s="13" t="s">
        <v>27</v>
      </c>
    </row>
    <row r="67" spans="1:19" hidden="1" x14ac:dyDescent="0.3">
      <c r="A67" s="14">
        <v>43888.75</v>
      </c>
      <c r="B67" s="13" t="s">
        <v>23</v>
      </c>
      <c r="C67" s="2">
        <v>4</v>
      </c>
      <c r="D67" s="13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3" t="s">
        <v>27</v>
      </c>
      <c r="S67" s="13" t="s">
        <v>27</v>
      </c>
    </row>
    <row r="68" spans="1:19" hidden="1" x14ac:dyDescent="0.3">
      <c r="A68" s="14">
        <v>43888.75</v>
      </c>
      <c r="B68" s="13" t="s">
        <v>23</v>
      </c>
      <c r="C68" s="2">
        <v>18</v>
      </c>
      <c r="D68" s="13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3" t="s">
        <v>27</v>
      </c>
      <c r="S68" s="13" t="s">
        <v>27</v>
      </c>
    </row>
    <row r="69" spans="1:19" hidden="1" x14ac:dyDescent="0.3">
      <c r="A69" s="14">
        <v>43888.75</v>
      </c>
      <c r="B69" s="13" t="s">
        <v>23</v>
      </c>
      <c r="C69" s="2">
        <v>15</v>
      </c>
      <c r="D69" s="13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3" t="s">
        <v>27</v>
      </c>
      <c r="S69" s="13" t="s">
        <v>27</v>
      </c>
    </row>
    <row r="70" spans="1:19" hidden="1" x14ac:dyDescent="0.3">
      <c r="A70" s="14">
        <v>43888.75</v>
      </c>
      <c r="B70" s="13" t="s">
        <v>23</v>
      </c>
      <c r="C70" s="2">
        <v>8</v>
      </c>
      <c r="D70" s="13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3" t="s">
        <v>27</v>
      </c>
      <c r="S70" s="13" t="s">
        <v>27</v>
      </c>
    </row>
    <row r="71" spans="1:19" hidden="1" x14ac:dyDescent="0.3">
      <c r="A71" s="14">
        <v>43888.75</v>
      </c>
      <c r="B71" s="13" t="s">
        <v>23</v>
      </c>
      <c r="C71" s="2">
        <v>6</v>
      </c>
      <c r="D71" s="13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3" t="s">
        <v>27</v>
      </c>
      <c r="S71" s="13" t="s">
        <v>27</v>
      </c>
    </row>
    <row r="72" spans="1:19" hidden="1" x14ac:dyDescent="0.3">
      <c r="A72" s="14">
        <v>43888.75</v>
      </c>
      <c r="B72" s="13" t="s">
        <v>23</v>
      </c>
      <c r="C72" s="2">
        <v>12</v>
      </c>
      <c r="D72" s="13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3" t="s">
        <v>27</v>
      </c>
      <c r="S72" s="13" t="s">
        <v>27</v>
      </c>
    </row>
    <row r="73" spans="1:19" hidden="1" x14ac:dyDescent="0.3">
      <c r="A73" s="14">
        <v>43888.75</v>
      </c>
      <c r="B73" s="13" t="s">
        <v>23</v>
      </c>
      <c r="C73" s="2">
        <v>7</v>
      </c>
      <c r="D73" s="13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3" t="s">
        <v>27</v>
      </c>
      <c r="S73" s="13" t="s">
        <v>27</v>
      </c>
    </row>
    <row r="74" spans="1:19" x14ac:dyDescent="0.3">
      <c r="A74" s="14">
        <v>43888.75</v>
      </c>
      <c r="B74" s="13" t="s">
        <v>23</v>
      </c>
      <c r="C74" s="2">
        <v>3</v>
      </c>
      <c r="D74" s="13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3" t="s">
        <v>27</v>
      </c>
      <c r="S74" s="13" t="s">
        <v>27</v>
      </c>
    </row>
    <row r="75" spans="1:19" hidden="1" x14ac:dyDescent="0.3">
      <c r="A75" s="14">
        <v>43888.75</v>
      </c>
      <c r="B75" s="13" t="s">
        <v>23</v>
      </c>
      <c r="C75" s="2">
        <v>11</v>
      </c>
      <c r="D75" s="13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3" t="s">
        <v>27</v>
      </c>
      <c r="S75" s="13" t="s">
        <v>27</v>
      </c>
    </row>
    <row r="76" spans="1:19" hidden="1" x14ac:dyDescent="0.3">
      <c r="A76" s="14">
        <v>43888.75</v>
      </c>
      <c r="B76" s="13" t="s">
        <v>23</v>
      </c>
      <c r="C76" s="2">
        <v>14</v>
      </c>
      <c r="D76" s="13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 t="s">
        <v>27</v>
      </c>
      <c r="S76" s="13" t="s">
        <v>27</v>
      </c>
    </row>
    <row r="77" spans="1:19" hidden="1" x14ac:dyDescent="0.3">
      <c r="A77" s="14">
        <v>43888.75</v>
      </c>
      <c r="B77" s="13" t="s">
        <v>23</v>
      </c>
      <c r="C77" s="2">
        <v>1</v>
      </c>
      <c r="D77" s="13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3" t="s">
        <v>27</v>
      </c>
      <c r="S77" s="13" t="s">
        <v>27</v>
      </c>
    </row>
    <row r="78" spans="1:19" hidden="1" x14ac:dyDescent="0.3">
      <c r="A78" s="14">
        <v>43888.75</v>
      </c>
      <c r="B78" s="13" t="s">
        <v>23</v>
      </c>
      <c r="C78" s="2">
        <v>16</v>
      </c>
      <c r="D78" s="13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3" t="s">
        <v>27</v>
      </c>
      <c r="S78" s="13" t="s">
        <v>27</v>
      </c>
    </row>
    <row r="79" spans="1:19" hidden="1" x14ac:dyDescent="0.3">
      <c r="A79" s="14">
        <v>43888.75</v>
      </c>
      <c r="B79" s="13" t="s">
        <v>23</v>
      </c>
      <c r="C79" s="2">
        <v>20</v>
      </c>
      <c r="D79" s="13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3" t="s">
        <v>27</v>
      </c>
      <c r="S79" s="13" t="s">
        <v>27</v>
      </c>
    </row>
    <row r="80" spans="1:19" hidden="1" x14ac:dyDescent="0.3">
      <c r="A80" s="14">
        <v>43888.75</v>
      </c>
      <c r="B80" s="13" t="s">
        <v>23</v>
      </c>
      <c r="C80" s="2">
        <v>19</v>
      </c>
      <c r="D80" s="13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3" t="s">
        <v>27</v>
      </c>
      <c r="S80" s="13" t="s">
        <v>27</v>
      </c>
    </row>
    <row r="81" spans="1:19" hidden="1" x14ac:dyDescent="0.3">
      <c r="A81" s="14">
        <v>43888.75</v>
      </c>
      <c r="B81" s="13" t="s">
        <v>23</v>
      </c>
      <c r="C81" s="2">
        <v>9</v>
      </c>
      <c r="D81" s="13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3" t="s">
        <v>27</v>
      </c>
      <c r="S81" s="13" t="s">
        <v>27</v>
      </c>
    </row>
    <row r="82" spans="1:19" hidden="1" x14ac:dyDescent="0.3">
      <c r="A82" s="14">
        <v>43888.75</v>
      </c>
      <c r="B82" s="13" t="s">
        <v>23</v>
      </c>
      <c r="C82" s="2">
        <v>4</v>
      </c>
      <c r="D82" s="13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3" t="s">
        <v>27</v>
      </c>
      <c r="S82" s="13" t="s">
        <v>27</v>
      </c>
    </row>
    <row r="83" spans="1:19" hidden="1" x14ac:dyDescent="0.3">
      <c r="A83" s="14">
        <v>43888.75</v>
      </c>
      <c r="B83" s="13" t="s">
        <v>23</v>
      </c>
      <c r="C83" s="2">
        <v>10</v>
      </c>
      <c r="D83" s="13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3" t="s">
        <v>27</v>
      </c>
      <c r="S83" s="13" t="s">
        <v>27</v>
      </c>
    </row>
    <row r="84" spans="1:19" hidden="1" x14ac:dyDescent="0.3">
      <c r="A84" s="14">
        <v>43888.75</v>
      </c>
      <c r="B84" s="13" t="s">
        <v>23</v>
      </c>
      <c r="C84" s="2">
        <v>2</v>
      </c>
      <c r="D84" s="13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3" t="s">
        <v>27</v>
      </c>
      <c r="S84" s="13" t="s">
        <v>27</v>
      </c>
    </row>
    <row r="85" spans="1:19" hidden="1" x14ac:dyDescent="0.3">
      <c r="A85" s="14">
        <v>43888.75</v>
      </c>
      <c r="B85" s="13" t="s">
        <v>23</v>
      </c>
      <c r="C85" s="2">
        <v>5</v>
      </c>
      <c r="D85" s="13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3" t="s">
        <v>27</v>
      </c>
      <c r="S85" s="13" t="s">
        <v>27</v>
      </c>
    </row>
    <row r="86" spans="1:19" hidden="1" x14ac:dyDescent="0.3">
      <c r="A86" s="14">
        <v>43889.75</v>
      </c>
      <c r="B86" s="13" t="s">
        <v>23</v>
      </c>
      <c r="C86" s="2">
        <v>13</v>
      </c>
      <c r="D86" s="13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3" t="s">
        <v>27</v>
      </c>
      <c r="S86" s="13" t="s">
        <v>27</v>
      </c>
    </row>
    <row r="87" spans="1:19" hidden="1" x14ac:dyDescent="0.3">
      <c r="A87" s="14">
        <v>43889.75</v>
      </c>
      <c r="B87" s="13" t="s">
        <v>23</v>
      </c>
      <c r="C87" s="2">
        <v>17</v>
      </c>
      <c r="D87" s="13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3" t="s">
        <v>27</v>
      </c>
      <c r="S87" s="13" t="s">
        <v>27</v>
      </c>
    </row>
    <row r="88" spans="1:19" hidden="1" x14ac:dyDescent="0.3">
      <c r="A88" s="14">
        <v>43889.75</v>
      </c>
      <c r="B88" s="13" t="s">
        <v>23</v>
      </c>
      <c r="C88" s="2">
        <v>4</v>
      </c>
      <c r="D88" s="13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3" t="s">
        <v>27</v>
      </c>
      <c r="S88" s="13" t="s">
        <v>27</v>
      </c>
    </row>
    <row r="89" spans="1:19" hidden="1" x14ac:dyDescent="0.3">
      <c r="A89" s="14">
        <v>43889.75</v>
      </c>
      <c r="B89" s="13" t="s">
        <v>23</v>
      </c>
      <c r="C89" s="2">
        <v>18</v>
      </c>
      <c r="D89" s="13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3" t="s">
        <v>27</v>
      </c>
      <c r="S89" s="13" t="s">
        <v>27</v>
      </c>
    </row>
    <row r="90" spans="1:19" hidden="1" x14ac:dyDescent="0.3">
      <c r="A90" s="14">
        <v>43889.75</v>
      </c>
      <c r="B90" s="13" t="s">
        <v>23</v>
      </c>
      <c r="C90" s="2">
        <v>15</v>
      </c>
      <c r="D90" s="13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3" t="s">
        <v>27</v>
      </c>
      <c r="S90" s="13" t="s">
        <v>27</v>
      </c>
    </row>
    <row r="91" spans="1:19" hidden="1" x14ac:dyDescent="0.3">
      <c r="A91" s="14">
        <v>43889.75</v>
      </c>
      <c r="B91" s="13" t="s">
        <v>23</v>
      </c>
      <c r="C91" s="2">
        <v>8</v>
      </c>
      <c r="D91" s="13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3" t="s">
        <v>27</v>
      </c>
      <c r="S91" s="13" t="s">
        <v>27</v>
      </c>
    </row>
    <row r="92" spans="1:19" hidden="1" x14ac:dyDescent="0.3">
      <c r="A92" s="14">
        <v>43889.75</v>
      </c>
      <c r="B92" s="13" t="s">
        <v>23</v>
      </c>
      <c r="C92" s="2">
        <v>6</v>
      </c>
      <c r="D92" s="13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3" t="s">
        <v>27</v>
      </c>
      <c r="S92" s="13" t="s">
        <v>27</v>
      </c>
    </row>
    <row r="93" spans="1:19" hidden="1" x14ac:dyDescent="0.3">
      <c r="A93" s="14">
        <v>43889.75</v>
      </c>
      <c r="B93" s="13" t="s">
        <v>23</v>
      </c>
      <c r="C93" s="2">
        <v>12</v>
      </c>
      <c r="D93" s="13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3" t="s">
        <v>27</v>
      </c>
      <c r="S93" s="13" t="s">
        <v>27</v>
      </c>
    </row>
    <row r="94" spans="1:19" hidden="1" x14ac:dyDescent="0.3">
      <c r="A94" s="14">
        <v>43889.75</v>
      </c>
      <c r="B94" s="13" t="s">
        <v>23</v>
      </c>
      <c r="C94" s="2">
        <v>7</v>
      </c>
      <c r="D94" s="13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3" t="s">
        <v>27</v>
      </c>
      <c r="S94" s="13" t="s">
        <v>27</v>
      </c>
    </row>
    <row r="95" spans="1:19" x14ac:dyDescent="0.3">
      <c r="A95" s="14">
        <v>43889.75</v>
      </c>
      <c r="B95" s="13" t="s">
        <v>23</v>
      </c>
      <c r="C95" s="2">
        <v>3</v>
      </c>
      <c r="D95" s="13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3" t="s">
        <v>27</v>
      </c>
      <c r="S95" s="13" t="s">
        <v>27</v>
      </c>
    </row>
    <row r="96" spans="1:19" hidden="1" x14ac:dyDescent="0.3">
      <c r="A96" s="14">
        <v>43889.75</v>
      </c>
      <c r="B96" s="13" t="s">
        <v>23</v>
      </c>
      <c r="C96" s="2">
        <v>11</v>
      </c>
      <c r="D96" s="13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3" t="s">
        <v>27</v>
      </c>
      <c r="S96" s="13" t="s">
        <v>27</v>
      </c>
    </row>
    <row r="97" spans="1:19" hidden="1" x14ac:dyDescent="0.3">
      <c r="A97" s="14">
        <v>43889.75</v>
      </c>
      <c r="B97" s="13" t="s">
        <v>23</v>
      </c>
      <c r="C97" s="2">
        <v>14</v>
      </c>
      <c r="D97" s="13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 t="s">
        <v>27</v>
      </c>
      <c r="S97" s="13" t="s">
        <v>27</v>
      </c>
    </row>
    <row r="98" spans="1:19" hidden="1" x14ac:dyDescent="0.3">
      <c r="A98" s="14">
        <v>43889.75</v>
      </c>
      <c r="B98" s="13" t="s">
        <v>23</v>
      </c>
      <c r="C98" s="2">
        <v>1</v>
      </c>
      <c r="D98" s="13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3" t="s">
        <v>27</v>
      </c>
      <c r="S98" s="13" t="s">
        <v>27</v>
      </c>
    </row>
    <row r="99" spans="1:19" hidden="1" x14ac:dyDescent="0.3">
      <c r="A99" s="14">
        <v>43889.75</v>
      </c>
      <c r="B99" s="13" t="s">
        <v>23</v>
      </c>
      <c r="C99" s="2">
        <v>16</v>
      </c>
      <c r="D99" s="13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3" t="s">
        <v>27</v>
      </c>
      <c r="S99" s="13" t="s">
        <v>27</v>
      </c>
    </row>
    <row r="100" spans="1:19" hidden="1" x14ac:dyDescent="0.3">
      <c r="A100" s="14">
        <v>43889.75</v>
      </c>
      <c r="B100" s="13" t="s">
        <v>23</v>
      </c>
      <c r="C100" s="2">
        <v>20</v>
      </c>
      <c r="D100" s="13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3" t="s">
        <v>27</v>
      </c>
      <c r="S100" s="13" t="s">
        <v>27</v>
      </c>
    </row>
    <row r="101" spans="1:19" hidden="1" x14ac:dyDescent="0.3">
      <c r="A101" s="14">
        <v>43889.75</v>
      </c>
      <c r="B101" s="13" t="s">
        <v>23</v>
      </c>
      <c r="C101" s="2">
        <v>19</v>
      </c>
      <c r="D101" s="13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3" t="s">
        <v>27</v>
      </c>
      <c r="S101" s="13" t="s">
        <v>27</v>
      </c>
    </row>
    <row r="102" spans="1:19" hidden="1" x14ac:dyDescent="0.3">
      <c r="A102" s="14">
        <v>43889.75</v>
      </c>
      <c r="B102" s="13" t="s">
        <v>23</v>
      </c>
      <c r="C102" s="2">
        <v>9</v>
      </c>
      <c r="D102" s="13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3" t="s">
        <v>27</v>
      </c>
      <c r="S102" s="13" t="s">
        <v>27</v>
      </c>
    </row>
    <row r="103" spans="1:19" hidden="1" x14ac:dyDescent="0.3">
      <c r="A103" s="14">
        <v>43889.75</v>
      </c>
      <c r="B103" s="13" t="s">
        <v>23</v>
      </c>
      <c r="C103" s="2">
        <v>4</v>
      </c>
      <c r="D103" s="13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3" t="s">
        <v>27</v>
      </c>
      <c r="S103" s="13" t="s">
        <v>27</v>
      </c>
    </row>
    <row r="104" spans="1:19" hidden="1" x14ac:dyDescent="0.3">
      <c r="A104" s="14">
        <v>43889.75</v>
      </c>
      <c r="B104" s="13" t="s">
        <v>23</v>
      </c>
      <c r="C104" s="2">
        <v>10</v>
      </c>
      <c r="D104" s="13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3" t="s">
        <v>27</v>
      </c>
      <c r="S104" s="13" t="s">
        <v>27</v>
      </c>
    </row>
    <row r="105" spans="1:19" hidden="1" x14ac:dyDescent="0.3">
      <c r="A105" s="14">
        <v>43889.75</v>
      </c>
      <c r="B105" s="13" t="s">
        <v>23</v>
      </c>
      <c r="C105" s="2">
        <v>2</v>
      </c>
      <c r="D105" s="13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3" t="s">
        <v>27</v>
      </c>
      <c r="S105" s="13" t="s">
        <v>27</v>
      </c>
    </row>
    <row r="106" spans="1:19" hidden="1" x14ac:dyDescent="0.3">
      <c r="A106" s="14">
        <v>43889.75</v>
      </c>
      <c r="B106" s="13" t="s">
        <v>23</v>
      </c>
      <c r="C106" s="2">
        <v>5</v>
      </c>
      <c r="D106" s="13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3" t="s">
        <v>27</v>
      </c>
      <c r="S106" s="13" t="s">
        <v>27</v>
      </c>
    </row>
    <row r="107" spans="1:19" hidden="1" x14ac:dyDescent="0.3">
      <c r="A107" s="14">
        <v>43890.708333333336</v>
      </c>
      <c r="B107" s="13" t="s">
        <v>23</v>
      </c>
      <c r="C107" s="2">
        <v>13</v>
      </c>
      <c r="D107" s="13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3" t="s">
        <v>27</v>
      </c>
      <c r="S107" s="13" t="s">
        <v>27</v>
      </c>
    </row>
    <row r="108" spans="1:19" hidden="1" x14ac:dyDescent="0.3">
      <c r="A108" s="14">
        <v>43890.708333333336</v>
      </c>
      <c r="B108" s="13" t="s">
        <v>23</v>
      </c>
      <c r="C108" s="2">
        <v>17</v>
      </c>
      <c r="D108" s="13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3" t="s">
        <v>27</v>
      </c>
      <c r="S108" s="13" t="s">
        <v>27</v>
      </c>
    </row>
    <row r="109" spans="1:19" hidden="1" x14ac:dyDescent="0.3">
      <c r="A109" s="14">
        <v>43890.708333333336</v>
      </c>
      <c r="B109" s="13" t="s">
        <v>23</v>
      </c>
      <c r="C109" s="2">
        <v>4</v>
      </c>
      <c r="D109" s="13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3" t="s">
        <v>27</v>
      </c>
      <c r="S109" s="13" t="s">
        <v>27</v>
      </c>
    </row>
    <row r="110" spans="1:19" hidden="1" x14ac:dyDescent="0.3">
      <c r="A110" s="14">
        <v>43890.708333333336</v>
      </c>
      <c r="B110" s="13" t="s">
        <v>23</v>
      </c>
      <c r="C110" s="2">
        <v>18</v>
      </c>
      <c r="D110" s="13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3" t="s">
        <v>27</v>
      </c>
      <c r="S110" s="13" t="s">
        <v>27</v>
      </c>
    </row>
    <row r="111" spans="1:19" hidden="1" x14ac:dyDescent="0.3">
      <c r="A111" s="14">
        <v>43890.708333333336</v>
      </c>
      <c r="B111" s="13" t="s">
        <v>23</v>
      </c>
      <c r="C111" s="2">
        <v>15</v>
      </c>
      <c r="D111" s="13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3" t="s">
        <v>27</v>
      </c>
      <c r="S111" s="13" t="s">
        <v>27</v>
      </c>
    </row>
    <row r="112" spans="1:19" hidden="1" x14ac:dyDescent="0.3">
      <c r="A112" s="14">
        <v>43890.708333333336</v>
      </c>
      <c r="B112" s="13" t="s">
        <v>23</v>
      </c>
      <c r="C112" s="2">
        <v>8</v>
      </c>
      <c r="D112" s="13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3" t="s">
        <v>27</v>
      </c>
      <c r="S112" s="13" t="s">
        <v>27</v>
      </c>
    </row>
    <row r="113" spans="1:19" hidden="1" x14ac:dyDescent="0.3">
      <c r="A113" s="14">
        <v>43890.708333333336</v>
      </c>
      <c r="B113" s="13" t="s">
        <v>23</v>
      </c>
      <c r="C113" s="2">
        <v>6</v>
      </c>
      <c r="D113" s="13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3" t="s">
        <v>27</v>
      </c>
      <c r="S113" s="13" t="s">
        <v>27</v>
      </c>
    </row>
    <row r="114" spans="1:19" hidden="1" x14ac:dyDescent="0.3">
      <c r="A114" s="14">
        <v>43890.708333333336</v>
      </c>
      <c r="B114" s="13" t="s">
        <v>23</v>
      </c>
      <c r="C114" s="2">
        <v>12</v>
      </c>
      <c r="D114" s="13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3" t="s">
        <v>27</v>
      </c>
      <c r="S114" s="13" t="s">
        <v>27</v>
      </c>
    </row>
    <row r="115" spans="1:19" hidden="1" x14ac:dyDescent="0.3">
      <c r="A115" s="14">
        <v>43890.708333333336</v>
      </c>
      <c r="B115" s="13" t="s">
        <v>23</v>
      </c>
      <c r="C115" s="2">
        <v>7</v>
      </c>
      <c r="D115" s="13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3" t="s">
        <v>27</v>
      </c>
      <c r="S115" s="13" t="s">
        <v>27</v>
      </c>
    </row>
    <row r="116" spans="1:19" x14ac:dyDescent="0.3">
      <c r="A116" s="14">
        <v>43890.708333333336</v>
      </c>
      <c r="B116" s="13" t="s">
        <v>23</v>
      </c>
      <c r="C116" s="2">
        <v>3</v>
      </c>
      <c r="D116" s="13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3" t="s">
        <v>27</v>
      </c>
      <c r="S116" s="13" t="s">
        <v>27</v>
      </c>
    </row>
    <row r="117" spans="1:19" hidden="1" x14ac:dyDescent="0.3">
      <c r="A117" s="14">
        <v>43890.708333333336</v>
      </c>
      <c r="B117" s="13" t="s">
        <v>23</v>
      </c>
      <c r="C117" s="2">
        <v>11</v>
      </c>
      <c r="D117" s="13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3" t="s">
        <v>27</v>
      </c>
      <c r="S117" s="13" t="s">
        <v>27</v>
      </c>
    </row>
    <row r="118" spans="1:19" hidden="1" x14ac:dyDescent="0.3">
      <c r="A118" s="14">
        <v>43890.708333333336</v>
      </c>
      <c r="B118" s="13" t="s">
        <v>23</v>
      </c>
      <c r="C118" s="2">
        <v>14</v>
      </c>
      <c r="D118" s="13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3" t="s">
        <v>27</v>
      </c>
      <c r="S118" s="13" t="s">
        <v>27</v>
      </c>
    </row>
    <row r="119" spans="1:19" hidden="1" x14ac:dyDescent="0.3">
      <c r="A119" s="14">
        <v>43890.708333333336</v>
      </c>
      <c r="B119" s="13" t="s">
        <v>23</v>
      </c>
      <c r="C119" s="2">
        <v>1</v>
      </c>
      <c r="D119" s="13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3" t="s">
        <v>27</v>
      </c>
      <c r="S119" s="13" t="s">
        <v>27</v>
      </c>
    </row>
    <row r="120" spans="1:19" hidden="1" x14ac:dyDescent="0.3">
      <c r="A120" s="14">
        <v>43890.708333333336</v>
      </c>
      <c r="B120" s="13" t="s">
        <v>23</v>
      </c>
      <c r="C120" s="2">
        <v>16</v>
      </c>
      <c r="D120" s="13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3" t="s">
        <v>27</v>
      </c>
      <c r="S120" s="13" t="s">
        <v>27</v>
      </c>
    </row>
    <row r="121" spans="1:19" hidden="1" x14ac:dyDescent="0.3">
      <c r="A121" s="14">
        <v>43890.708333333336</v>
      </c>
      <c r="B121" s="13" t="s">
        <v>23</v>
      </c>
      <c r="C121" s="2">
        <v>20</v>
      </c>
      <c r="D121" s="13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3" t="s">
        <v>27</v>
      </c>
      <c r="S121" s="13" t="s">
        <v>27</v>
      </c>
    </row>
    <row r="122" spans="1:19" hidden="1" x14ac:dyDescent="0.3">
      <c r="A122" s="14">
        <v>43890.708333333336</v>
      </c>
      <c r="B122" s="13" t="s">
        <v>23</v>
      </c>
      <c r="C122" s="2">
        <v>19</v>
      </c>
      <c r="D122" s="13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3" t="s">
        <v>27</v>
      </c>
      <c r="S122" s="13" t="s">
        <v>27</v>
      </c>
    </row>
    <row r="123" spans="1:19" hidden="1" x14ac:dyDescent="0.3">
      <c r="A123" s="14">
        <v>43890.708333333336</v>
      </c>
      <c r="B123" s="13" t="s">
        <v>23</v>
      </c>
      <c r="C123" s="2">
        <v>9</v>
      </c>
      <c r="D123" s="13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3" t="s">
        <v>27</v>
      </c>
      <c r="S123" s="13" t="s">
        <v>27</v>
      </c>
    </row>
    <row r="124" spans="1:19" hidden="1" x14ac:dyDescent="0.3">
      <c r="A124" s="14">
        <v>43890.708333333336</v>
      </c>
      <c r="B124" s="13" t="s">
        <v>23</v>
      </c>
      <c r="C124" s="2">
        <v>4</v>
      </c>
      <c r="D124" s="13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3" t="s">
        <v>27</v>
      </c>
      <c r="S124" s="13" t="s">
        <v>27</v>
      </c>
    </row>
    <row r="125" spans="1:19" hidden="1" x14ac:dyDescent="0.3">
      <c r="A125" s="14">
        <v>43890.708333333336</v>
      </c>
      <c r="B125" s="13" t="s">
        <v>23</v>
      </c>
      <c r="C125" s="2">
        <v>10</v>
      </c>
      <c r="D125" s="13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3" t="s">
        <v>27</v>
      </c>
      <c r="S125" s="13" t="s">
        <v>27</v>
      </c>
    </row>
    <row r="126" spans="1:19" hidden="1" x14ac:dyDescent="0.3">
      <c r="A126" s="14">
        <v>43890.708333333336</v>
      </c>
      <c r="B126" s="13" t="s">
        <v>23</v>
      </c>
      <c r="C126" s="2">
        <v>2</v>
      </c>
      <c r="D126" s="13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3" t="s">
        <v>27</v>
      </c>
      <c r="S126" s="13" t="s">
        <v>27</v>
      </c>
    </row>
    <row r="127" spans="1:19" hidden="1" x14ac:dyDescent="0.3">
      <c r="A127" s="14">
        <v>43890.708333333336</v>
      </c>
      <c r="B127" s="13" t="s">
        <v>23</v>
      </c>
      <c r="C127" s="2">
        <v>5</v>
      </c>
      <c r="D127" s="13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3" t="s">
        <v>27</v>
      </c>
      <c r="S127" s="13" t="s">
        <v>27</v>
      </c>
    </row>
    <row r="128" spans="1:19" hidden="1" x14ac:dyDescent="0.3">
      <c r="A128" s="14">
        <v>43891.708333333336</v>
      </c>
      <c r="B128" s="13" t="s">
        <v>23</v>
      </c>
      <c r="C128" s="2">
        <v>13</v>
      </c>
      <c r="D128" s="13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3" t="s">
        <v>27</v>
      </c>
      <c r="S128" s="13" t="s">
        <v>27</v>
      </c>
    </row>
    <row r="129" spans="1:19" hidden="1" x14ac:dyDescent="0.3">
      <c r="A129" s="14">
        <v>43891.708333333336</v>
      </c>
      <c r="B129" s="13" t="s">
        <v>23</v>
      </c>
      <c r="C129" s="2">
        <v>17</v>
      </c>
      <c r="D129" s="13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3" t="s">
        <v>27</v>
      </c>
      <c r="S129" s="13" t="s">
        <v>27</v>
      </c>
    </row>
    <row r="130" spans="1:19" hidden="1" x14ac:dyDescent="0.3">
      <c r="A130" s="14">
        <v>43891.708333333336</v>
      </c>
      <c r="B130" s="13" t="s">
        <v>23</v>
      </c>
      <c r="C130" s="2">
        <v>4</v>
      </c>
      <c r="D130" s="13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3" t="s">
        <v>27</v>
      </c>
      <c r="S130" s="13" t="s">
        <v>27</v>
      </c>
    </row>
    <row r="131" spans="1:19" hidden="1" x14ac:dyDescent="0.3">
      <c r="A131" s="14">
        <v>43891.708333333336</v>
      </c>
      <c r="B131" s="13" t="s">
        <v>23</v>
      </c>
      <c r="C131" s="2">
        <v>18</v>
      </c>
      <c r="D131" s="13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3" t="s">
        <v>27</v>
      </c>
      <c r="S131" s="13" t="s">
        <v>27</v>
      </c>
    </row>
    <row r="132" spans="1:19" hidden="1" x14ac:dyDescent="0.3">
      <c r="A132" s="14">
        <v>43891.708333333336</v>
      </c>
      <c r="B132" s="13" t="s">
        <v>23</v>
      </c>
      <c r="C132" s="2">
        <v>15</v>
      </c>
      <c r="D132" s="13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3" t="s">
        <v>27</v>
      </c>
      <c r="S132" s="13" t="s">
        <v>27</v>
      </c>
    </row>
    <row r="133" spans="1:19" hidden="1" x14ac:dyDescent="0.3">
      <c r="A133" s="14">
        <v>43891.708333333336</v>
      </c>
      <c r="B133" s="13" t="s">
        <v>23</v>
      </c>
      <c r="C133" s="2">
        <v>8</v>
      </c>
      <c r="D133" s="13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3" t="s">
        <v>27</v>
      </c>
      <c r="S133" s="13" t="s">
        <v>27</v>
      </c>
    </row>
    <row r="134" spans="1:19" hidden="1" x14ac:dyDescent="0.3">
      <c r="A134" s="14">
        <v>43891.708333333336</v>
      </c>
      <c r="B134" s="13" t="s">
        <v>23</v>
      </c>
      <c r="C134" s="2">
        <v>6</v>
      </c>
      <c r="D134" s="13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3" t="s">
        <v>27</v>
      </c>
      <c r="S134" s="13" t="s">
        <v>27</v>
      </c>
    </row>
    <row r="135" spans="1:19" hidden="1" x14ac:dyDescent="0.3">
      <c r="A135" s="14">
        <v>43891.708333333336</v>
      </c>
      <c r="B135" s="13" t="s">
        <v>23</v>
      </c>
      <c r="C135" s="2">
        <v>12</v>
      </c>
      <c r="D135" s="13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3" t="s">
        <v>27</v>
      </c>
      <c r="S135" s="13" t="s">
        <v>27</v>
      </c>
    </row>
    <row r="136" spans="1:19" hidden="1" x14ac:dyDescent="0.3">
      <c r="A136" s="14">
        <v>43891.708333333336</v>
      </c>
      <c r="B136" s="13" t="s">
        <v>23</v>
      </c>
      <c r="C136" s="2">
        <v>7</v>
      </c>
      <c r="D136" s="13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3" t="s">
        <v>27</v>
      </c>
      <c r="S136" s="13" t="s">
        <v>27</v>
      </c>
    </row>
    <row r="137" spans="1:19" x14ac:dyDescent="0.3">
      <c r="A137" s="14">
        <v>43891.708333333336</v>
      </c>
      <c r="B137" s="13" t="s">
        <v>23</v>
      </c>
      <c r="C137" s="2">
        <v>3</v>
      </c>
      <c r="D137" s="13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3" t="s">
        <v>27</v>
      </c>
      <c r="S137" s="13" t="s">
        <v>27</v>
      </c>
    </row>
    <row r="138" spans="1:19" hidden="1" x14ac:dyDescent="0.3">
      <c r="A138" s="14">
        <v>43891.708333333336</v>
      </c>
      <c r="B138" s="13" t="s">
        <v>23</v>
      </c>
      <c r="C138" s="2">
        <v>11</v>
      </c>
      <c r="D138" s="13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3" t="s">
        <v>27</v>
      </c>
      <c r="S138" s="13" t="s">
        <v>27</v>
      </c>
    </row>
    <row r="139" spans="1:19" hidden="1" x14ac:dyDescent="0.3">
      <c r="A139" s="14">
        <v>43891.708333333336</v>
      </c>
      <c r="B139" s="13" t="s">
        <v>23</v>
      </c>
      <c r="C139" s="2">
        <v>14</v>
      </c>
      <c r="D139" s="13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3" t="s">
        <v>27</v>
      </c>
      <c r="S139" s="13" t="s">
        <v>27</v>
      </c>
    </row>
    <row r="140" spans="1:19" hidden="1" x14ac:dyDescent="0.3">
      <c r="A140" s="14">
        <v>43891.708333333336</v>
      </c>
      <c r="B140" s="13" t="s">
        <v>23</v>
      </c>
      <c r="C140" s="2">
        <v>1</v>
      </c>
      <c r="D140" s="13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3" t="s">
        <v>27</v>
      </c>
      <c r="S140" s="13" t="s">
        <v>27</v>
      </c>
    </row>
    <row r="141" spans="1:19" hidden="1" x14ac:dyDescent="0.3">
      <c r="A141" s="14">
        <v>43891.708333333336</v>
      </c>
      <c r="B141" s="13" t="s">
        <v>23</v>
      </c>
      <c r="C141" s="2">
        <v>16</v>
      </c>
      <c r="D141" s="13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3" t="s">
        <v>27</v>
      </c>
      <c r="S141" s="13" t="s">
        <v>27</v>
      </c>
    </row>
    <row r="142" spans="1:19" hidden="1" x14ac:dyDescent="0.3">
      <c r="A142" s="14">
        <v>43891.708333333336</v>
      </c>
      <c r="B142" s="13" t="s">
        <v>23</v>
      </c>
      <c r="C142" s="2">
        <v>20</v>
      </c>
      <c r="D142" s="13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3" t="s">
        <v>27</v>
      </c>
      <c r="S142" s="13" t="s">
        <v>27</v>
      </c>
    </row>
    <row r="143" spans="1:19" hidden="1" x14ac:dyDescent="0.3">
      <c r="A143" s="14">
        <v>43891.708333333336</v>
      </c>
      <c r="B143" s="13" t="s">
        <v>23</v>
      </c>
      <c r="C143" s="2">
        <v>19</v>
      </c>
      <c r="D143" s="13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3" t="s">
        <v>27</v>
      </c>
      <c r="S143" s="13" t="s">
        <v>27</v>
      </c>
    </row>
    <row r="144" spans="1:19" hidden="1" x14ac:dyDescent="0.3">
      <c r="A144" s="14">
        <v>43891.708333333336</v>
      </c>
      <c r="B144" s="13" t="s">
        <v>23</v>
      </c>
      <c r="C144" s="2">
        <v>9</v>
      </c>
      <c r="D144" s="13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3" t="s">
        <v>27</v>
      </c>
      <c r="S144" s="13" t="s">
        <v>27</v>
      </c>
    </row>
    <row r="145" spans="1:19" hidden="1" x14ac:dyDescent="0.3">
      <c r="A145" s="14">
        <v>43891.708333333336</v>
      </c>
      <c r="B145" s="13" t="s">
        <v>23</v>
      </c>
      <c r="C145" s="2">
        <v>4</v>
      </c>
      <c r="D145" s="13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3" t="s">
        <v>27</v>
      </c>
      <c r="S145" s="13" t="s">
        <v>27</v>
      </c>
    </row>
    <row r="146" spans="1:19" hidden="1" x14ac:dyDescent="0.3">
      <c r="A146" s="14">
        <v>43891.708333333336</v>
      </c>
      <c r="B146" s="13" t="s">
        <v>23</v>
      </c>
      <c r="C146" s="2">
        <v>10</v>
      </c>
      <c r="D146" s="13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3" t="s">
        <v>27</v>
      </c>
      <c r="S146" s="13" t="s">
        <v>27</v>
      </c>
    </row>
    <row r="147" spans="1:19" hidden="1" x14ac:dyDescent="0.3">
      <c r="A147" s="14">
        <v>43891.708333333336</v>
      </c>
      <c r="B147" s="13" t="s">
        <v>23</v>
      </c>
      <c r="C147" s="2">
        <v>2</v>
      </c>
      <c r="D147" s="13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3" t="s">
        <v>27</v>
      </c>
      <c r="S147" s="13" t="s">
        <v>27</v>
      </c>
    </row>
    <row r="148" spans="1:19" hidden="1" x14ac:dyDescent="0.3">
      <c r="A148" s="14">
        <v>43891.708333333336</v>
      </c>
      <c r="B148" s="13" t="s">
        <v>23</v>
      </c>
      <c r="C148" s="2">
        <v>5</v>
      </c>
      <c r="D148" s="13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3" t="s">
        <v>27</v>
      </c>
      <c r="S148" s="13" t="s">
        <v>27</v>
      </c>
    </row>
    <row r="149" spans="1:19" hidden="1" x14ac:dyDescent="0.3">
      <c r="A149" s="14">
        <v>43892.75</v>
      </c>
      <c r="B149" s="13" t="s">
        <v>23</v>
      </c>
      <c r="C149" s="2">
        <v>13</v>
      </c>
      <c r="D149" s="13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3" t="s">
        <v>27</v>
      </c>
      <c r="S149" s="13" t="s">
        <v>27</v>
      </c>
    </row>
    <row r="150" spans="1:19" hidden="1" x14ac:dyDescent="0.3">
      <c r="A150" s="14">
        <v>43892.75</v>
      </c>
      <c r="B150" s="13" t="s">
        <v>23</v>
      </c>
      <c r="C150" s="2">
        <v>17</v>
      </c>
      <c r="D150" s="13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3" t="s">
        <v>27</v>
      </c>
      <c r="S150" s="13" t="s">
        <v>27</v>
      </c>
    </row>
    <row r="151" spans="1:19" hidden="1" x14ac:dyDescent="0.3">
      <c r="A151" s="14">
        <v>43892.75</v>
      </c>
      <c r="B151" s="13" t="s">
        <v>23</v>
      </c>
      <c r="C151" s="2">
        <v>4</v>
      </c>
      <c r="D151" s="13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3" t="s">
        <v>27</v>
      </c>
      <c r="S151" s="13" t="s">
        <v>27</v>
      </c>
    </row>
    <row r="152" spans="1:19" hidden="1" x14ac:dyDescent="0.3">
      <c r="A152" s="14">
        <v>43892.75</v>
      </c>
      <c r="B152" s="13" t="s">
        <v>23</v>
      </c>
      <c r="C152" s="2">
        <v>18</v>
      </c>
      <c r="D152" s="13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3" t="s">
        <v>27</v>
      </c>
      <c r="S152" s="13" t="s">
        <v>27</v>
      </c>
    </row>
    <row r="153" spans="1:19" hidden="1" x14ac:dyDescent="0.3">
      <c r="A153" s="14">
        <v>43892.75</v>
      </c>
      <c r="B153" s="13" t="s">
        <v>23</v>
      </c>
      <c r="C153" s="2">
        <v>15</v>
      </c>
      <c r="D153" s="13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3" t="s">
        <v>27</v>
      </c>
      <c r="S153" s="13" t="s">
        <v>27</v>
      </c>
    </row>
    <row r="154" spans="1:19" hidden="1" x14ac:dyDescent="0.3">
      <c r="A154" s="14">
        <v>43892.75</v>
      </c>
      <c r="B154" s="13" t="s">
        <v>23</v>
      </c>
      <c r="C154" s="2">
        <v>8</v>
      </c>
      <c r="D154" s="13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3" t="s">
        <v>27</v>
      </c>
      <c r="S154" s="13" t="s">
        <v>27</v>
      </c>
    </row>
    <row r="155" spans="1:19" hidden="1" x14ac:dyDescent="0.3">
      <c r="A155" s="14">
        <v>43892.75</v>
      </c>
      <c r="B155" s="13" t="s">
        <v>23</v>
      </c>
      <c r="C155" s="2">
        <v>6</v>
      </c>
      <c r="D155" s="13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3" t="s">
        <v>27</v>
      </c>
      <c r="S155" s="13" t="s">
        <v>27</v>
      </c>
    </row>
    <row r="156" spans="1:19" hidden="1" x14ac:dyDescent="0.3">
      <c r="A156" s="14">
        <v>43892.75</v>
      </c>
      <c r="B156" s="13" t="s">
        <v>23</v>
      </c>
      <c r="C156" s="2">
        <v>12</v>
      </c>
      <c r="D156" s="13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3" t="s">
        <v>27</v>
      </c>
      <c r="S156" s="13" t="s">
        <v>27</v>
      </c>
    </row>
    <row r="157" spans="1:19" hidden="1" x14ac:dyDescent="0.3">
      <c r="A157" s="14">
        <v>43892.75</v>
      </c>
      <c r="B157" s="13" t="s">
        <v>23</v>
      </c>
      <c r="C157" s="2">
        <v>7</v>
      </c>
      <c r="D157" s="13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3" t="s">
        <v>27</v>
      </c>
      <c r="S157" s="13" t="s">
        <v>27</v>
      </c>
    </row>
    <row r="158" spans="1:19" x14ac:dyDescent="0.3">
      <c r="A158" s="14">
        <v>43892.75</v>
      </c>
      <c r="B158" s="13" t="s">
        <v>23</v>
      </c>
      <c r="C158" s="2">
        <v>3</v>
      </c>
      <c r="D158" s="13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3" t="s">
        <v>27</v>
      </c>
      <c r="S158" s="13" t="s">
        <v>27</v>
      </c>
    </row>
    <row r="159" spans="1:19" hidden="1" x14ac:dyDescent="0.3">
      <c r="A159" s="14">
        <v>43892.75</v>
      </c>
      <c r="B159" s="13" t="s">
        <v>23</v>
      </c>
      <c r="C159" s="2">
        <v>11</v>
      </c>
      <c r="D159" s="13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3" t="s">
        <v>27</v>
      </c>
      <c r="S159" s="13" t="s">
        <v>27</v>
      </c>
    </row>
    <row r="160" spans="1:19" hidden="1" x14ac:dyDescent="0.3">
      <c r="A160" s="14">
        <v>43892.75</v>
      </c>
      <c r="B160" s="13" t="s">
        <v>23</v>
      </c>
      <c r="C160" s="2">
        <v>14</v>
      </c>
      <c r="D160" s="13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3" t="s">
        <v>27</v>
      </c>
      <c r="S160" s="13" t="s">
        <v>27</v>
      </c>
    </row>
    <row r="161" spans="1:19" hidden="1" x14ac:dyDescent="0.3">
      <c r="A161" s="14">
        <v>43892.75</v>
      </c>
      <c r="B161" s="13" t="s">
        <v>23</v>
      </c>
      <c r="C161" s="2">
        <v>1</v>
      </c>
      <c r="D161" s="13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3" t="s">
        <v>27</v>
      </c>
      <c r="S161" s="13" t="s">
        <v>27</v>
      </c>
    </row>
    <row r="162" spans="1:19" hidden="1" x14ac:dyDescent="0.3">
      <c r="A162" s="14">
        <v>43892.75</v>
      </c>
      <c r="B162" s="13" t="s">
        <v>23</v>
      </c>
      <c r="C162" s="2">
        <v>16</v>
      </c>
      <c r="D162" s="13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3" t="s">
        <v>27</v>
      </c>
      <c r="S162" s="13" t="s">
        <v>27</v>
      </c>
    </row>
    <row r="163" spans="1:19" hidden="1" x14ac:dyDescent="0.3">
      <c r="A163" s="14">
        <v>43892.75</v>
      </c>
      <c r="B163" s="13" t="s">
        <v>23</v>
      </c>
      <c r="C163" s="2">
        <v>20</v>
      </c>
      <c r="D163" s="13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3" t="s">
        <v>27</v>
      </c>
      <c r="S163" s="13" t="s">
        <v>27</v>
      </c>
    </row>
    <row r="164" spans="1:19" hidden="1" x14ac:dyDescent="0.3">
      <c r="A164" s="14">
        <v>43892.75</v>
      </c>
      <c r="B164" s="13" t="s">
        <v>23</v>
      </c>
      <c r="C164" s="2">
        <v>19</v>
      </c>
      <c r="D164" s="13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3" t="s">
        <v>27</v>
      </c>
      <c r="S164" s="13" t="s">
        <v>27</v>
      </c>
    </row>
    <row r="165" spans="1:19" hidden="1" x14ac:dyDescent="0.3">
      <c r="A165" s="14">
        <v>43892.75</v>
      </c>
      <c r="B165" s="13" t="s">
        <v>23</v>
      </c>
      <c r="C165" s="2">
        <v>9</v>
      </c>
      <c r="D165" s="13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3" t="s">
        <v>27</v>
      </c>
      <c r="S165" s="13" t="s">
        <v>27</v>
      </c>
    </row>
    <row r="166" spans="1:19" hidden="1" x14ac:dyDescent="0.3">
      <c r="A166" s="14">
        <v>43892.75</v>
      </c>
      <c r="B166" s="13" t="s">
        <v>23</v>
      </c>
      <c r="C166" s="2">
        <v>4</v>
      </c>
      <c r="D166" s="13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3" t="s">
        <v>27</v>
      </c>
      <c r="S166" s="13" t="s">
        <v>27</v>
      </c>
    </row>
    <row r="167" spans="1:19" hidden="1" x14ac:dyDescent="0.3">
      <c r="A167" s="14">
        <v>43892.75</v>
      </c>
      <c r="B167" s="13" t="s">
        <v>23</v>
      </c>
      <c r="C167" s="2">
        <v>10</v>
      </c>
      <c r="D167" s="13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3" t="s">
        <v>27</v>
      </c>
      <c r="S167" s="13" t="s">
        <v>27</v>
      </c>
    </row>
    <row r="168" spans="1:19" hidden="1" x14ac:dyDescent="0.3">
      <c r="A168" s="14">
        <v>43892.75</v>
      </c>
      <c r="B168" s="13" t="s">
        <v>23</v>
      </c>
      <c r="C168" s="2">
        <v>2</v>
      </c>
      <c r="D168" s="13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3" t="s">
        <v>27</v>
      </c>
      <c r="S168" s="13" t="s">
        <v>27</v>
      </c>
    </row>
    <row r="169" spans="1:19" hidden="1" x14ac:dyDescent="0.3">
      <c r="A169" s="14">
        <v>43892.75</v>
      </c>
      <c r="B169" s="13" t="s">
        <v>23</v>
      </c>
      <c r="C169" s="2">
        <v>5</v>
      </c>
      <c r="D169" s="13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3" t="s">
        <v>27</v>
      </c>
      <c r="S169" s="13" t="s">
        <v>27</v>
      </c>
    </row>
    <row r="170" spans="1:19" hidden="1" x14ac:dyDescent="0.3">
      <c r="A170" s="14">
        <v>43893.75</v>
      </c>
      <c r="B170" s="13" t="s">
        <v>23</v>
      </c>
      <c r="C170" s="2">
        <v>13</v>
      </c>
      <c r="D170" s="13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3" t="s">
        <v>27</v>
      </c>
      <c r="S170" s="13" t="s">
        <v>27</v>
      </c>
    </row>
    <row r="171" spans="1:19" hidden="1" x14ac:dyDescent="0.3">
      <c r="A171" s="14">
        <v>43893.75</v>
      </c>
      <c r="B171" s="13" t="s">
        <v>23</v>
      </c>
      <c r="C171" s="2">
        <v>17</v>
      </c>
      <c r="D171" s="13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3" t="s">
        <v>27</v>
      </c>
      <c r="S171" s="13" t="s">
        <v>27</v>
      </c>
    </row>
    <row r="172" spans="1:19" hidden="1" x14ac:dyDescent="0.3">
      <c r="A172" s="14">
        <v>43893.75</v>
      </c>
      <c r="B172" s="13" t="s">
        <v>23</v>
      </c>
      <c r="C172" s="2">
        <v>4</v>
      </c>
      <c r="D172" s="13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3" t="s">
        <v>27</v>
      </c>
      <c r="S172" s="13" t="s">
        <v>27</v>
      </c>
    </row>
    <row r="173" spans="1:19" hidden="1" x14ac:dyDescent="0.3">
      <c r="A173" s="14">
        <v>43893.75</v>
      </c>
      <c r="B173" s="13" t="s">
        <v>23</v>
      </c>
      <c r="C173" s="2">
        <v>18</v>
      </c>
      <c r="D173" s="13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3" t="s">
        <v>27</v>
      </c>
      <c r="S173" s="13" t="s">
        <v>27</v>
      </c>
    </row>
    <row r="174" spans="1:19" hidden="1" x14ac:dyDescent="0.3">
      <c r="A174" s="14">
        <v>43893.75</v>
      </c>
      <c r="B174" s="13" t="s">
        <v>23</v>
      </c>
      <c r="C174" s="2">
        <v>15</v>
      </c>
      <c r="D174" s="13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3" t="s">
        <v>27</v>
      </c>
      <c r="S174" s="13" t="s">
        <v>27</v>
      </c>
    </row>
    <row r="175" spans="1:19" hidden="1" x14ac:dyDescent="0.3">
      <c r="A175" s="14">
        <v>43893.75</v>
      </c>
      <c r="B175" s="13" t="s">
        <v>23</v>
      </c>
      <c r="C175" s="2">
        <v>8</v>
      </c>
      <c r="D175" s="13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3" t="s">
        <v>27</v>
      </c>
      <c r="S175" s="13" t="s">
        <v>27</v>
      </c>
    </row>
    <row r="176" spans="1:19" hidden="1" x14ac:dyDescent="0.3">
      <c r="A176" s="14">
        <v>43893.75</v>
      </c>
      <c r="B176" s="13" t="s">
        <v>23</v>
      </c>
      <c r="C176" s="2">
        <v>6</v>
      </c>
      <c r="D176" s="13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3" t="s">
        <v>27</v>
      </c>
      <c r="S176" s="13" t="s">
        <v>27</v>
      </c>
    </row>
    <row r="177" spans="1:19" hidden="1" x14ac:dyDescent="0.3">
      <c r="A177" s="14">
        <v>43893.75</v>
      </c>
      <c r="B177" s="13" t="s">
        <v>23</v>
      </c>
      <c r="C177" s="2">
        <v>12</v>
      </c>
      <c r="D177" s="13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3" t="s">
        <v>27</v>
      </c>
      <c r="S177" s="13" t="s">
        <v>27</v>
      </c>
    </row>
    <row r="178" spans="1:19" hidden="1" x14ac:dyDescent="0.3">
      <c r="A178" s="14">
        <v>43893.75</v>
      </c>
      <c r="B178" s="13" t="s">
        <v>23</v>
      </c>
      <c r="C178" s="2">
        <v>7</v>
      </c>
      <c r="D178" s="13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3" t="s">
        <v>27</v>
      </c>
      <c r="S178" s="13" t="s">
        <v>27</v>
      </c>
    </row>
    <row r="179" spans="1:19" x14ac:dyDescent="0.3">
      <c r="A179" s="14">
        <v>43893.75</v>
      </c>
      <c r="B179" s="13" t="s">
        <v>23</v>
      </c>
      <c r="C179" s="2">
        <v>3</v>
      </c>
      <c r="D179" s="13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3" t="s">
        <v>27</v>
      </c>
      <c r="S179" s="13" t="s">
        <v>27</v>
      </c>
    </row>
    <row r="180" spans="1:19" hidden="1" x14ac:dyDescent="0.3">
      <c r="A180" s="14">
        <v>43893.75</v>
      </c>
      <c r="B180" s="13" t="s">
        <v>23</v>
      </c>
      <c r="C180" s="2">
        <v>11</v>
      </c>
      <c r="D180" s="13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3" t="s">
        <v>27</v>
      </c>
      <c r="S180" s="13" t="s">
        <v>27</v>
      </c>
    </row>
    <row r="181" spans="1:19" hidden="1" x14ac:dyDescent="0.3">
      <c r="A181" s="14">
        <v>43893.75</v>
      </c>
      <c r="B181" s="13" t="s">
        <v>23</v>
      </c>
      <c r="C181" s="2">
        <v>14</v>
      </c>
      <c r="D181" s="13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3" t="s">
        <v>27</v>
      </c>
      <c r="S181" s="13" t="s">
        <v>27</v>
      </c>
    </row>
    <row r="182" spans="1:19" hidden="1" x14ac:dyDescent="0.3">
      <c r="A182" s="14">
        <v>43893.75</v>
      </c>
      <c r="B182" s="13" t="s">
        <v>23</v>
      </c>
      <c r="C182" s="2">
        <v>1</v>
      </c>
      <c r="D182" s="13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3" t="s">
        <v>27</v>
      </c>
      <c r="S182" s="13" t="s">
        <v>27</v>
      </c>
    </row>
    <row r="183" spans="1:19" hidden="1" x14ac:dyDescent="0.3">
      <c r="A183" s="14">
        <v>43893.75</v>
      </c>
      <c r="B183" s="13" t="s">
        <v>23</v>
      </c>
      <c r="C183" s="2">
        <v>16</v>
      </c>
      <c r="D183" s="13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3" t="s">
        <v>27</v>
      </c>
      <c r="S183" s="13" t="s">
        <v>27</v>
      </c>
    </row>
    <row r="184" spans="1:19" hidden="1" x14ac:dyDescent="0.3">
      <c r="A184" s="14">
        <v>43893.75</v>
      </c>
      <c r="B184" s="13" t="s">
        <v>23</v>
      </c>
      <c r="C184" s="2">
        <v>20</v>
      </c>
      <c r="D184" s="13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3" t="s">
        <v>27</v>
      </c>
      <c r="S184" s="13" t="s">
        <v>27</v>
      </c>
    </row>
    <row r="185" spans="1:19" hidden="1" x14ac:dyDescent="0.3">
      <c r="A185" s="14">
        <v>43893.75</v>
      </c>
      <c r="B185" s="13" t="s">
        <v>23</v>
      </c>
      <c r="C185" s="2">
        <v>19</v>
      </c>
      <c r="D185" s="13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3" t="s">
        <v>27</v>
      </c>
      <c r="S185" s="13" t="s">
        <v>27</v>
      </c>
    </row>
    <row r="186" spans="1:19" hidden="1" x14ac:dyDescent="0.3">
      <c r="A186" s="14">
        <v>43893.75</v>
      </c>
      <c r="B186" s="13" t="s">
        <v>23</v>
      </c>
      <c r="C186" s="2">
        <v>9</v>
      </c>
      <c r="D186" s="13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3" t="s">
        <v>27</v>
      </c>
      <c r="S186" s="13" t="s">
        <v>27</v>
      </c>
    </row>
    <row r="187" spans="1:19" hidden="1" x14ac:dyDescent="0.3">
      <c r="A187" s="14">
        <v>43893.75</v>
      </c>
      <c r="B187" s="13" t="s">
        <v>23</v>
      </c>
      <c r="C187" s="2">
        <v>4</v>
      </c>
      <c r="D187" s="13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3" t="s">
        <v>27</v>
      </c>
      <c r="S187" s="13" t="s">
        <v>27</v>
      </c>
    </row>
    <row r="188" spans="1:19" hidden="1" x14ac:dyDescent="0.3">
      <c r="A188" s="14">
        <v>43893.75</v>
      </c>
      <c r="B188" s="13" t="s">
        <v>23</v>
      </c>
      <c r="C188" s="2">
        <v>10</v>
      </c>
      <c r="D188" s="13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3" t="s">
        <v>27</v>
      </c>
      <c r="S188" s="13" t="s">
        <v>27</v>
      </c>
    </row>
    <row r="189" spans="1:19" hidden="1" x14ac:dyDescent="0.3">
      <c r="A189" s="14">
        <v>43893.75</v>
      </c>
      <c r="B189" s="13" t="s">
        <v>23</v>
      </c>
      <c r="C189" s="2">
        <v>2</v>
      </c>
      <c r="D189" s="13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3" t="s">
        <v>27</v>
      </c>
      <c r="S189" s="13" t="s">
        <v>27</v>
      </c>
    </row>
    <row r="190" spans="1:19" hidden="1" x14ac:dyDescent="0.3">
      <c r="A190" s="14">
        <v>43893.75</v>
      </c>
      <c r="B190" s="13" t="s">
        <v>23</v>
      </c>
      <c r="C190" s="2">
        <v>5</v>
      </c>
      <c r="D190" s="13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3" t="s">
        <v>27</v>
      </c>
      <c r="S190" s="13" t="s">
        <v>27</v>
      </c>
    </row>
    <row r="191" spans="1:19" hidden="1" x14ac:dyDescent="0.3">
      <c r="A191" s="14">
        <v>43894.708333333336</v>
      </c>
      <c r="B191" s="13" t="s">
        <v>23</v>
      </c>
      <c r="C191" s="2">
        <v>13</v>
      </c>
      <c r="D191" s="13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3" t="s">
        <v>27</v>
      </c>
      <c r="S191" s="13" t="s">
        <v>27</v>
      </c>
    </row>
    <row r="192" spans="1:19" hidden="1" x14ac:dyDescent="0.3">
      <c r="A192" s="14">
        <v>43894.708333333336</v>
      </c>
      <c r="B192" s="13" t="s">
        <v>23</v>
      </c>
      <c r="C192" s="2">
        <v>17</v>
      </c>
      <c r="D192" s="13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3" t="s">
        <v>27</v>
      </c>
      <c r="S192" s="13" t="s">
        <v>27</v>
      </c>
    </row>
    <row r="193" spans="1:19" hidden="1" x14ac:dyDescent="0.3">
      <c r="A193" s="14">
        <v>43894.708333333336</v>
      </c>
      <c r="B193" s="13" t="s">
        <v>23</v>
      </c>
      <c r="C193" s="2">
        <v>4</v>
      </c>
      <c r="D193" s="13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3" t="s">
        <v>27</v>
      </c>
      <c r="S193" s="13" t="s">
        <v>27</v>
      </c>
    </row>
    <row r="194" spans="1:19" hidden="1" x14ac:dyDescent="0.3">
      <c r="A194" s="14">
        <v>43894.708333333336</v>
      </c>
      <c r="B194" s="13" t="s">
        <v>23</v>
      </c>
      <c r="C194" s="2">
        <v>18</v>
      </c>
      <c r="D194" s="13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3" t="s">
        <v>27</v>
      </c>
      <c r="S194" s="13" t="s">
        <v>27</v>
      </c>
    </row>
    <row r="195" spans="1:19" hidden="1" x14ac:dyDescent="0.3">
      <c r="A195" s="14">
        <v>43894.708333333336</v>
      </c>
      <c r="B195" s="13" t="s">
        <v>23</v>
      </c>
      <c r="C195" s="2">
        <v>15</v>
      </c>
      <c r="D195" s="13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3" t="s">
        <v>27</v>
      </c>
      <c r="S195" s="13" t="s">
        <v>27</v>
      </c>
    </row>
    <row r="196" spans="1:19" hidden="1" x14ac:dyDescent="0.3">
      <c r="A196" s="14">
        <v>43894.708333333336</v>
      </c>
      <c r="B196" s="13" t="s">
        <v>23</v>
      </c>
      <c r="C196" s="2">
        <v>8</v>
      </c>
      <c r="D196" s="13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3" t="s">
        <v>27</v>
      </c>
      <c r="S196" s="13" t="s">
        <v>27</v>
      </c>
    </row>
    <row r="197" spans="1:19" hidden="1" x14ac:dyDescent="0.3">
      <c r="A197" s="14">
        <v>43894.708333333336</v>
      </c>
      <c r="B197" s="13" t="s">
        <v>23</v>
      </c>
      <c r="C197" s="2">
        <v>6</v>
      </c>
      <c r="D197" s="13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3" t="s">
        <v>27</v>
      </c>
      <c r="S197" s="13" t="s">
        <v>27</v>
      </c>
    </row>
    <row r="198" spans="1:19" hidden="1" x14ac:dyDescent="0.3">
      <c r="A198" s="14">
        <v>43894.708333333336</v>
      </c>
      <c r="B198" s="13" t="s">
        <v>23</v>
      </c>
      <c r="C198" s="2">
        <v>12</v>
      </c>
      <c r="D198" s="13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3" t="s">
        <v>27</v>
      </c>
      <c r="S198" s="13" t="s">
        <v>27</v>
      </c>
    </row>
    <row r="199" spans="1:19" hidden="1" x14ac:dyDescent="0.3">
      <c r="A199" s="14">
        <v>43894.708333333336</v>
      </c>
      <c r="B199" s="13" t="s">
        <v>23</v>
      </c>
      <c r="C199" s="2">
        <v>7</v>
      </c>
      <c r="D199" s="13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3" t="s">
        <v>27</v>
      </c>
      <c r="S199" s="13" t="s">
        <v>27</v>
      </c>
    </row>
    <row r="200" spans="1:19" x14ac:dyDescent="0.3">
      <c r="A200" s="14">
        <v>43894.708333333336</v>
      </c>
      <c r="B200" s="13" t="s">
        <v>23</v>
      </c>
      <c r="C200" s="2">
        <v>3</v>
      </c>
      <c r="D200" s="13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3" t="s">
        <v>27</v>
      </c>
      <c r="S200" s="13" t="s">
        <v>27</v>
      </c>
    </row>
    <row r="201" spans="1:19" hidden="1" x14ac:dyDescent="0.3">
      <c r="A201" s="14">
        <v>43894.708333333336</v>
      </c>
      <c r="B201" s="13" t="s">
        <v>23</v>
      </c>
      <c r="C201" s="2">
        <v>11</v>
      </c>
      <c r="D201" s="13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3" t="s">
        <v>27</v>
      </c>
      <c r="S201" s="13" t="s">
        <v>27</v>
      </c>
    </row>
    <row r="202" spans="1:19" hidden="1" x14ac:dyDescent="0.3">
      <c r="A202" s="14">
        <v>43894.708333333336</v>
      </c>
      <c r="B202" s="13" t="s">
        <v>23</v>
      </c>
      <c r="C202" s="2">
        <v>14</v>
      </c>
      <c r="D202" s="13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3" t="s">
        <v>27</v>
      </c>
      <c r="S202" s="13" t="s">
        <v>27</v>
      </c>
    </row>
    <row r="203" spans="1:19" hidden="1" x14ac:dyDescent="0.3">
      <c r="A203" s="14">
        <v>43894.708333333336</v>
      </c>
      <c r="B203" s="13" t="s">
        <v>23</v>
      </c>
      <c r="C203" s="2">
        <v>1</v>
      </c>
      <c r="D203" s="13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3" t="s">
        <v>27</v>
      </c>
      <c r="S203" s="13" t="s">
        <v>27</v>
      </c>
    </row>
    <row r="204" spans="1:19" hidden="1" x14ac:dyDescent="0.3">
      <c r="A204" s="14">
        <v>43894.708333333336</v>
      </c>
      <c r="B204" s="13" t="s">
        <v>23</v>
      </c>
      <c r="C204" s="2">
        <v>16</v>
      </c>
      <c r="D204" s="13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3" t="s">
        <v>27</v>
      </c>
      <c r="S204" s="13" t="s">
        <v>27</v>
      </c>
    </row>
    <row r="205" spans="1:19" hidden="1" x14ac:dyDescent="0.3">
      <c r="A205" s="14">
        <v>43894.708333333336</v>
      </c>
      <c r="B205" s="13" t="s">
        <v>23</v>
      </c>
      <c r="C205" s="2">
        <v>20</v>
      </c>
      <c r="D205" s="13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3" t="s">
        <v>27</v>
      </c>
      <c r="S205" s="13" t="s">
        <v>27</v>
      </c>
    </row>
    <row r="206" spans="1:19" hidden="1" x14ac:dyDescent="0.3">
      <c r="A206" s="14">
        <v>43894.708333333336</v>
      </c>
      <c r="B206" s="13" t="s">
        <v>23</v>
      </c>
      <c r="C206" s="2">
        <v>19</v>
      </c>
      <c r="D206" s="13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3" t="s">
        <v>27</v>
      </c>
      <c r="S206" s="13" t="s">
        <v>27</v>
      </c>
    </row>
    <row r="207" spans="1:19" hidden="1" x14ac:dyDescent="0.3">
      <c r="A207" s="14">
        <v>43894.708333333336</v>
      </c>
      <c r="B207" s="13" t="s">
        <v>23</v>
      </c>
      <c r="C207" s="2">
        <v>9</v>
      </c>
      <c r="D207" s="13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3" t="s">
        <v>27</v>
      </c>
      <c r="S207" s="13" t="s">
        <v>27</v>
      </c>
    </row>
    <row r="208" spans="1:19" hidden="1" x14ac:dyDescent="0.3">
      <c r="A208" s="14">
        <v>43894.708333333336</v>
      </c>
      <c r="B208" s="13" t="s">
        <v>23</v>
      </c>
      <c r="C208" s="2">
        <v>4</v>
      </c>
      <c r="D208" s="13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3" t="s">
        <v>27</v>
      </c>
      <c r="S208" s="13" t="s">
        <v>27</v>
      </c>
    </row>
    <row r="209" spans="1:19" hidden="1" x14ac:dyDescent="0.3">
      <c r="A209" s="14">
        <v>43894.708333333336</v>
      </c>
      <c r="B209" s="13" t="s">
        <v>23</v>
      </c>
      <c r="C209" s="2">
        <v>10</v>
      </c>
      <c r="D209" s="13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3" t="s">
        <v>27</v>
      </c>
      <c r="S209" s="13" t="s">
        <v>27</v>
      </c>
    </row>
    <row r="210" spans="1:19" hidden="1" x14ac:dyDescent="0.3">
      <c r="A210" s="14">
        <v>43894.708333333336</v>
      </c>
      <c r="B210" s="13" t="s">
        <v>23</v>
      </c>
      <c r="C210" s="2">
        <v>2</v>
      </c>
      <c r="D210" s="13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3" t="s">
        <v>27</v>
      </c>
      <c r="S210" s="13" t="s">
        <v>27</v>
      </c>
    </row>
    <row r="211" spans="1:19" hidden="1" x14ac:dyDescent="0.3">
      <c r="A211" s="14">
        <v>43894.708333333336</v>
      </c>
      <c r="B211" s="13" t="s">
        <v>23</v>
      </c>
      <c r="C211" s="2">
        <v>5</v>
      </c>
      <c r="D211" s="13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3" t="s">
        <v>27</v>
      </c>
      <c r="S211" s="13" t="s">
        <v>27</v>
      </c>
    </row>
    <row r="212" spans="1:19" hidden="1" x14ac:dyDescent="0.3">
      <c r="A212" s="14">
        <v>43895.708333333336</v>
      </c>
      <c r="B212" s="13" t="s">
        <v>23</v>
      </c>
      <c r="C212" s="2">
        <v>13</v>
      </c>
      <c r="D212" s="13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3" t="s">
        <v>27</v>
      </c>
      <c r="S212" s="13" t="s">
        <v>27</v>
      </c>
    </row>
    <row r="213" spans="1:19" hidden="1" x14ac:dyDescent="0.3">
      <c r="A213" s="14">
        <v>43895.708333333336</v>
      </c>
      <c r="B213" s="13" t="s">
        <v>23</v>
      </c>
      <c r="C213" s="2">
        <v>17</v>
      </c>
      <c r="D213" s="13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3" t="s">
        <v>27</v>
      </c>
      <c r="S213" s="13" t="s">
        <v>27</v>
      </c>
    </row>
    <row r="214" spans="1:19" hidden="1" x14ac:dyDescent="0.3">
      <c r="A214" s="14">
        <v>43895.708333333336</v>
      </c>
      <c r="B214" s="13" t="s">
        <v>23</v>
      </c>
      <c r="C214" s="2">
        <v>4</v>
      </c>
      <c r="D214" s="13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3" t="s">
        <v>27</v>
      </c>
      <c r="S214" s="13" t="s">
        <v>27</v>
      </c>
    </row>
    <row r="215" spans="1:19" hidden="1" x14ac:dyDescent="0.3">
      <c r="A215" s="14">
        <v>43895.708333333336</v>
      </c>
      <c r="B215" s="13" t="s">
        <v>23</v>
      </c>
      <c r="C215" s="2">
        <v>18</v>
      </c>
      <c r="D215" s="13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3" t="s">
        <v>27</v>
      </c>
      <c r="S215" s="13" t="s">
        <v>27</v>
      </c>
    </row>
    <row r="216" spans="1:19" hidden="1" x14ac:dyDescent="0.3">
      <c r="A216" s="14">
        <v>43895.708333333336</v>
      </c>
      <c r="B216" s="13" t="s">
        <v>23</v>
      </c>
      <c r="C216" s="2">
        <v>15</v>
      </c>
      <c r="D216" s="13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3" t="s">
        <v>27</v>
      </c>
      <c r="S216" s="13" t="s">
        <v>27</v>
      </c>
    </row>
    <row r="217" spans="1:19" hidden="1" x14ac:dyDescent="0.3">
      <c r="A217" s="14">
        <v>43895.708333333336</v>
      </c>
      <c r="B217" s="13" t="s">
        <v>23</v>
      </c>
      <c r="C217" s="2">
        <v>8</v>
      </c>
      <c r="D217" s="13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3" t="s">
        <v>27</v>
      </c>
      <c r="S217" s="13" t="s">
        <v>27</v>
      </c>
    </row>
    <row r="218" spans="1:19" hidden="1" x14ac:dyDescent="0.3">
      <c r="A218" s="14">
        <v>43895.708333333336</v>
      </c>
      <c r="B218" s="13" t="s">
        <v>23</v>
      </c>
      <c r="C218" s="2">
        <v>6</v>
      </c>
      <c r="D218" s="13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3" t="s">
        <v>27</v>
      </c>
      <c r="S218" s="13" t="s">
        <v>27</v>
      </c>
    </row>
    <row r="219" spans="1:19" hidden="1" x14ac:dyDescent="0.3">
      <c r="A219" s="14">
        <v>43895.708333333336</v>
      </c>
      <c r="B219" s="13" t="s">
        <v>23</v>
      </c>
      <c r="C219" s="2">
        <v>12</v>
      </c>
      <c r="D219" s="13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3" t="s">
        <v>27</v>
      </c>
      <c r="S219" s="13" t="s">
        <v>27</v>
      </c>
    </row>
    <row r="220" spans="1:19" hidden="1" x14ac:dyDescent="0.3">
      <c r="A220" s="14">
        <v>43895.708333333336</v>
      </c>
      <c r="B220" s="13" t="s">
        <v>23</v>
      </c>
      <c r="C220" s="2">
        <v>7</v>
      </c>
      <c r="D220" s="13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3" t="s">
        <v>27</v>
      </c>
      <c r="S220" s="13" t="s">
        <v>27</v>
      </c>
    </row>
    <row r="221" spans="1:19" x14ac:dyDescent="0.3">
      <c r="A221" s="14">
        <v>43895.708333333336</v>
      </c>
      <c r="B221" s="13" t="s">
        <v>23</v>
      </c>
      <c r="C221" s="2">
        <v>3</v>
      </c>
      <c r="D221" s="13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3" t="s">
        <v>27</v>
      </c>
      <c r="S221" s="13" t="s">
        <v>27</v>
      </c>
    </row>
    <row r="222" spans="1:19" hidden="1" x14ac:dyDescent="0.3">
      <c r="A222" s="14">
        <v>43895.708333333336</v>
      </c>
      <c r="B222" s="13" t="s">
        <v>23</v>
      </c>
      <c r="C222" s="2">
        <v>11</v>
      </c>
      <c r="D222" s="13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3" t="s">
        <v>27</v>
      </c>
      <c r="S222" s="13" t="s">
        <v>27</v>
      </c>
    </row>
    <row r="223" spans="1:19" hidden="1" x14ac:dyDescent="0.3">
      <c r="A223" s="14">
        <v>43895.708333333336</v>
      </c>
      <c r="B223" s="13" t="s">
        <v>23</v>
      </c>
      <c r="C223" s="2">
        <v>14</v>
      </c>
      <c r="D223" s="13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3" t="s">
        <v>27</v>
      </c>
      <c r="S223" s="13" t="s">
        <v>27</v>
      </c>
    </row>
    <row r="224" spans="1:19" hidden="1" x14ac:dyDescent="0.3">
      <c r="A224" s="14">
        <v>43895.708333333336</v>
      </c>
      <c r="B224" s="13" t="s">
        <v>23</v>
      </c>
      <c r="C224" s="2">
        <v>1</v>
      </c>
      <c r="D224" s="13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3" t="s">
        <v>27</v>
      </c>
      <c r="S224" s="13" t="s">
        <v>27</v>
      </c>
    </row>
    <row r="225" spans="1:19" hidden="1" x14ac:dyDescent="0.3">
      <c r="A225" s="14">
        <v>43895.708333333336</v>
      </c>
      <c r="B225" s="13" t="s">
        <v>23</v>
      </c>
      <c r="C225" s="2">
        <v>16</v>
      </c>
      <c r="D225" s="13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3" t="s">
        <v>27</v>
      </c>
      <c r="S225" s="13" t="s">
        <v>27</v>
      </c>
    </row>
    <row r="226" spans="1:19" hidden="1" x14ac:dyDescent="0.3">
      <c r="A226" s="14">
        <v>43895.708333333336</v>
      </c>
      <c r="B226" s="13" t="s">
        <v>23</v>
      </c>
      <c r="C226" s="2">
        <v>20</v>
      </c>
      <c r="D226" s="13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3" t="s">
        <v>27</v>
      </c>
      <c r="S226" s="13" t="s">
        <v>27</v>
      </c>
    </row>
    <row r="227" spans="1:19" hidden="1" x14ac:dyDescent="0.3">
      <c r="A227" s="14">
        <v>43895.708333333336</v>
      </c>
      <c r="B227" s="13" t="s">
        <v>23</v>
      </c>
      <c r="C227" s="2">
        <v>19</v>
      </c>
      <c r="D227" s="13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3" t="s">
        <v>27</v>
      </c>
      <c r="S227" s="13" t="s">
        <v>27</v>
      </c>
    </row>
    <row r="228" spans="1:19" hidden="1" x14ac:dyDescent="0.3">
      <c r="A228" s="14">
        <v>43895.708333333336</v>
      </c>
      <c r="B228" s="13" t="s">
        <v>23</v>
      </c>
      <c r="C228" s="2">
        <v>9</v>
      </c>
      <c r="D228" s="13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3" t="s">
        <v>27</v>
      </c>
      <c r="S228" s="13" t="s">
        <v>27</v>
      </c>
    </row>
    <row r="229" spans="1:19" hidden="1" x14ac:dyDescent="0.3">
      <c r="A229" s="14">
        <v>43895.708333333336</v>
      </c>
      <c r="B229" s="13" t="s">
        <v>23</v>
      </c>
      <c r="C229" s="2">
        <v>4</v>
      </c>
      <c r="D229" s="13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3" t="s">
        <v>27</v>
      </c>
      <c r="S229" s="13" t="s">
        <v>27</v>
      </c>
    </row>
    <row r="230" spans="1:19" hidden="1" x14ac:dyDescent="0.3">
      <c r="A230" s="14">
        <v>43895.708333333336</v>
      </c>
      <c r="B230" s="13" t="s">
        <v>23</v>
      </c>
      <c r="C230" s="2">
        <v>10</v>
      </c>
      <c r="D230" s="13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3" t="s">
        <v>27</v>
      </c>
      <c r="S230" s="13" t="s">
        <v>27</v>
      </c>
    </row>
    <row r="231" spans="1:19" hidden="1" x14ac:dyDescent="0.3">
      <c r="A231" s="14">
        <v>43895.708333333336</v>
      </c>
      <c r="B231" s="13" t="s">
        <v>23</v>
      </c>
      <c r="C231" s="2">
        <v>2</v>
      </c>
      <c r="D231" s="13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3" t="s">
        <v>27</v>
      </c>
      <c r="S231" s="13" t="s">
        <v>27</v>
      </c>
    </row>
    <row r="232" spans="1:19" hidden="1" x14ac:dyDescent="0.3">
      <c r="A232" s="14">
        <v>43895.708333333336</v>
      </c>
      <c r="B232" s="13" t="s">
        <v>23</v>
      </c>
      <c r="C232" s="2">
        <v>5</v>
      </c>
      <c r="D232" s="13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3" t="s">
        <v>27</v>
      </c>
      <c r="S232" s="13" t="s">
        <v>27</v>
      </c>
    </row>
    <row r="233" spans="1:19" hidden="1" x14ac:dyDescent="0.3">
      <c r="A233" s="14">
        <v>43896.708333333336</v>
      </c>
      <c r="B233" s="13" t="s">
        <v>23</v>
      </c>
      <c r="C233" s="2">
        <v>13</v>
      </c>
      <c r="D233" s="13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3" t="s">
        <v>27</v>
      </c>
      <c r="S233" s="13" t="s">
        <v>27</v>
      </c>
    </row>
    <row r="234" spans="1:19" hidden="1" x14ac:dyDescent="0.3">
      <c r="A234" s="14">
        <v>43896.708333333336</v>
      </c>
      <c r="B234" s="13" t="s">
        <v>23</v>
      </c>
      <c r="C234" s="2">
        <v>17</v>
      </c>
      <c r="D234" s="13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3" t="s">
        <v>27</v>
      </c>
      <c r="S234" s="13" t="s">
        <v>27</v>
      </c>
    </row>
    <row r="235" spans="1:19" hidden="1" x14ac:dyDescent="0.3">
      <c r="A235" s="14">
        <v>43896.708333333336</v>
      </c>
      <c r="B235" s="13" t="s">
        <v>23</v>
      </c>
      <c r="C235" s="2">
        <v>4</v>
      </c>
      <c r="D235" s="13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3" t="s">
        <v>27</v>
      </c>
      <c r="S235" s="13" t="s">
        <v>27</v>
      </c>
    </row>
    <row r="236" spans="1:19" hidden="1" x14ac:dyDescent="0.3">
      <c r="A236" s="14">
        <v>43896.708333333336</v>
      </c>
      <c r="B236" s="13" t="s">
        <v>23</v>
      </c>
      <c r="C236" s="2">
        <v>18</v>
      </c>
      <c r="D236" s="13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3" t="s">
        <v>27</v>
      </c>
      <c r="S236" s="13" t="s">
        <v>27</v>
      </c>
    </row>
    <row r="237" spans="1:19" hidden="1" x14ac:dyDescent="0.3">
      <c r="A237" s="14">
        <v>43896.708333333336</v>
      </c>
      <c r="B237" s="13" t="s">
        <v>23</v>
      </c>
      <c r="C237" s="2">
        <v>15</v>
      </c>
      <c r="D237" s="13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3" t="s">
        <v>27</v>
      </c>
      <c r="S237" s="13" t="s">
        <v>27</v>
      </c>
    </row>
    <row r="238" spans="1:19" hidden="1" x14ac:dyDescent="0.3">
      <c r="A238" s="14">
        <v>43896.708333333336</v>
      </c>
      <c r="B238" s="13" t="s">
        <v>23</v>
      </c>
      <c r="C238" s="2">
        <v>8</v>
      </c>
      <c r="D238" s="13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3" t="s">
        <v>27</v>
      </c>
      <c r="S238" s="13" t="s">
        <v>27</v>
      </c>
    </row>
    <row r="239" spans="1:19" hidden="1" x14ac:dyDescent="0.3">
      <c r="A239" s="14">
        <v>43896.708333333336</v>
      </c>
      <c r="B239" s="13" t="s">
        <v>23</v>
      </c>
      <c r="C239" s="2">
        <v>6</v>
      </c>
      <c r="D239" s="13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3" t="s">
        <v>27</v>
      </c>
      <c r="S239" s="13" t="s">
        <v>27</v>
      </c>
    </row>
    <row r="240" spans="1:19" hidden="1" x14ac:dyDescent="0.3">
      <c r="A240" s="14">
        <v>43896.708333333336</v>
      </c>
      <c r="B240" s="13" t="s">
        <v>23</v>
      </c>
      <c r="C240" s="2">
        <v>12</v>
      </c>
      <c r="D240" s="13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3" t="s">
        <v>27</v>
      </c>
      <c r="S240" s="13" t="s">
        <v>27</v>
      </c>
    </row>
    <row r="241" spans="1:19" hidden="1" x14ac:dyDescent="0.3">
      <c r="A241" s="14">
        <v>43896.708333333336</v>
      </c>
      <c r="B241" s="13" t="s">
        <v>23</v>
      </c>
      <c r="C241" s="2">
        <v>7</v>
      </c>
      <c r="D241" s="13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3" t="s">
        <v>27</v>
      </c>
      <c r="S241" s="13" t="s">
        <v>27</v>
      </c>
    </row>
    <row r="242" spans="1:19" x14ac:dyDescent="0.3">
      <c r="A242" s="14">
        <v>43896.708333333336</v>
      </c>
      <c r="B242" s="13" t="s">
        <v>23</v>
      </c>
      <c r="C242" s="2">
        <v>3</v>
      </c>
      <c r="D242" s="13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3" t="s">
        <v>27</v>
      </c>
      <c r="S242" s="13" t="s">
        <v>27</v>
      </c>
    </row>
    <row r="243" spans="1:19" hidden="1" x14ac:dyDescent="0.3">
      <c r="A243" s="14">
        <v>43896.708333333336</v>
      </c>
      <c r="B243" s="13" t="s">
        <v>23</v>
      </c>
      <c r="C243" s="2">
        <v>11</v>
      </c>
      <c r="D243" s="13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3" t="s">
        <v>27</v>
      </c>
      <c r="S243" s="13" t="s">
        <v>27</v>
      </c>
    </row>
    <row r="244" spans="1:19" hidden="1" x14ac:dyDescent="0.3">
      <c r="A244" s="14">
        <v>43896.708333333336</v>
      </c>
      <c r="B244" s="13" t="s">
        <v>23</v>
      </c>
      <c r="C244" s="2">
        <v>14</v>
      </c>
      <c r="D244" s="13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3" t="s">
        <v>27</v>
      </c>
      <c r="S244" s="13" t="s">
        <v>27</v>
      </c>
    </row>
    <row r="245" spans="1:19" hidden="1" x14ac:dyDescent="0.3">
      <c r="A245" s="14">
        <v>43896.708333333336</v>
      </c>
      <c r="B245" s="13" t="s">
        <v>23</v>
      </c>
      <c r="C245" s="2">
        <v>1</v>
      </c>
      <c r="D245" s="13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3" t="s">
        <v>27</v>
      </c>
      <c r="S245" s="13" t="s">
        <v>27</v>
      </c>
    </row>
    <row r="246" spans="1:19" hidden="1" x14ac:dyDescent="0.3">
      <c r="A246" s="14">
        <v>43896.708333333336</v>
      </c>
      <c r="B246" s="13" t="s">
        <v>23</v>
      </c>
      <c r="C246" s="2">
        <v>16</v>
      </c>
      <c r="D246" s="13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3" t="s">
        <v>27</v>
      </c>
      <c r="S246" s="13" t="s">
        <v>27</v>
      </c>
    </row>
    <row r="247" spans="1:19" hidden="1" x14ac:dyDescent="0.3">
      <c r="A247" s="14">
        <v>43896.708333333336</v>
      </c>
      <c r="B247" s="13" t="s">
        <v>23</v>
      </c>
      <c r="C247" s="2">
        <v>20</v>
      </c>
      <c r="D247" s="13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3" t="s">
        <v>27</v>
      </c>
      <c r="S247" s="13" t="s">
        <v>27</v>
      </c>
    </row>
    <row r="248" spans="1:19" hidden="1" x14ac:dyDescent="0.3">
      <c r="A248" s="14">
        <v>43896.708333333336</v>
      </c>
      <c r="B248" s="13" t="s">
        <v>23</v>
      </c>
      <c r="C248" s="2">
        <v>19</v>
      </c>
      <c r="D248" s="13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3" t="s">
        <v>27</v>
      </c>
      <c r="S248" s="13" t="s">
        <v>27</v>
      </c>
    </row>
    <row r="249" spans="1:19" hidden="1" x14ac:dyDescent="0.3">
      <c r="A249" s="14">
        <v>43896.708333333336</v>
      </c>
      <c r="B249" s="13" t="s">
        <v>23</v>
      </c>
      <c r="C249" s="2">
        <v>9</v>
      </c>
      <c r="D249" s="13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3" t="s">
        <v>27</v>
      </c>
      <c r="S249" s="13" t="s">
        <v>27</v>
      </c>
    </row>
    <row r="250" spans="1:19" hidden="1" x14ac:dyDescent="0.3">
      <c r="A250" s="14">
        <v>43896.708333333336</v>
      </c>
      <c r="B250" s="13" t="s">
        <v>23</v>
      </c>
      <c r="C250" s="2">
        <v>4</v>
      </c>
      <c r="D250" s="13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3" t="s">
        <v>27</v>
      </c>
      <c r="S250" s="13" t="s">
        <v>27</v>
      </c>
    </row>
    <row r="251" spans="1:19" hidden="1" x14ac:dyDescent="0.3">
      <c r="A251" s="14">
        <v>43896.708333333336</v>
      </c>
      <c r="B251" s="13" t="s">
        <v>23</v>
      </c>
      <c r="C251" s="2">
        <v>10</v>
      </c>
      <c r="D251" s="13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3" t="s">
        <v>27</v>
      </c>
      <c r="S251" s="13" t="s">
        <v>27</v>
      </c>
    </row>
    <row r="252" spans="1:19" hidden="1" x14ac:dyDescent="0.3">
      <c r="A252" s="14">
        <v>43896.708333333336</v>
      </c>
      <c r="B252" s="13" t="s">
        <v>23</v>
      </c>
      <c r="C252" s="2">
        <v>2</v>
      </c>
      <c r="D252" s="13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3" t="s">
        <v>27</v>
      </c>
      <c r="S252" s="13" t="s">
        <v>27</v>
      </c>
    </row>
    <row r="253" spans="1:19" hidden="1" x14ac:dyDescent="0.3">
      <c r="A253" s="14">
        <v>43896.708333333336</v>
      </c>
      <c r="B253" s="13" t="s">
        <v>23</v>
      </c>
      <c r="C253" s="2">
        <v>5</v>
      </c>
      <c r="D253" s="13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3" t="s">
        <v>27</v>
      </c>
      <c r="S253" s="13" t="s">
        <v>27</v>
      </c>
    </row>
    <row r="254" spans="1:19" hidden="1" x14ac:dyDescent="0.3">
      <c r="A254" s="14">
        <v>43897.75</v>
      </c>
      <c r="B254" s="13" t="s">
        <v>23</v>
      </c>
      <c r="C254" s="2">
        <v>13</v>
      </c>
      <c r="D254" s="13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3" t="s">
        <v>27</v>
      </c>
      <c r="S254" s="13" t="s">
        <v>27</v>
      </c>
    </row>
    <row r="255" spans="1:19" hidden="1" x14ac:dyDescent="0.3">
      <c r="A255" s="14">
        <v>43897.75</v>
      </c>
      <c r="B255" s="13" t="s">
        <v>23</v>
      </c>
      <c r="C255" s="2">
        <v>17</v>
      </c>
      <c r="D255" s="13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3" t="s">
        <v>27</v>
      </c>
      <c r="S255" s="13" t="s">
        <v>27</v>
      </c>
    </row>
    <row r="256" spans="1:19" hidden="1" x14ac:dyDescent="0.3">
      <c r="A256" s="14">
        <v>43897.75</v>
      </c>
      <c r="B256" s="13" t="s">
        <v>23</v>
      </c>
      <c r="C256" s="2">
        <v>4</v>
      </c>
      <c r="D256" s="13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3" t="s">
        <v>27</v>
      </c>
      <c r="S256" s="13" t="s">
        <v>27</v>
      </c>
    </row>
    <row r="257" spans="1:19" hidden="1" x14ac:dyDescent="0.3">
      <c r="A257" s="14">
        <v>43897.75</v>
      </c>
      <c r="B257" s="13" t="s">
        <v>23</v>
      </c>
      <c r="C257" s="2">
        <v>18</v>
      </c>
      <c r="D257" s="13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3" t="s">
        <v>27</v>
      </c>
      <c r="S257" s="13" t="s">
        <v>27</v>
      </c>
    </row>
    <row r="258" spans="1:19" hidden="1" x14ac:dyDescent="0.3">
      <c r="A258" s="14">
        <v>43897.75</v>
      </c>
      <c r="B258" s="13" t="s">
        <v>23</v>
      </c>
      <c r="C258" s="2">
        <v>15</v>
      </c>
      <c r="D258" s="13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3" t="s">
        <v>27</v>
      </c>
      <c r="S258" s="13" t="s">
        <v>27</v>
      </c>
    </row>
    <row r="259" spans="1:19" hidden="1" x14ac:dyDescent="0.3">
      <c r="A259" s="14">
        <v>43897.75</v>
      </c>
      <c r="B259" s="13" t="s">
        <v>23</v>
      </c>
      <c r="C259" s="2">
        <v>8</v>
      </c>
      <c r="D259" s="13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3" t="s">
        <v>27</v>
      </c>
      <c r="S259" s="13" t="s">
        <v>27</v>
      </c>
    </row>
    <row r="260" spans="1:19" hidden="1" x14ac:dyDescent="0.3">
      <c r="A260" s="14">
        <v>43897.75</v>
      </c>
      <c r="B260" s="13" t="s">
        <v>23</v>
      </c>
      <c r="C260" s="2">
        <v>6</v>
      </c>
      <c r="D260" s="13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3" t="s">
        <v>27</v>
      </c>
      <c r="S260" s="13" t="s">
        <v>27</v>
      </c>
    </row>
    <row r="261" spans="1:19" hidden="1" x14ac:dyDescent="0.3">
      <c r="A261" s="14">
        <v>43897.75</v>
      </c>
      <c r="B261" s="13" t="s">
        <v>23</v>
      </c>
      <c r="C261" s="2">
        <v>12</v>
      </c>
      <c r="D261" s="13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3" t="s">
        <v>27</v>
      </c>
      <c r="S261" s="13" t="s">
        <v>27</v>
      </c>
    </row>
    <row r="262" spans="1:19" hidden="1" x14ac:dyDescent="0.3">
      <c r="A262" s="14">
        <v>43897.75</v>
      </c>
      <c r="B262" s="13" t="s">
        <v>23</v>
      </c>
      <c r="C262" s="2">
        <v>7</v>
      </c>
      <c r="D262" s="13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3" t="s">
        <v>27</v>
      </c>
      <c r="S262" s="13" t="s">
        <v>27</v>
      </c>
    </row>
    <row r="263" spans="1:19" x14ac:dyDescent="0.3">
      <c r="A263" s="14">
        <v>43897.75</v>
      </c>
      <c r="B263" s="13" t="s">
        <v>23</v>
      </c>
      <c r="C263" s="2">
        <v>3</v>
      </c>
      <c r="D263" s="13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3" t="s">
        <v>64</v>
      </c>
      <c r="S263" s="13" t="s">
        <v>65</v>
      </c>
    </row>
    <row r="264" spans="1:19" hidden="1" x14ac:dyDescent="0.3">
      <c r="A264" s="14">
        <v>43897.75</v>
      </c>
      <c r="B264" s="13" t="s">
        <v>23</v>
      </c>
      <c r="C264" s="2">
        <v>11</v>
      </c>
      <c r="D264" s="13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3" t="s">
        <v>27</v>
      </c>
      <c r="S264" s="13" t="s">
        <v>27</v>
      </c>
    </row>
    <row r="265" spans="1:19" hidden="1" x14ac:dyDescent="0.3">
      <c r="A265" s="14">
        <v>43897.75</v>
      </c>
      <c r="B265" s="13" t="s">
        <v>23</v>
      </c>
      <c r="C265" s="2">
        <v>14</v>
      </c>
      <c r="D265" s="13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3" t="s">
        <v>27</v>
      </c>
      <c r="S265" s="13" t="s">
        <v>27</v>
      </c>
    </row>
    <row r="266" spans="1:19" hidden="1" x14ac:dyDescent="0.3">
      <c r="A266" s="14">
        <v>43897.75</v>
      </c>
      <c r="B266" s="13" t="s">
        <v>23</v>
      </c>
      <c r="C266" s="2">
        <v>1</v>
      </c>
      <c r="D266" s="13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3" t="s">
        <v>27</v>
      </c>
      <c r="S266" s="13" t="s">
        <v>27</v>
      </c>
    </row>
    <row r="267" spans="1:19" hidden="1" x14ac:dyDescent="0.3">
      <c r="A267" s="14">
        <v>43897.75</v>
      </c>
      <c r="B267" s="13" t="s">
        <v>23</v>
      </c>
      <c r="C267" s="2">
        <v>16</v>
      </c>
      <c r="D267" s="13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3" t="s">
        <v>27</v>
      </c>
      <c r="S267" s="13" t="s">
        <v>27</v>
      </c>
    </row>
    <row r="268" spans="1:19" hidden="1" x14ac:dyDescent="0.3">
      <c r="A268" s="14">
        <v>43897.75</v>
      </c>
      <c r="B268" s="13" t="s">
        <v>23</v>
      </c>
      <c r="C268" s="2">
        <v>20</v>
      </c>
      <c r="D268" s="13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3" t="s">
        <v>27</v>
      </c>
      <c r="S268" s="13" t="s">
        <v>27</v>
      </c>
    </row>
    <row r="269" spans="1:19" hidden="1" x14ac:dyDescent="0.3">
      <c r="A269" s="14">
        <v>43897.75</v>
      </c>
      <c r="B269" s="13" t="s">
        <v>23</v>
      </c>
      <c r="C269" s="2">
        <v>19</v>
      </c>
      <c r="D269" s="13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3" t="s">
        <v>27</v>
      </c>
      <c r="S269" s="13" t="s">
        <v>27</v>
      </c>
    </row>
    <row r="270" spans="1:19" hidden="1" x14ac:dyDescent="0.3">
      <c r="A270" s="14">
        <v>43897.75</v>
      </c>
      <c r="B270" s="13" t="s">
        <v>23</v>
      </c>
      <c r="C270" s="2">
        <v>9</v>
      </c>
      <c r="D270" s="13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3" t="s">
        <v>27</v>
      </c>
      <c r="S270" s="13" t="s">
        <v>27</v>
      </c>
    </row>
    <row r="271" spans="1:19" hidden="1" x14ac:dyDescent="0.3">
      <c r="A271" s="14">
        <v>43897.75</v>
      </c>
      <c r="B271" s="13" t="s">
        <v>23</v>
      </c>
      <c r="C271" s="2">
        <v>4</v>
      </c>
      <c r="D271" s="13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3" t="s">
        <v>27</v>
      </c>
      <c r="S271" s="13" t="s">
        <v>27</v>
      </c>
    </row>
    <row r="272" spans="1:19" hidden="1" x14ac:dyDescent="0.3">
      <c r="A272" s="14">
        <v>43897.75</v>
      </c>
      <c r="B272" s="13" t="s">
        <v>23</v>
      </c>
      <c r="C272" s="2">
        <v>10</v>
      </c>
      <c r="D272" s="13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3" t="s">
        <v>27</v>
      </c>
      <c r="S272" s="13" t="s">
        <v>27</v>
      </c>
    </row>
    <row r="273" spans="1:19" hidden="1" x14ac:dyDescent="0.3">
      <c r="A273" s="14">
        <v>43897.75</v>
      </c>
      <c r="B273" s="13" t="s">
        <v>23</v>
      </c>
      <c r="C273" s="2">
        <v>2</v>
      </c>
      <c r="D273" s="13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3" t="s">
        <v>27</v>
      </c>
      <c r="S273" s="13" t="s">
        <v>27</v>
      </c>
    </row>
    <row r="274" spans="1:19" hidden="1" x14ac:dyDescent="0.3">
      <c r="A274" s="14">
        <v>43897.75</v>
      </c>
      <c r="B274" s="13" t="s">
        <v>23</v>
      </c>
      <c r="C274" s="2">
        <v>5</v>
      </c>
      <c r="D274" s="13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3" t="s">
        <v>27</v>
      </c>
      <c r="S274" s="13" t="s">
        <v>27</v>
      </c>
    </row>
    <row r="275" spans="1:19" hidden="1" x14ac:dyDescent="0.3">
      <c r="A275" s="14">
        <v>43898.75</v>
      </c>
      <c r="B275" s="13" t="s">
        <v>23</v>
      </c>
      <c r="C275" s="2">
        <v>13</v>
      </c>
      <c r="D275" s="13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3" t="s">
        <v>27</v>
      </c>
      <c r="S275" s="13" t="s">
        <v>27</v>
      </c>
    </row>
    <row r="276" spans="1:19" hidden="1" x14ac:dyDescent="0.3">
      <c r="A276" s="14">
        <v>43898.75</v>
      </c>
      <c r="B276" s="13" t="s">
        <v>23</v>
      </c>
      <c r="C276" s="2">
        <v>17</v>
      </c>
      <c r="D276" s="13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3" t="s">
        <v>27</v>
      </c>
      <c r="S276" s="13" t="s">
        <v>27</v>
      </c>
    </row>
    <row r="277" spans="1:19" hidden="1" x14ac:dyDescent="0.3">
      <c r="A277" s="14">
        <v>43898.75</v>
      </c>
      <c r="B277" s="13" t="s">
        <v>23</v>
      </c>
      <c r="C277" s="2">
        <v>4</v>
      </c>
      <c r="D277" s="13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3" t="s">
        <v>27</v>
      </c>
      <c r="S277" s="13" t="s">
        <v>27</v>
      </c>
    </row>
    <row r="278" spans="1:19" hidden="1" x14ac:dyDescent="0.3">
      <c r="A278" s="14">
        <v>43898.75</v>
      </c>
      <c r="B278" s="13" t="s">
        <v>23</v>
      </c>
      <c r="C278" s="2">
        <v>18</v>
      </c>
      <c r="D278" s="13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3" t="s">
        <v>27</v>
      </c>
      <c r="S278" s="13" t="s">
        <v>27</v>
      </c>
    </row>
    <row r="279" spans="1:19" hidden="1" x14ac:dyDescent="0.3">
      <c r="A279" s="14">
        <v>43898.75</v>
      </c>
      <c r="B279" s="13" t="s">
        <v>23</v>
      </c>
      <c r="C279" s="2">
        <v>15</v>
      </c>
      <c r="D279" s="13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3" t="s">
        <v>27</v>
      </c>
      <c r="S279" s="13" t="s">
        <v>27</v>
      </c>
    </row>
    <row r="280" spans="1:19" hidden="1" x14ac:dyDescent="0.3">
      <c r="A280" s="14">
        <v>43898.75</v>
      </c>
      <c r="B280" s="13" t="s">
        <v>23</v>
      </c>
      <c r="C280" s="2">
        <v>8</v>
      </c>
      <c r="D280" s="13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3" t="s">
        <v>27</v>
      </c>
      <c r="S280" s="13" t="s">
        <v>27</v>
      </c>
    </row>
    <row r="281" spans="1:19" hidden="1" x14ac:dyDescent="0.3">
      <c r="A281" s="14">
        <v>43898.75</v>
      </c>
      <c r="B281" s="13" t="s">
        <v>23</v>
      </c>
      <c r="C281" s="2">
        <v>6</v>
      </c>
      <c r="D281" s="13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3" t="s">
        <v>27</v>
      </c>
      <c r="S281" s="13" t="s">
        <v>27</v>
      </c>
    </row>
    <row r="282" spans="1:19" hidden="1" x14ac:dyDescent="0.3">
      <c r="A282" s="14">
        <v>43898.75</v>
      </c>
      <c r="B282" s="13" t="s">
        <v>23</v>
      </c>
      <c r="C282" s="2">
        <v>12</v>
      </c>
      <c r="D282" s="13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3" t="s">
        <v>27</v>
      </c>
      <c r="S282" s="13" t="s">
        <v>27</v>
      </c>
    </row>
    <row r="283" spans="1:19" hidden="1" x14ac:dyDescent="0.3">
      <c r="A283" s="14">
        <v>43898.75</v>
      </c>
      <c r="B283" s="13" t="s">
        <v>23</v>
      </c>
      <c r="C283" s="2">
        <v>7</v>
      </c>
      <c r="D283" s="13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3" t="s">
        <v>27</v>
      </c>
      <c r="S283" s="13" t="s">
        <v>27</v>
      </c>
    </row>
    <row r="284" spans="1:19" x14ac:dyDescent="0.3">
      <c r="A284" s="14">
        <v>43898.75</v>
      </c>
      <c r="B284" s="13" t="s">
        <v>23</v>
      </c>
      <c r="C284" s="2">
        <v>3</v>
      </c>
      <c r="D284" s="13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3" t="s">
        <v>27</v>
      </c>
      <c r="S284" s="13" t="s">
        <v>27</v>
      </c>
    </row>
    <row r="285" spans="1:19" hidden="1" x14ac:dyDescent="0.3">
      <c r="A285" s="14">
        <v>43898.75</v>
      </c>
      <c r="B285" s="13" t="s">
        <v>23</v>
      </c>
      <c r="C285" s="2">
        <v>11</v>
      </c>
      <c r="D285" s="13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3" t="s">
        <v>27</v>
      </c>
      <c r="S285" s="13" t="s">
        <v>27</v>
      </c>
    </row>
    <row r="286" spans="1:19" hidden="1" x14ac:dyDescent="0.3">
      <c r="A286" s="14">
        <v>43898.75</v>
      </c>
      <c r="B286" s="13" t="s">
        <v>23</v>
      </c>
      <c r="C286" s="2">
        <v>14</v>
      </c>
      <c r="D286" s="13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3" t="s">
        <v>27</v>
      </c>
      <c r="S286" s="13" t="s">
        <v>27</v>
      </c>
    </row>
    <row r="287" spans="1:19" hidden="1" x14ac:dyDescent="0.3">
      <c r="A287" s="14">
        <v>43898.75</v>
      </c>
      <c r="B287" s="13" t="s">
        <v>23</v>
      </c>
      <c r="C287" s="2">
        <v>1</v>
      </c>
      <c r="D287" s="13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3" t="s">
        <v>27</v>
      </c>
      <c r="S287" s="13" t="s">
        <v>27</v>
      </c>
    </row>
    <row r="288" spans="1:19" hidden="1" x14ac:dyDescent="0.3">
      <c r="A288" s="14">
        <v>43898.75</v>
      </c>
      <c r="B288" s="13" t="s">
        <v>23</v>
      </c>
      <c r="C288" s="2">
        <v>16</v>
      </c>
      <c r="D288" s="13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3" t="s">
        <v>27</v>
      </c>
      <c r="S288" s="13" t="s">
        <v>27</v>
      </c>
    </row>
    <row r="289" spans="1:19" hidden="1" x14ac:dyDescent="0.3">
      <c r="A289" s="14">
        <v>43898.75</v>
      </c>
      <c r="B289" s="13" t="s">
        <v>23</v>
      </c>
      <c r="C289" s="2">
        <v>20</v>
      </c>
      <c r="D289" s="13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3" t="s">
        <v>27</v>
      </c>
      <c r="S289" s="13" t="s">
        <v>27</v>
      </c>
    </row>
    <row r="290" spans="1:19" hidden="1" x14ac:dyDescent="0.3">
      <c r="A290" s="14">
        <v>43898.75</v>
      </c>
      <c r="B290" s="13" t="s">
        <v>23</v>
      </c>
      <c r="C290" s="2">
        <v>19</v>
      </c>
      <c r="D290" s="13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3" t="s">
        <v>27</v>
      </c>
      <c r="S290" s="13" t="s">
        <v>27</v>
      </c>
    </row>
    <row r="291" spans="1:19" hidden="1" x14ac:dyDescent="0.3">
      <c r="A291" s="14">
        <v>43898.75</v>
      </c>
      <c r="B291" s="13" t="s">
        <v>23</v>
      </c>
      <c r="C291" s="2">
        <v>9</v>
      </c>
      <c r="D291" s="13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3" t="s">
        <v>27</v>
      </c>
      <c r="S291" s="13" t="s">
        <v>27</v>
      </c>
    </row>
    <row r="292" spans="1:19" hidden="1" x14ac:dyDescent="0.3">
      <c r="A292" s="14">
        <v>43898.75</v>
      </c>
      <c r="B292" s="13" t="s">
        <v>23</v>
      </c>
      <c r="C292" s="2">
        <v>4</v>
      </c>
      <c r="D292" s="13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3" t="s">
        <v>27</v>
      </c>
      <c r="S292" s="13" t="s">
        <v>27</v>
      </c>
    </row>
    <row r="293" spans="1:19" hidden="1" x14ac:dyDescent="0.3">
      <c r="A293" s="14">
        <v>43898.75</v>
      </c>
      <c r="B293" s="13" t="s">
        <v>23</v>
      </c>
      <c r="C293" s="2">
        <v>10</v>
      </c>
      <c r="D293" s="13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3" t="s">
        <v>27</v>
      </c>
      <c r="S293" s="13" t="s">
        <v>27</v>
      </c>
    </row>
    <row r="294" spans="1:19" hidden="1" x14ac:dyDescent="0.3">
      <c r="A294" s="14">
        <v>43898.75</v>
      </c>
      <c r="B294" s="13" t="s">
        <v>23</v>
      </c>
      <c r="C294" s="2">
        <v>2</v>
      </c>
      <c r="D294" s="13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3" t="s">
        <v>27</v>
      </c>
      <c r="S294" s="13" t="s">
        <v>27</v>
      </c>
    </row>
    <row r="295" spans="1:19" hidden="1" x14ac:dyDescent="0.3">
      <c r="A295" s="14">
        <v>43898.75</v>
      </c>
      <c r="B295" s="13" t="s">
        <v>23</v>
      </c>
      <c r="C295" s="2">
        <v>5</v>
      </c>
      <c r="D295" s="13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3" t="s">
        <v>27</v>
      </c>
      <c r="S295" s="13" t="s">
        <v>27</v>
      </c>
    </row>
    <row r="296" spans="1:19" hidden="1" x14ac:dyDescent="0.3">
      <c r="A296" s="14">
        <v>43899.75</v>
      </c>
      <c r="B296" s="13" t="s">
        <v>23</v>
      </c>
      <c r="C296" s="2">
        <v>13</v>
      </c>
      <c r="D296" s="13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3" t="s">
        <v>27</v>
      </c>
      <c r="S296" s="13" t="s">
        <v>27</v>
      </c>
    </row>
    <row r="297" spans="1:19" hidden="1" x14ac:dyDescent="0.3">
      <c r="A297" s="14">
        <v>43899.75</v>
      </c>
      <c r="B297" s="13" t="s">
        <v>23</v>
      </c>
      <c r="C297" s="2">
        <v>17</v>
      </c>
      <c r="D297" s="13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3" t="s">
        <v>27</v>
      </c>
      <c r="S297" s="13" t="s">
        <v>27</v>
      </c>
    </row>
    <row r="298" spans="1:19" hidden="1" x14ac:dyDescent="0.3">
      <c r="A298" s="14">
        <v>43899.75</v>
      </c>
      <c r="B298" s="13" t="s">
        <v>23</v>
      </c>
      <c r="C298" s="2">
        <v>4</v>
      </c>
      <c r="D298" s="13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3" t="s">
        <v>27</v>
      </c>
      <c r="S298" s="13" t="s">
        <v>27</v>
      </c>
    </row>
    <row r="299" spans="1:19" hidden="1" x14ac:dyDescent="0.3">
      <c r="A299" s="14">
        <v>43899.75</v>
      </c>
      <c r="B299" s="13" t="s">
        <v>23</v>
      </c>
      <c r="C299" s="2">
        <v>18</v>
      </c>
      <c r="D299" s="13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3" t="s">
        <v>27</v>
      </c>
      <c r="S299" s="13" t="s">
        <v>27</v>
      </c>
    </row>
    <row r="300" spans="1:19" hidden="1" x14ac:dyDescent="0.3">
      <c r="A300" s="14">
        <v>43899.75</v>
      </c>
      <c r="B300" s="13" t="s">
        <v>23</v>
      </c>
      <c r="C300" s="2">
        <v>15</v>
      </c>
      <c r="D300" s="13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3" t="s">
        <v>27</v>
      </c>
      <c r="S300" s="13" t="s">
        <v>27</v>
      </c>
    </row>
    <row r="301" spans="1:19" hidden="1" x14ac:dyDescent="0.3">
      <c r="A301" s="14">
        <v>43899.75</v>
      </c>
      <c r="B301" s="13" t="s">
        <v>23</v>
      </c>
      <c r="C301" s="2">
        <v>8</v>
      </c>
      <c r="D301" s="13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3" t="s">
        <v>27</v>
      </c>
      <c r="S301" s="13" t="s">
        <v>27</v>
      </c>
    </row>
    <row r="302" spans="1:19" hidden="1" x14ac:dyDescent="0.3">
      <c r="A302" s="14">
        <v>43899.75</v>
      </c>
      <c r="B302" s="13" t="s">
        <v>23</v>
      </c>
      <c r="C302" s="2">
        <v>6</v>
      </c>
      <c r="D302" s="13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3" t="s">
        <v>27</v>
      </c>
      <c r="S302" s="13" t="s">
        <v>27</v>
      </c>
    </row>
    <row r="303" spans="1:19" hidden="1" x14ac:dyDescent="0.3">
      <c r="A303" s="14">
        <v>43899.75</v>
      </c>
      <c r="B303" s="13" t="s">
        <v>23</v>
      </c>
      <c r="C303" s="2">
        <v>12</v>
      </c>
      <c r="D303" s="13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3" t="s">
        <v>27</v>
      </c>
      <c r="S303" s="13" t="s">
        <v>27</v>
      </c>
    </row>
    <row r="304" spans="1:19" hidden="1" x14ac:dyDescent="0.3">
      <c r="A304" s="14">
        <v>43899.75</v>
      </c>
      <c r="B304" s="13" t="s">
        <v>23</v>
      </c>
      <c r="C304" s="2">
        <v>7</v>
      </c>
      <c r="D304" s="13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3" t="s">
        <v>27</v>
      </c>
      <c r="S304" s="13" t="s">
        <v>27</v>
      </c>
    </row>
    <row r="305" spans="1:19" x14ac:dyDescent="0.3">
      <c r="A305" s="14">
        <v>43899.75</v>
      </c>
      <c r="B305" s="13" t="s">
        <v>23</v>
      </c>
      <c r="C305" s="2">
        <v>3</v>
      </c>
      <c r="D305" s="13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3" t="s">
        <v>27</v>
      </c>
      <c r="S305" s="13" t="s">
        <v>27</v>
      </c>
    </row>
    <row r="306" spans="1:19" hidden="1" x14ac:dyDescent="0.3">
      <c r="A306" s="14">
        <v>43899.75</v>
      </c>
      <c r="B306" s="13" t="s">
        <v>23</v>
      </c>
      <c r="C306" s="2">
        <v>11</v>
      </c>
      <c r="D306" s="13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3" t="s">
        <v>27</v>
      </c>
      <c r="S306" s="13" t="s">
        <v>27</v>
      </c>
    </row>
    <row r="307" spans="1:19" hidden="1" x14ac:dyDescent="0.3">
      <c r="A307" s="14">
        <v>43899.75</v>
      </c>
      <c r="B307" s="13" t="s">
        <v>23</v>
      </c>
      <c r="C307" s="2">
        <v>14</v>
      </c>
      <c r="D307" s="13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3" t="s">
        <v>27</v>
      </c>
      <c r="S307" s="13" t="s">
        <v>27</v>
      </c>
    </row>
    <row r="308" spans="1:19" hidden="1" x14ac:dyDescent="0.3">
      <c r="A308" s="14">
        <v>43899.75</v>
      </c>
      <c r="B308" s="13" t="s">
        <v>23</v>
      </c>
      <c r="C308" s="2">
        <v>1</v>
      </c>
      <c r="D308" s="13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3" t="s">
        <v>27</v>
      </c>
      <c r="S308" s="13" t="s">
        <v>27</v>
      </c>
    </row>
    <row r="309" spans="1:19" hidden="1" x14ac:dyDescent="0.3">
      <c r="A309" s="14">
        <v>43899.75</v>
      </c>
      <c r="B309" s="13" t="s">
        <v>23</v>
      </c>
      <c r="C309" s="2">
        <v>16</v>
      </c>
      <c r="D309" s="13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3" t="s">
        <v>27</v>
      </c>
      <c r="S309" s="13" t="s">
        <v>27</v>
      </c>
    </row>
    <row r="310" spans="1:19" hidden="1" x14ac:dyDescent="0.3">
      <c r="A310" s="14">
        <v>43899.75</v>
      </c>
      <c r="B310" s="13" t="s">
        <v>23</v>
      </c>
      <c r="C310" s="2">
        <v>20</v>
      </c>
      <c r="D310" s="13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3" t="s">
        <v>27</v>
      </c>
      <c r="S310" s="13" t="s">
        <v>27</v>
      </c>
    </row>
    <row r="311" spans="1:19" hidden="1" x14ac:dyDescent="0.3">
      <c r="A311" s="14">
        <v>43899.75</v>
      </c>
      <c r="B311" s="13" t="s">
        <v>23</v>
      </c>
      <c r="C311" s="2">
        <v>19</v>
      </c>
      <c r="D311" s="13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3" t="s">
        <v>27</v>
      </c>
      <c r="S311" s="13" t="s">
        <v>27</v>
      </c>
    </row>
    <row r="312" spans="1:19" hidden="1" x14ac:dyDescent="0.3">
      <c r="A312" s="14">
        <v>43899.75</v>
      </c>
      <c r="B312" s="13" t="s">
        <v>23</v>
      </c>
      <c r="C312" s="2">
        <v>9</v>
      </c>
      <c r="D312" s="13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3" t="s">
        <v>27</v>
      </c>
      <c r="S312" s="13" t="s">
        <v>27</v>
      </c>
    </row>
    <row r="313" spans="1:19" hidden="1" x14ac:dyDescent="0.3">
      <c r="A313" s="14">
        <v>43899.75</v>
      </c>
      <c r="B313" s="13" t="s">
        <v>23</v>
      </c>
      <c r="C313" s="2">
        <v>4</v>
      </c>
      <c r="D313" s="13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3" t="s">
        <v>27</v>
      </c>
      <c r="S313" s="13" t="s">
        <v>27</v>
      </c>
    </row>
    <row r="314" spans="1:19" hidden="1" x14ac:dyDescent="0.3">
      <c r="A314" s="14">
        <v>43899.75</v>
      </c>
      <c r="B314" s="13" t="s">
        <v>23</v>
      </c>
      <c r="C314" s="2">
        <v>10</v>
      </c>
      <c r="D314" s="13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3" t="s">
        <v>27</v>
      </c>
      <c r="S314" s="13" t="s">
        <v>27</v>
      </c>
    </row>
    <row r="315" spans="1:19" hidden="1" x14ac:dyDescent="0.3">
      <c r="A315" s="14">
        <v>43899.75</v>
      </c>
      <c r="B315" s="13" t="s">
        <v>23</v>
      </c>
      <c r="C315" s="2">
        <v>2</v>
      </c>
      <c r="D315" s="13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3" t="s">
        <v>27</v>
      </c>
      <c r="S315" s="13" t="s">
        <v>27</v>
      </c>
    </row>
    <row r="316" spans="1:19" hidden="1" x14ac:dyDescent="0.3">
      <c r="A316" s="14">
        <v>43899.75</v>
      </c>
      <c r="B316" s="13" t="s">
        <v>23</v>
      </c>
      <c r="C316" s="2">
        <v>5</v>
      </c>
      <c r="D316" s="13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3" t="s">
        <v>27</v>
      </c>
      <c r="S316" s="13" t="s">
        <v>27</v>
      </c>
    </row>
    <row r="317" spans="1:19" hidden="1" x14ac:dyDescent="0.3">
      <c r="A317" s="14">
        <v>43900.75</v>
      </c>
      <c r="B317" s="13" t="s">
        <v>23</v>
      </c>
      <c r="C317" s="2">
        <v>13</v>
      </c>
      <c r="D317" s="13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3" t="s">
        <v>27</v>
      </c>
      <c r="S317" s="13" t="s">
        <v>27</v>
      </c>
    </row>
    <row r="318" spans="1:19" hidden="1" x14ac:dyDescent="0.3">
      <c r="A318" s="14">
        <v>43900.75</v>
      </c>
      <c r="B318" s="13" t="s">
        <v>23</v>
      </c>
      <c r="C318" s="2">
        <v>17</v>
      </c>
      <c r="D318" s="13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3" t="s">
        <v>27</v>
      </c>
      <c r="S318" s="13" t="s">
        <v>27</v>
      </c>
    </row>
    <row r="319" spans="1:19" hidden="1" x14ac:dyDescent="0.3">
      <c r="A319" s="14">
        <v>43900.75</v>
      </c>
      <c r="B319" s="13" t="s">
        <v>23</v>
      </c>
      <c r="C319" s="2">
        <v>4</v>
      </c>
      <c r="D319" s="13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3" t="s">
        <v>27</v>
      </c>
      <c r="S319" s="13" t="s">
        <v>27</v>
      </c>
    </row>
    <row r="320" spans="1:19" hidden="1" x14ac:dyDescent="0.3">
      <c r="A320" s="14">
        <v>43900.75</v>
      </c>
      <c r="B320" s="13" t="s">
        <v>23</v>
      </c>
      <c r="C320" s="2">
        <v>18</v>
      </c>
      <c r="D320" s="13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3" t="s">
        <v>27</v>
      </c>
      <c r="S320" s="13" t="s">
        <v>27</v>
      </c>
    </row>
    <row r="321" spans="1:19" hidden="1" x14ac:dyDescent="0.3">
      <c r="A321" s="14">
        <v>43900.75</v>
      </c>
      <c r="B321" s="13" t="s">
        <v>23</v>
      </c>
      <c r="C321" s="2">
        <v>15</v>
      </c>
      <c r="D321" s="13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3" t="s">
        <v>27</v>
      </c>
      <c r="S321" s="13" t="s">
        <v>27</v>
      </c>
    </row>
    <row r="322" spans="1:19" hidden="1" x14ac:dyDescent="0.3">
      <c r="A322" s="14">
        <v>43900.75</v>
      </c>
      <c r="B322" s="13" t="s">
        <v>23</v>
      </c>
      <c r="C322" s="2">
        <v>8</v>
      </c>
      <c r="D322" s="13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3" t="s">
        <v>27</v>
      </c>
      <c r="S322" s="13" t="s">
        <v>27</v>
      </c>
    </row>
    <row r="323" spans="1:19" hidden="1" x14ac:dyDescent="0.3">
      <c r="A323" s="14">
        <v>43900.75</v>
      </c>
      <c r="B323" s="13" t="s">
        <v>23</v>
      </c>
      <c r="C323" s="2">
        <v>6</v>
      </c>
      <c r="D323" s="13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3" t="s">
        <v>27</v>
      </c>
      <c r="S323" s="13" t="s">
        <v>27</v>
      </c>
    </row>
    <row r="324" spans="1:19" hidden="1" x14ac:dyDescent="0.3">
      <c r="A324" s="14">
        <v>43900.75</v>
      </c>
      <c r="B324" s="13" t="s">
        <v>23</v>
      </c>
      <c r="C324" s="2">
        <v>12</v>
      </c>
      <c r="D324" s="13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3" t="s">
        <v>27</v>
      </c>
      <c r="S324" s="13" t="s">
        <v>27</v>
      </c>
    </row>
    <row r="325" spans="1:19" hidden="1" x14ac:dyDescent="0.3">
      <c r="A325" s="14">
        <v>43900.75</v>
      </c>
      <c r="B325" s="13" t="s">
        <v>23</v>
      </c>
      <c r="C325" s="2">
        <v>7</v>
      </c>
      <c r="D325" s="13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3" t="s">
        <v>27</v>
      </c>
      <c r="S325" s="13" t="s">
        <v>27</v>
      </c>
    </row>
    <row r="326" spans="1:19" x14ac:dyDescent="0.3">
      <c r="A326" s="14">
        <v>43900.75</v>
      </c>
      <c r="B326" s="13" t="s">
        <v>23</v>
      </c>
      <c r="C326" s="2">
        <v>3</v>
      </c>
      <c r="D326" s="13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3" t="s">
        <v>66</v>
      </c>
      <c r="S326" s="13" t="s">
        <v>67</v>
      </c>
    </row>
    <row r="327" spans="1:19" hidden="1" x14ac:dyDescent="0.3">
      <c r="A327" s="14">
        <v>43900.75</v>
      </c>
      <c r="B327" s="13" t="s">
        <v>23</v>
      </c>
      <c r="C327" s="2">
        <v>11</v>
      </c>
      <c r="D327" s="13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3" t="s">
        <v>27</v>
      </c>
      <c r="S327" s="13" t="s">
        <v>27</v>
      </c>
    </row>
    <row r="328" spans="1:19" hidden="1" x14ac:dyDescent="0.3">
      <c r="A328" s="14">
        <v>43900.75</v>
      </c>
      <c r="B328" s="13" t="s">
        <v>23</v>
      </c>
      <c r="C328" s="2">
        <v>14</v>
      </c>
      <c r="D328" s="13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3" t="s">
        <v>27</v>
      </c>
      <c r="S328" s="13" t="s">
        <v>27</v>
      </c>
    </row>
    <row r="329" spans="1:19" hidden="1" x14ac:dyDescent="0.3">
      <c r="A329" s="14">
        <v>43900.75</v>
      </c>
      <c r="B329" s="13" t="s">
        <v>23</v>
      </c>
      <c r="C329" s="2">
        <v>1</v>
      </c>
      <c r="D329" s="13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3" t="s">
        <v>27</v>
      </c>
      <c r="S329" s="13" t="s">
        <v>27</v>
      </c>
    </row>
    <row r="330" spans="1:19" hidden="1" x14ac:dyDescent="0.3">
      <c r="A330" s="14">
        <v>43900.75</v>
      </c>
      <c r="B330" s="13" t="s">
        <v>23</v>
      </c>
      <c r="C330" s="2">
        <v>16</v>
      </c>
      <c r="D330" s="13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3" t="s">
        <v>27</v>
      </c>
      <c r="S330" s="13" t="s">
        <v>27</v>
      </c>
    </row>
    <row r="331" spans="1:19" hidden="1" x14ac:dyDescent="0.3">
      <c r="A331" s="14">
        <v>43900.75</v>
      </c>
      <c r="B331" s="13" t="s">
        <v>23</v>
      </c>
      <c r="C331" s="2">
        <v>20</v>
      </c>
      <c r="D331" s="13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3" t="s">
        <v>27</v>
      </c>
      <c r="S331" s="13" t="s">
        <v>27</v>
      </c>
    </row>
    <row r="332" spans="1:19" hidden="1" x14ac:dyDescent="0.3">
      <c r="A332" s="14">
        <v>43900.75</v>
      </c>
      <c r="B332" s="13" t="s">
        <v>23</v>
      </c>
      <c r="C332" s="2">
        <v>19</v>
      </c>
      <c r="D332" s="13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3" t="s">
        <v>27</v>
      </c>
      <c r="S332" s="13" t="s">
        <v>27</v>
      </c>
    </row>
    <row r="333" spans="1:19" hidden="1" x14ac:dyDescent="0.3">
      <c r="A333" s="14">
        <v>43900.75</v>
      </c>
      <c r="B333" s="13" t="s">
        <v>23</v>
      </c>
      <c r="C333" s="2">
        <v>9</v>
      </c>
      <c r="D333" s="13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3" t="s">
        <v>27</v>
      </c>
      <c r="S333" s="13" t="s">
        <v>27</v>
      </c>
    </row>
    <row r="334" spans="1:19" hidden="1" x14ac:dyDescent="0.3">
      <c r="A334" s="14">
        <v>43900.75</v>
      </c>
      <c r="B334" s="13" t="s">
        <v>23</v>
      </c>
      <c r="C334" s="2">
        <v>4</v>
      </c>
      <c r="D334" s="13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3" t="s">
        <v>27</v>
      </c>
      <c r="S334" s="13" t="s">
        <v>27</v>
      </c>
    </row>
    <row r="335" spans="1:19" hidden="1" x14ac:dyDescent="0.3">
      <c r="A335" s="14">
        <v>43900.75</v>
      </c>
      <c r="B335" s="13" t="s">
        <v>23</v>
      </c>
      <c r="C335" s="2">
        <v>10</v>
      </c>
      <c r="D335" s="13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3" t="s">
        <v>27</v>
      </c>
      <c r="S335" s="13" t="s">
        <v>27</v>
      </c>
    </row>
    <row r="336" spans="1:19" hidden="1" x14ac:dyDescent="0.3">
      <c r="A336" s="14">
        <v>43900.75</v>
      </c>
      <c r="B336" s="13" t="s">
        <v>23</v>
      </c>
      <c r="C336" s="2">
        <v>2</v>
      </c>
      <c r="D336" s="13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3" t="s">
        <v>27</v>
      </c>
      <c r="S336" s="13" t="s">
        <v>27</v>
      </c>
    </row>
    <row r="337" spans="1:19" hidden="1" x14ac:dyDescent="0.3">
      <c r="A337" s="14">
        <v>43900.75</v>
      </c>
      <c r="B337" s="13" t="s">
        <v>23</v>
      </c>
      <c r="C337" s="2">
        <v>5</v>
      </c>
      <c r="D337" s="13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3" t="s">
        <v>27</v>
      </c>
      <c r="S337" s="13" t="s">
        <v>27</v>
      </c>
    </row>
    <row r="338" spans="1:19" hidden="1" x14ac:dyDescent="0.3">
      <c r="A338" s="14">
        <v>43901.708333333336</v>
      </c>
      <c r="B338" s="13" t="s">
        <v>23</v>
      </c>
      <c r="C338" s="2">
        <v>13</v>
      </c>
      <c r="D338" s="13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3" t="s">
        <v>68</v>
      </c>
      <c r="S338" s="13" t="s">
        <v>69</v>
      </c>
    </row>
    <row r="339" spans="1:19" hidden="1" x14ac:dyDescent="0.3">
      <c r="A339" s="14">
        <v>43901.708333333336</v>
      </c>
      <c r="B339" s="13" t="s">
        <v>23</v>
      </c>
      <c r="C339" s="2">
        <v>17</v>
      </c>
      <c r="D339" s="13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3" t="s">
        <v>27</v>
      </c>
      <c r="S339" s="13" t="s">
        <v>27</v>
      </c>
    </row>
    <row r="340" spans="1:19" hidden="1" x14ac:dyDescent="0.3">
      <c r="A340" s="14">
        <v>43901.708333333336</v>
      </c>
      <c r="B340" s="13" t="s">
        <v>23</v>
      </c>
      <c r="C340" s="2">
        <v>4</v>
      </c>
      <c r="D340" s="13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3" t="s">
        <v>27</v>
      </c>
      <c r="S340" s="13" t="s">
        <v>27</v>
      </c>
    </row>
    <row r="341" spans="1:19" hidden="1" x14ac:dyDescent="0.3">
      <c r="A341" s="14">
        <v>43901.708333333336</v>
      </c>
      <c r="B341" s="13" t="s">
        <v>23</v>
      </c>
      <c r="C341" s="2">
        <v>18</v>
      </c>
      <c r="D341" s="13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3" t="s">
        <v>27</v>
      </c>
      <c r="S341" s="13" t="s">
        <v>27</v>
      </c>
    </row>
    <row r="342" spans="1:19" hidden="1" x14ac:dyDescent="0.3">
      <c r="A342" s="14">
        <v>43901.708333333336</v>
      </c>
      <c r="B342" s="13" t="s">
        <v>23</v>
      </c>
      <c r="C342" s="2">
        <v>15</v>
      </c>
      <c r="D342" s="13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3" t="s">
        <v>27</v>
      </c>
      <c r="S342" s="13" t="s">
        <v>27</v>
      </c>
    </row>
    <row r="343" spans="1:19" hidden="1" x14ac:dyDescent="0.3">
      <c r="A343" s="14">
        <v>43901.708333333336</v>
      </c>
      <c r="B343" s="13" t="s">
        <v>23</v>
      </c>
      <c r="C343" s="2">
        <v>8</v>
      </c>
      <c r="D343" s="13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3" t="s">
        <v>27</v>
      </c>
      <c r="S343" s="13" t="s">
        <v>27</v>
      </c>
    </row>
    <row r="344" spans="1:19" hidden="1" x14ac:dyDescent="0.3">
      <c r="A344" s="14">
        <v>43901.708333333336</v>
      </c>
      <c r="B344" s="13" t="s">
        <v>23</v>
      </c>
      <c r="C344" s="2">
        <v>6</v>
      </c>
      <c r="D344" s="13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3" t="s">
        <v>27</v>
      </c>
      <c r="S344" s="13" t="s">
        <v>27</v>
      </c>
    </row>
    <row r="345" spans="1:19" hidden="1" x14ac:dyDescent="0.3">
      <c r="A345" s="14">
        <v>43901.708333333336</v>
      </c>
      <c r="B345" s="13" t="s">
        <v>23</v>
      </c>
      <c r="C345" s="2">
        <v>12</v>
      </c>
      <c r="D345" s="13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3" t="s">
        <v>27</v>
      </c>
      <c r="S345" s="13" t="s">
        <v>27</v>
      </c>
    </row>
    <row r="346" spans="1:19" hidden="1" x14ac:dyDescent="0.3">
      <c r="A346" s="14">
        <v>43901.708333333336</v>
      </c>
      <c r="B346" s="13" t="s">
        <v>23</v>
      </c>
      <c r="C346" s="2">
        <v>7</v>
      </c>
      <c r="D346" s="13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3" t="s">
        <v>27</v>
      </c>
      <c r="S346" s="13" t="s">
        <v>27</v>
      </c>
    </row>
    <row r="347" spans="1:19" x14ac:dyDescent="0.3">
      <c r="A347" s="14">
        <v>43901.708333333336</v>
      </c>
      <c r="B347" s="13" t="s">
        <v>23</v>
      </c>
      <c r="C347" s="2">
        <v>3</v>
      </c>
      <c r="D347" s="13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3" t="s">
        <v>27</v>
      </c>
      <c r="S347" s="13" t="s">
        <v>27</v>
      </c>
    </row>
    <row r="348" spans="1:19" hidden="1" x14ac:dyDescent="0.3">
      <c r="A348" s="14">
        <v>43901.708333333336</v>
      </c>
      <c r="B348" s="13" t="s">
        <v>23</v>
      </c>
      <c r="C348" s="2">
        <v>11</v>
      </c>
      <c r="D348" s="13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3" t="s">
        <v>27</v>
      </c>
      <c r="S348" s="13" t="s">
        <v>27</v>
      </c>
    </row>
    <row r="349" spans="1:19" hidden="1" x14ac:dyDescent="0.3">
      <c r="A349" s="14">
        <v>43901.708333333336</v>
      </c>
      <c r="B349" s="13" t="s">
        <v>23</v>
      </c>
      <c r="C349" s="2">
        <v>14</v>
      </c>
      <c r="D349" s="13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3" t="s">
        <v>27</v>
      </c>
      <c r="S349" s="13" t="s">
        <v>27</v>
      </c>
    </row>
    <row r="350" spans="1:19" hidden="1" x14ac:dyDescent="0.3">
      <c r="A350" s="14">
        <v>43901.708333333336</v>
      </c>
      <c r="B350" s="13" t="s">
        <v>23</v>
      </c>
      <c r="C350" s="2">
        <v>1</v>
      </c>
      <c r="D350" s="13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3" t="s">
        <v>27</v>
      </c>
      <c r="S350" s="13" t="s">
        <v>27</v>
      </c>
    </row>
    <row r="351" spans="1:19" hidden="1" x14ac:dyDescent="0.3">
      <c r="A351" s="14">
        <v>43901.708333333336</v>
      </c>
      <c r="B351" s="13" t="s">
        <v>23</v>
      </c>
      <c r="C351" s="2">
        <v>16</v>
      </c>
      <c r="D351" s="13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3" t="s">
        <v>27</v>
      </c>
      <c r="S351" s="13" t="s">
        <v>27</v>
      </c>
    </row>
    <row r="352" spans="1:19" hidden="1" x14ac:dyDescent="0.3">
      <c r="A352" s="14">
        <v>43901.708333333336</v>
      </c>
      <c r="B352" s="13" t="s">
        <v>23</v>
      </c>
      <c r="C352" s="2">
        <v>20</v>
      </c>
      <c r="D352" s="13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3" t="s">
        <v>27</v>
      </c>
      <c r="S352" s="13" t="s">
        <v>27</v>
      </c>
    </row>
    <row r="353" spans="1:19" hidden="1" x14ac:dyDescent="0.3">
      <c r="A353" s="14">
        <v>43901.708333333336</v>
      </c>
      <c r="B353" s="13" t="s">
        <v>23</v>
      </c>
      <c r="C353" s="2">
        <v>19</v>
      </c>
      <c r="D353" s="13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3" t="s">
        <v>27</v>
      </c>
      <c r="S353" s="13" t="s">
        <v>27</v>
      </c>
    </row>
    <row r="354" spans="1:19" hidden="1" x14ac:dyDescent="0.3">
      <c r="A354" s="14">
        <v>43901.708333333336</v>
      </c>
      <c r="B354" s="13" t="s">
        <v>23</v>
      </c>
      <c r="C354" s="2">
        <v>9</v>
      </c>
      <c r="D354" s="13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3" t="s">
        <v>27</v>
      </c>
      <c r="S354" s="13" t="s">
        <v>27</v>
      </c>
    </row>
    <row r="355" spans="1:19" hidden="1" x14ac:dyDescent="0.3">
      <c r="A355" s="14">
        <v>43901.708333333336</v>
      </c>
      <c r="B355" s="13" t="s">
        <v>23</v>
      </c>
      <c r="C355" s="2">
        <v>4</v>
      </c>
      <c r="D355" s="13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3" t="s">
        <v>27</v>
      </c>
      <c r="S355" s="13" t="s">
        <v>27</v>
      </c>
    </row>
    <row r="356" spans="1:19" hidden="1" x14ac:dyDescent="0.3">
      <c r="A356" s="14">
        <v>43901.708333333336</v>
      </c>
      <c r="B356" s="13" t="s">
        <v>23</v>
      </c>
      <c r="C356" s="2">
        <v>10</v>
      </c>
      <c r="D356" s="13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3" t="s">
        <v>27</v>
      </c>
      <c r="S356" s="13" t="s">
        <v>27</v>
      </c>
    </row>
    <row r="357" spans="1:19" hidden="1" x14ac:dyDescent="0.3">
      <c r="A357" s="14">
        <v>43901.708333333336</v>
      </c>
      <c r="B357" s="13" t="s">
        <v>23</v>
      </c>
      <c r="C357" s="2">
        <v>2</v>
      </c>
      <c r="D357" s="13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3" t="s">
        <v>27</v>
      </c>
      <c r="S357" s="13" t="s">
        <v>27</v>
      </c>
    </row>
    <row r="358" spans="1:19" hidden="1" x14ac:dyDescent="0.3">
      <c r="A358" s="14">
        <v>43901.708333333336</v>
      </c>
      <c r="B358" s="13" t="s">
        <v>23</v>
      </c>
      <c r="C358" s="2">
        <v>5</v>
      </c>
      <c r="D358" s="13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3" t="s">
        <v>27</v>
      </c>
      <c r="S358" s="13" t="s">
        <v>27</v>
      </c>
    </row>
    <row r="359" spans="1:19" hidden="1" x14ac:dyDescent="0.3">
      <c r="A359" s="14">
        <v>43902.708333333336</v>
      </c>
      <c r="B359" s="13" t="s">
        <v>23</v>
      </c>
      <c r="C359" s="2">
        <v>13</v>
      </c>
      <c r="D359" s="13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3" t="s">
        <v>27</v>
      </c>
      <c r="S359" s="13" t="s">
        <v>27</v>
      </c>
    </row>
    <row r="360" spans="1:19" hidden="1" x14ac:dyDescent="0.3">
      <c r="A360" s="14">
        <v>43902.708333333336</v>
      </c>
      <c r="B360" s="13" t="s">
        <v>23</v>
      </c>
      <c r="C360" s="2">
        <v>17</v>
      </c>
      <c r="D360" s="13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3" t="s">
        <v>27</v>
      </c>
      <c r="S360" s="13" t="s">
        <v>27</v>
      </c>
    </row>
    <row r="361" spans="1:19" hidden="1" x14ac:dyDescent="0.3">
      <c r="A361" s="14">
        <v>43902.708333333336</v>
      </c>
      <c r="B361" s="13" t="s">
        <v>23</v>
      </c>
      <c r="C361" s="2">
        <v>4</v>
      </c>
      <c r="D361" s="13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3" t="s">
        <v>27</v>
      </c>
      <c r="S361" s="13" t="s">
        <v>27</v>
      </c>
    </row>
    <row r="362" spans="1:19" hidden="1" x14ac:dyDescent="0.3">
      <c r="A362" s="14">
        <v>43902.708333333336</v>
      </c>
      <c r="B362" s="13" t="s">
        <v>23</v>
      </c>
      <c r="C362" s="2">
        <v>18</v>
      </c>
      <c r="D362" s="13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3" t="s">
        <v>27</v>
      </c>
      <c r="S362" s="13" t="s">
        <v>27</v>
      </c>
    </row>
    <row r="363" spans="1:19" hidden="1" x14ac:dyDescent="0.3">
      <c r="A363" s="14">
        <v>43902.708333333336</v>
      </c>
      <c r="B363" s="13" t="s">
        <v>23</v>
      </c>
      <c r="C363" s="2">
        <v>15</v>
      </c>
      <c r="D363" s="13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3" t="s">
        <v>27</v>
      </c>
      <c r="S363" s="13" t="s">
        <v>27</v>
      </c>
    </row>
    <row r="364" spans="1:19" hidden="1" x14ac:dyDescent="0.3">
      <c r="A364" s="14">
        <v>43902.708333333336</v>
      </c>
      <c r="B364" s="13" t="s">
        <v>23</v>
      </c>
      <c r="C364" s="2">
        <v>8</v>
      </c>
      <c r="D364" s="13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3" t="s">
        <v>27</v>
      </c>
      <c r="S364" s="13" t="s">
        <v>27</v>
      </c>
    </row>
    <row r="365" spans="1:19" hidden="1" x14ac:dyDescent="0.3">
      <c r="A365" s="14">
        <v>43902.708333333336</v>
      </c>
      <c r="B365" s="13" t="s">
        <v>23</v>
      </c>
      <c r="C365" s="2">
        <v>6</v>
      </c>
      <c r="D365" s="13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3" t="s">
        <v>27</v>
      </c>
      <c r="S365" s="13" t="s">
        <v>27</v>
      </c>
    </row>
    <row r="366" spans="1:19" hidden="1" x14ac:dyDescent="0.3">
      <c r="A366" s="14">
        <v>43902.708333333336</v>
      </c>
      <c r="B366" s="13" t="s">
        <v>23</v>
      </c>
      <c r="C366" s="2">
        <v>12</v>
      </c>
      <c r="D366" s="13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3" t="s">
        <v>27</v>
      </c>
      <c r="S366" s="13" t="s">
        <v>27</v>
      </c>
    </row>
    <row r="367" spans="1:19" hidden="1" x14ac:dyDescent="0.3">
      <c r="A367" s="14">
        <v>43902.708333333336</v>
      </c>
      <c r="B367" s="13" t="s">
        <v>23</v>
      </c>
      <c r="C367" s="2">
        <v>7</v>
      </c>
      <c r="D367" s="13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3" t="s">
        <v>27</v>
      </c>
      <c r="S367" s="13" t="s">
        <v>27</v>
      </c>
    </row>
    <row r="368" spans="1:19" x14ac:dyDescent="0.3">
      <c r="A368" s="14">
        <v>43902.708333333336</v>
      </c>
      <c r="B368" s="13" t="s">
        <v>23</v>
      </c>
      <c r="C368" s="2">
        <v>3</v>
      </c>
      <c r="D368" s="13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3" t="s">
        <v>27</v>
      </c>
      <c r="S368" s="13" t="s">
        <v>27</v>
      </c>
    </row>
    <row r="369" spans="1:19" hidden="1" x14ac:dyDescent="0.3">
      <c r="A369" s="14">
        <v>43902.708333333336</v>
      </c>
      <c r="B369" s="13" t="s">
        <v>23</v>
      </c>
      <c r="C369" s="2">
        <v>11</v>
      </c>
      <c r="D369" s="13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3" t="s">
        <v>27</v>
      </c>
      <c r="S369" s="13" t="s">
        <v>27</v>
      </c>
    </row>
    <row r="370" spans="1:19" hidden="1" x14ac:dyDescent="0.3">
      <c r="A370" s="14">
        <v>43902.708333333336</v>
      </c>
      <c r="B370" s="13" t="s">
        <v>23</v>
      </c>
      <c r="C370" s="2">
        <v>14</v>
      </c>
      <c r="D370" s="13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3" t="s">
        <v>27</v>
      </c>
      <c r="S370" s="13" t="s">
        <v>27</v>
      </c>
    </row>
    <row r="371" spans="1:19" hidden="1" x14ac:dyDescent="0.3">
      <c r="A371" s="14">
        <v>43902.708333333336</v>
      </c>
      <c r="B371" s="13" t="s">
        <v>23</v>
      </c>
      <c r="C371" s="2">
        <v>1</v>
      </c>
      <c r="D371" s="13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3" t="s">
        <v>27</v>
      </c>
      <c r="S371" s="13" t="s">
        <v>27</v>
      </c>
    </row>
    <row r="372" spans="1:19" hidden="1" x14ac:dyDescent="0.3">
      <c r="A372" s="14">
        <v>43902.708333333336</v>
      </c>
      <c r="B372" s="13" t="s">
        <v>23</v>
      </c>
      <c r="C372" s="2">
        <v>16</v>
      </c>
      <c r="D372" s="13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3" t="s">
        <v>27</v>
      </c>
      <c r="S372" s="13" t="s">
        <v>27</v>
      </c>
    </row>
    <row r="373" spans="1:19" hidden="1" x14ac:dyDescent="0.3">
      <c r="A373" s="14">
        <v>43902.708333333336</v>
      </c>
      <c r="B373" s="13" t="s">
        <v>23</v>
      </c>
      <c r="C373" s="2">
        <v>20</v>
      </c>
      <c r="D373" s="13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3" t="s">
        <v>27</v>
      </c>
      <c r="S373" s="13" t="s">
        <v>27</v>
      </c>
    </row>
    <row r="374" spans="1:19" hidden="1" x14ac:dyDescent="0.3">
      <c r="A374" s="14">
        <v>43902.708333333336</v>
      </c>
      <c r="B374" s="13" t="s">
        <v>23</v>
      </c>
      <c r="C374" s="2">
        <v>19</v>
      </c>
      <c r="D374" s="13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3" t="s">
        <v>27</v>
      </c>
      <c r="S374" s="13" t="s">
        <v>27</v>
      </c>
    </row>
    <row r="375" spans="1:19" hidden="1" x14ac:dyDescent="0.3">
      <c r="A375" s="14">
        <v>43902.708333333336</v>
      </c>
      <c r="B375" s="13" t="s">
        <v>23</v>
      </c>
      <c r="C375" s="2">
        <v>9</v>
      </c>
      <c r="D375" s="13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3" t="s">
        <v>27</v>
      </c>
      <c r="S375" s="13" t="s">
        <v>27</v>
      </c>
    </row>
    <row r="376" spans="1:19" hidden="1" x14ac:dyDescent="0.3">
      <c r="A376" s="14">
        <v>43902.708333333336</v>
      </c>
      <c r="B376" s="13" t="s">
        <v>23</v>
      </c>
      <c r="C376" s="2">
        <v>4</v>
      </c>
      <c r="D376" s="13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3" t="s">
        <v>27</v>
      </c>
      <c r="S376" s="13" t="s">
        <v>27</v>
      </c>
    </row>
    <row r="377" spans="1:19" hidden="1" x14ac:dyDescent="0.3">
      <c r="A377" s="14">
        <v>43902.708333333336</v>
      </c>
      <c r="B377" s="13" t="s">
        <v>23</v>
      </c>
      <c r="C377" s="2">
        <v>10</v>
      </c>
      <c r="D377" s="13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3" t="s">
        <v>27</v>
      </c>
      <c r="S377" s="13" t="s">
        <v>27</v>
      </c>
    </row>
    <row r="378" spans="1:19" hidden="1" x14ac:dyDescent="0.3">
      <c r="A378" s="14">
        <v>43902.708333333336</v>
      </c>
      <c r="B378" s="13" t="s">
        <v>23</v>
      </c>
      <c r="C378" s="2">
        <v>2</v>
      </c>
      <c r="D378" s="13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3" t="s">
        <v>27</v>
      </c>
      <c r="S378" s="13" t="s">
        <v>27</v>
      </c>
    </row>
    <row r="379" spans="1:19" hidden="1" x14ac:dyDescent="0.3">
      <c r="A379" s="14">
        <v>43902.708333333336</v>
      </c>
      <c r="B379" s="13" t="s">
        <v>23</v>
      </c>
      <c r="C379" s="2">
        <v>5</v>
      </c>
      <c r="D379" s="13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3" t="s">
        <v>27</v>
      </c>
      <c r="S379" s="13" t="s">
        <v>27</v>
      </c>
    </row>
    <row r="380" spans="1:19" hidden="1" x14ac:dyDescent="0.3">
      <c r="A380" s="14">
        <v>43903.708333333336</v>
      </c>
      <c r="B380" s="13" t="s">
        <v>23</v>
      </c>
      <c r="C380" s="2">
        <v>13</v>
      </c>
      <c r="D380" s="13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3" t="s">
        <v>27</v>
      </c>
      <c r="S380" s="13" t="s">
        <v>27</v>
      </c>
    </row>
    <row r="381" spans="1:19" hidden="1" x14ac:dyDescent="0.3">
      <c r="A381" s="14">
        <v>43903.708333333336</v>
      </c>
      <c r="B381" s="13" t="s">
        <v>23</v>
      </c>
      <c r="C381" s="2">
        <v>17</v>
      </c>
      <c r="D381" s="13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3" t="s">
        <v>27</v>
      </c>
      <c r="S381" s="13" t="s">
        <v>27</v>
      </c>
    </row>
    <row r="382" spans="1:19" hidden="1" x14ac:dyDescent="0.3">
      <c r="A382" s="14">
        <v>43903.708333333336</v>
      </c>
      <c r="B382" s="13" t="s">
        <v>23</v>
      </c>
      <c r="C382" s="2">
        <v>4</v>
      </c>
      <c r="D382" s="13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3" t="s">
        <v>27</v>
      </c>
      <c r="S382" s="13" t="s">
        <v>27</v>
      </c>
    </row>
    <row r="383" spans="1:19" hidden="1" x14ac:dyDescent="0.3">
      <c r="A383" s="14">
        <v>43903.708333333336</v>
      </c>
      <c r="B383" s="13" t="s">
        <v>23</v>
      </c>
      <c r="C383" s="2">
        <v>18</v>
      </c>
      <c r="D383" s="13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3" t="s">
        <v>27</v>
      </c>
      <c r="S383" s="13" t="s">
        <v>27</v>
      </c>
    </row>
    <row r="384" spans="1:19" hidden="1" x14ac:dyDescent="0.3">
      <c r="A384" s="14">
        <v>43903.708333333336</v>
      </c>
      <c r="B384" s="13" t="s">
        <v>23</v>
      </c>
      <c r="C384" s="2">
        <v>15</v>
      </c>
      <c r="D384" s="13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3" t="s">
        <v>27</v>
      </c>
      <c r="S384" s="13" t="s">
        <v>27</v>
      </c>
    </row>
    <row r="385" spans="1:19" hidden="1" x14ac:dyDescent="0.3">
      <c r="A385" s="14">
        <v>43903.708333333336</v>
      </c>
      <c r="B385" s="13" t="s">
        <v>23</v>
      </c>
      <c r="C385" s="2">
        <v>8</v>
      </c>
      <c r="D385" s="13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3" t="s">
        <v>27</v>
      </c>
      <c r="S385" s="13" t="s">
        <v>27</v>
      </c>
    </row>
    <row r="386" spans="1:19" hidden="1" x14ac:dyDescent="0.3">
      <c r="A386" s="14">
        <v>43903.708333333336</v>
      </c>
      <c r="B386" s="13" t="s">
        <v>23</v>
      </c>
      <c r="C386" s="2">
        <v>6</v>
      </c>
      <c r="D386" s="13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3" t="s">
        <v>27</v>
      </c>
      <c r="S386" s="13" t="s">
        <v>27</v>
      </c>
    </row>
    <row r="387" spans="1:19" hidden="1" x14ac:dyDescent="0.3">
      <c r="A387" s="14">
        <v>43903.708333333336</v>
      </c>
      <c r="B387" s="13" t="s">
        <v>23</v>
      </c>
      <c r="C387" s="2">
        <v>12</v>
      </c>
      <c r="D387" s="13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3" t="s">
        <v>27</v>
      </c>
      <c r="S387" s="13" t="s">
        <v>27</v>
      </c>
    </row>
    <row r="388" spans="1:19" hidden="1" x14ac:dyDescent="0.3">
      <c r="A388" s="14">
        <v>43903.708333333336</v>
      </c>
      <c r="B388" s="13" t="s">
        <v>23</v>
      </c>
      <c r="C388" s="2">
        <v>7</v>
      </c>
      <c r="D388" s="13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3" t="s">
        <v>27</v>
      </c>
      <c r="S388" s="13" t="s">
        <v>27</v>
      </c>
    </row>
    <row r="389" spans="1:19" x14ac:dyDescent="0.3">
      <c r="A389" s="14">
        <v>43903.708333333336</v>
      </c>
      <c r="B389" s="13" t="s">
        <v>23</v>
      </c>
      <c r="C389" s="2">
        <v>3</v>
      </c>
      <c r="D389" s="13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3" t="s">
        <v>27</v>
      </c>
      <c r="S389" s="13" t="s">
        <v>27</v>
      </c>
    </row>
    <row r="390" spans="1:19" hidden="1" x14ac:dyDescent="0.3">
      <c r="A390" s="14">
        <v>43903.708333333336</v>
      </c>
      <c r="B390" s="13" t="s">
        <v>23</v>
      </c>
      <c r="C390" s="2">
        <v>11</v>
      </c>
      <c r="D390" s="13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3" t="s">
        <v>27</v>
      </c>
      <c r="S390" s="13" t="s">
        <v>27</v>
      </c>
    </row>
    <row r="391" spans="1:19" hidden="1" x14ac:dyDescent="0.3">
      <c r="A391" s="14">
        <v>43903.708333333336</v>
      </c>
      <c r="B391" s="13" t="s">
        <v>23</v>
      </c>
      <c r="C391" s="2">
        <v>14</v>
      </c>
      <c r="D391" s="13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3" t="s">
        <v>27</v>
      </c>
      <c r="S391" s="13" t="s">
        <v>27</v>
      </c>
    </row>
    <row r="392" spans="1:19" hidden="1" x14ac:dyDescent="0.3">
      <c r="A392" s="14">
        <v>43903.708333333336</v>
      </c>
      <c r="B392" s="13" t="s">
        <v>23</v>
      </c>
      <c r="C392" s="2">
        <v>1</v>
      </c>
      <c r="D392" s="13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3" t="s">
        <v>27</v>
      </c>
      <c r="S392" s="13" t="s">
        <v>27</v>
      </c>
    </row>
    <row r="393" spans="1:19" hidden="1" x14ac:dyDescent="0.3">
      <c r="A393" s="14">
        <v>43903.708333333336</v>
      </c>
      <c r="B393" s="13" t="s">
        <v>23</v>
      </c>
      <c r="C393" s="2">
        <v>16</v>
      </c>
      <c r="D393" s="13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3" t="s">
        <v>27</v>
      </c>
      <c r="S393" s="13" t="s">
        <v>27</v>
      </c>
    </row>
    <row r="394" spans="1:19" hidden="1" x14ac:dyDescent="0.3">
      <c r="A394" s="14">
        <v>43903.708333333336</v>
      </c>
      <c r="B394" s="13" t="s">
        <v>23</v>
      </c>
      <c r="C394" s="2">
        <v>20</v>
      </c>
      <c r="D394" s="13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3" t="s">
        <v>27</v>
      </c>
      <c r="S394" s="13" t="s">
        <v>27</v>
      </c>
    </row>
    <row r="395" spans="1:19" hidden="1" x14ac:dyDescent="0.3">
      <c r="A395" s="14">
        <v>43903.708333333336</v>
      </c>
      <c r="B395" s="13" t="s">
        <v>23</v>
      </c>
      <c r="C395" s="2">
        <v>19</v>
      </c>
      <c r="D395" s="13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3" t="s">
        <v>27</v>
      </c>
      <c r="S395" s="13" t="s">
        <v>27</v>
      </c>
    </row>
    <row r="396" spans="1:19" hidden="1" x14ac:dyDescent="0.3">
      <c r="A396" s="14">
        <v>43903.708333333336</v>
      </c>
      <c r="B396" s="13" t="s">
        <v>23</v>
      </c>
      <c r="C396" s="2">
        <v>9</v>
      </c>
      <c r="D396" s="13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3" t="s">
        <v>27</v>
      </c>
      <c r="S396" s="13" t="s">
        <v>27</v>
      </c>
    </row>
    <row r="397" spans="1:19" hidden="1" x14ac:dyDescent="0.3">
      <c r="A397" s="14">
        <v>43903.708333333336</v>
      </c>
      <c r="B397" s="13" t="s">
        <v>23</v>
      </c>
      <c r="C397" s="2">
        <v>4</v>
      </c>
      <c r="D397" s="13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3" t="s">
        <v>27</v>
      </c>
      <c r="S397" s="13" t="s">
        <v>27</v>
      </c>
    </row>
    <row r="398" spans="1:19" hidden="1" x14ac:dyDescent="0.3">
      <c r="A398" s="14">
        <v>43903.708333333336</v>
      </c>
      <c r="B398" s="13" t="s">
        <v>23</v>
      </c>
      <c r="C398" s="2">
        <v>10</v>
      </c>
      <c r="D398" s="13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3" t="s">
        <v>27</v>
      </c>
      <c r="S398" s="13" t="s">
        <v>27</v>
      </c>
    </row>
    <row r="399" spans="1:19" hidden="1" x14ac:dyDescent="0.3">
      <c r="A399" s="14">
        <v>43903.708333333336</v>
      </c>
      <c r="B399" s="13" t="s">
        <v>23</v>
      </c>
      <c r="C399" s="2">
        <v>2</v>
      </c>
      <c r="D399" s="13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3" t="s">
        <v>27</v>
      </c>
      <c r="S399" s="13" t="s">
        <v>27</v>
      </c>
    </row>
    <row r="400" spans="1:19" hidden="1" x14ac:dyDescent="0.3">
      <c r="A400" s="14">
        <v>43903.708333333336</v>
      </c>
      <c r="B400" s="13" t="s">
        <v>23</v>
      </c>
      <c r="C400" s="2">
        <v>5</v>
      </c>
      <c r="D400" s="13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3" t="s">
        <v>27</v>
      </c>
      <c r="S400" s="13" t="s">
        <v>27</v>
      </c>
    </row>
    <row r="401" spans="1:19" hidden="1" x14ac:dyDescent="0.3">
      <c r="A401" s="14">
        <v>43904.708333333336</v>
      </c>
      <c r="B401" s="13" t="s">
        <v>23</v>
      </c>
      <c r="C401" s="2">
        <v>13</v>
      </c>
      <c r="D401" s="13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3" t="s">
        <v>27</v>
      </c>
      <c r="S401" s="13" t="s">
        <v>27</v>
      </c>
    </row>
    <row r="402" spans="1:19" hidden="1" x14ac:dyDescent="0.3">
      <c r="A402" s="14">
        <v>43904.708333333336</v>
      </c>
      <c r="B402" s="13" t="s">
        <v>23</v>
      </c>
      <c r="C402" s="2">
        <v>17</v>
      </c>
      <c r="D402" s="13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3" t="s">
        <v>27</v>
      </c>
      <c r="S402" s="13" t="s">
        <v>27</v>
      </c>
    </row>
    <row r="403" spans="1:19" hidden="1" x14ac:dyDescent="0.3">
      <c r="A403" s="14">
        <v>43904.708333333336</v>
      </c>
      <c r="B403" s="13" t="s">
        <v>23</v>
      </c>
      <c r="C403" s="2">
        <v>4</v>
      </c>
      <c r="D403" s="13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3" t="s">
        <v>27</v>
      </c>
      <c r="S403" s="13" t="s">
        <v>27</v>
      </c>
    </row>
    <row r="404" spans="1:19" hidden="1" x14ac:dyDescent="0.3">
      <c r="A404" s="14">
        <v>43904.708333333336</v>
      </c>
      <c r="B404" s="13" t="s">
        <v>23</v>
      </c>
      <c r="C404" s="2">
        <v>18</v>
      </c>
      <c r="D404" s="13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3" t="s">
        <v>27</v>
      </c>
      <c r="S404" s="13" t="s">
        <v>27</v>
      </c>
    </row>
    <row r="405" spans="1:19" hidden="1" x14ac:dyDescent="0.3">
      <c r="A405" s="14">
        <v>43904.708333333336</v>
      </c>
      <c r="B405" s="13" t="s">
        <v>23</v>
      </c>
      <c r="C405" s="2">
        <v>15</v>
      </c>
      <c r="D405" s="13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3" t="s">
        <v>27</v>
      </c>
      <c r="S405" s="13" t="s">
        <v>27</v>
      </c>
    </row>
    <row r="406" spans="1:19" hidden="1" x14ac:dyDescent="0.3">
      <c r="A406" s="14">
        <v>43904.708333333336</v>
      </c>
      <c r="B406" s="13" t="s">
        <v>23</v>
      </c>
      <c r="C406" s="2">
        <v>8</v>
      </c>
      <c r="D406" s="13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3" t="s">
        <v>27</v>
      </c>
      <c r="S406" s="13" t="s">
        <v>27</v>
      </c>
    </row>
    <row r="407" spans="1:19" hidden="1" x14ac:dyDescent="0.3">
      <c r="A407" s="14">
        <v>43904.708333333336</v>
      </c>
      <c r="B407" s="13" t="s">
        <v>23</v>
      </c>
      <c r="C407" s="2">
        <v>6</v>
      </c>
      <c r="D407" s="13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3" t="s">
        <v>27</v>
      </c>
      <c r="S407" s="13" t="s">
        <v>27</v>
      </c>
    </row>
    <row r="408" spans="1:19" hidden="1" x14ac:dyDescent="0.3">
      <c r="A408" s="14">
        <v>43904.708333333336</v>
      </c>
      <c r="B408" s="13" t="s">
        <v>23</v>
      </c>
      <c r="C408" s="2">
        <v>12</v>
      </c>
      <c r="D408" s="13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3" t="s">
        <v>27</v>
      </c>
      <c r="S408" s="13" t="s">
        <v>27</v>
      </c>
    </row>
    <row r="409" spans="1:19" hidden="1" x14ac:dyDescent="0.3">
      <c r="A409" s="14">
        <v>43904.708333333336</v>
      </c>
      <c r="B409" s="13" t="s">
        <v>23</v>
      </c>
      <c r="C409" s="2">
        <v>7</v>
      </c>
      <c r="D409" s="13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3" t="s">
        <v>27</v>
      </c>
      <c r="S409" s="13" t="s">
        <v>27</v>
      </c>
    </row>
    <row r="410" spans="1:19" x14ac:dyDescent="0.3">
      <c r="A410" s="14">
        <v>43904.708333333336</v>
      </c>
      <c r="B410" s="13" t="s">
        <v>23</v>
      </c>
      <c r="C410" s="2">
        <v>3</v>
      </c>
      <c r="D410" s="13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3" t="s">
        <v>27</v>
      </c>
      <c r="S410" s="13" t="s">
        <v>27</v>
      </c>
    </row>
    <row r="411" spans="1:19" hidden="1" x14ac:dyDescent="0.3">
      <c r="A411" s="14">
        <v>43904.708333333336</v>
      </c>
      <c r="B411" s="13" t="s">
        <v>23</v>
      </c>
      <c r="C411" s="2">
        <v>11</v>
      </c>
      <c r="D411" s="13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3" t="s">
        <v>27</v>
      </c>
      <c r="S411" s="13" t="s">
        <v>27</v>
      </c>
    </row>
    <row r="412" spans="1:19" hidden="1" x14ac:dyDescent="0.3">
      <c r="A412" s="14">
        <v>43904.708333333336</v>
      </c>
      <c r="B412" s="13" t="s">
        <v>23</v>
      </c>
      <c r="C412" s="2">
        <v>14</v>
      </c>
      <c r="D412" s="13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3" t="s">
        <v>27</v>
      </c>
      <c r="S412" s="13" t="s">
        <v>27</v>
      </c>
    </row>
    <row r="413" spans="1:19" hidden="1" x14ac:dyDescent="0.3">
      <c r="A413" s="14">
        <v>43904.708333333336</v>
      </c>
      <c r="B413" s="13" t="s">
        <v>23</v>
      </c>
      <c r="C413" s="2">
        <v>1</v>
      </c>
      <c r="D413" s="13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3" t="s">
        <v>27</v>
      </c>
      <c r="S413" s="13" t="s">
        <v>27</v>
      </c>
    </row>
    <row r="414" spans="1:19" hidden="1" x14ac:dyDescent="0.3">
      <c r="A414" s="14">
        <v>43904.708333333336</v>
      </c>
      <c r="B414" s="13" t="s">
        <v>23</v>
      </c>
      <c r="C414" s="2">
        <v>16</v>
      </c>
      <c r="D414" s="13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3" t="s">
        <v>27</v>
      </c>
      <c r="S414" s="13" t="s">
        <v>27</v>
      </c>
    </row>
    <row r="415" spans="1:19" hidden="1" x14ac:dyDescent="0.3">
      <c r="A415" s="14">
        <v>43904.708333333336</v>
      </c>
      <c r="B415" s="13" t="s">
        <v>23</v>
      </c>
      <c r="C415" s="2">
        <v>20</v>
      </c>
      <c r="D415" s="13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3" t="s">
        <v>27</v>
      </c>
      <c r="S415" s="13" t="s">
        <v>27</v>
      </c>
    </row>
    <row r="416" spans="1:19" hidden="1" x14ac:dyDescent="0.3">
      <c r="A416" s="14">
        <v>43904.708333333336</v>
      </c>
      <c r="B416" s="13" t="s">
        <v>23</v>
      </c>
      <c r="C416" s="2">
        <v>19</v>
      </c>
      <c r="D416" s="13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3" t="s">
        <v>27</v>
      </c>
      <c r="S416" s="13" t="s">
        <v>27</v>
      </c>
    </row>
    <row r="417" spans="1:19" hidden="1" x14ac:dyDescent="0.3">
      <c r="A417" s="14">
        <v>43904.708333333336</v>
      </c>
      <c r="B417" s="13" t="s">
        <v>23</v>
      </c>
      <c r="C417" s="2">
        <v>9</v>
      </c>
      <c r="D417" s="13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3" t="s">
        <v>27</v>
      </c>
      <c r="S417" s="13" t="s">
        <v>27</v>
      </c>
    </row>
    <row r="418" spans="1:19" hidden="1" x14ac:dyDescent="0.3">
      <c r="A418" s="14">
        <v>43904.708333333336</v>
      </c>
      <c r="B418" s="13" t="s">
        <v>23</v>
      </c>
      <c r="C418" s="2">
        <v>4</v>
      </c>
      <c r="D418" s="13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3" t="s">
        <v>27</v>
      </c>
      <c r="S418" s="13" t="s">
        <v>27</v>
      </c>
    </row>
    <row r="419" spans="1:19" hidden="1" x14ac:dyDescent="0.3">
      <c r="A419" s="14">
        <v>43904.708333333336</v>
      </c>
      <c r="B419" s="13" t="s">
        <v>23</v>
      </c>
      <c r="C419" s="2">
        <v>10</v>
      </c>
      <c r="D419" s="13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3" t="s">
        <v>27</v>
      </c>
      <c r="S419" s="13" t="s">
        <v>27</v>
      </c>
    </row>
    <row r="420" spans="1:19" hidden="1" x14ac:dyDescent="0.3">
      <c r="A420" s="14">
        <v>43904.708333333336</v>
      </c>
      <c r="B420" s="13" t="s">
        <v>23</v>
      </c>
      <c r="C420" s="2">
        <v>2</v>
      </c>
      <c r="D420" s="13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3" t="s">
        <v>27</v>
      </c>
      <c r="S420" s="13" t="s">
        <v>27</v>
      </c>
    </row>
    <row r="421" spans="1:19" hidden="1" x14ac:dyDescent="0.3">
      <c r="A421" s="14">
        <v>43904.708333333336</v>
      </c>
      <c r="B421" s="13" t="s">
        <v>23</v>
      </c>
      <c r="C421" s="2">
        <v>5</v>
      </c>
      <c r="D421" s="13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3" t="s">
        <v>27</v>
      </c>
      <c r="S421" s="13" t="s">
        <v>27</v>
      </c>
    </row>
    <row r="422" spans="1:19" hidden="1" x14ac:dyDescent="0.3">
      <c r="A422" s="14">
        <v>43905.708333333336</v>
      </c>
      <c r="B422" s="13" t="s">
        <v>23</v>
      </c>
      <c r="C422" s="2">
        <v>13</v>
      </c>
      <c r="D422" s="13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3" t="s">
        <v>27</v>
      </c>
      <c r="S422" s="13" t="s">
        <v>27</v>
      </c>
    </row>
    <row r="423" spans="1:19" hidden="1" x14ac:dyDescent="0.3">
      <c r="A423" s="14">
        <v>43905.708333333336</v>
      </c>
      <c r="B423" s="13" t="s">
        <v>23</v>
      </c>
      <c r="C423" s="2">
        <v>17</v>
      </c>
      <c r="D423" s="13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3" t="s">
        <v>27</v>
      </c>
      <c r="S423" s="13" t="s">
        <v>27</v>
      </c>
    </row>
    <row r="424" spans="1:19" hidden="1" x14ac:dyDescent="0.3">
      <c r="A424" s="14">
        <v>43905.708333333336</v>
      </c>
      <c r="B424" s="13" t="s">
        <v>23</v>
      </c>
      <c r="C424" s="2">
        <v>4</v>
      </c>
      <c r="D424" s="13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3" t="s">
        <v>27</v>
      </c>
      <c r="S424" s="13" t="s">
        <v>27</v>
      </c>
    </row>
    <row r="425" spans="1:19" hidden="1" x14ac:dyDescent="0.3">
      <c r="A425" s="14">
        <v>43905.708333333336</v>
      </c>
      <c r="B425" s="13" t="s">
        <v>23</v>
      </c>
      <c r="C425" s="2">
        <v>18</v>
      </c>
      <c r="D425" s="13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3" t="s">
        <v>27</v>
      </c>
      <c r="S425" s="13" t="s">
        <v>27</v>
      </c>
    </row>
    <row r="426" spans="1:19" hidden="1" x14ac:dyDescent="0.3">
      <c r="A426" s="14">
        <v>43905.708333333336</v>
      </c>
      <c r="B426" s="13" t="s">
        <v>23</v>
      </c>
      <c r="C426" s="2">
        <v>15</v>
      </c>
      <c r="D426" s="13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3" t="s">
        <v>27</v>
      </c>
      <c r="S426" s="13" t="s">
        <v>27</v>
      </c>
    </row>
    <row r="427" spans="1:19" hidden="1" x14ac:dyDescent="0.3">
      <c r="A427" s="14">
        <v>43905.708333333336</v>
      </c>
      <c r="B427" s="13" t="s">
        <v>23</v>
      </c>
      <c r="C427" s="2">
        <v>8</v>
      </c>
      <c r="D427" s="13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3" t="s">
        <v>27</v>
      </c>
      <c r="S427" s="13" t="s">
        <v>27</v>
      </c>
    </row>
    <row r="428" spans="1:19" hidden="1" x14ac:dyDescent="0.3">
      <c r="A428" s="14">
        <v>43905.708333333336</v>
      </c>
      <c r="B428" s="13" t="s">
        <v>23</v>
      </c>
      <c r="C428" s="2">
        <v>6</v>
      </c>
      <c r="D428" s="13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3" t="s">
        <v>27</v>
      </c>
      <c r="S428" s="13" t="s">
        <v>27</v>
      </c>
    </row>
    <row r="429" spans="1:19" hidden="1" x14ac:dyDescent="0.3">
      <c r="A429" s="14">
        <v>43905.708333333336</v>
      </c>
      <c r="B429" s="13" t="s">
        <v>23</v>
      </c>
      <c r="C429" s="2">
        <v>12</v>
      </c>
      <c r="D429" s="13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3" t="s">
        <v>27</v>
      </c>
      <c r="S429" s="13" t="s">
        <v>27</v>
      </c>
    </row>
    <row r="430" spans="1:19" hidden="1" x14ac:dyDescent="0.3">
      <c r="A430" s="14">
        <v>43905.708333333336</v>
      </c>
      <c r="B430" s="13" t="s">
        <v>23</v>
      </c>
      <c r="C430" s="2">
        <v>7</v>
      </c>
      <c r="D430" s="13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3" t="s">
        <v>27</v>
      </c>
      <c r="S430" s="13" t="s">
        <v>27</v>
      </c>
    </row>
    <row r="431" spans="1:19" x14ac:dyDescent="0.3">
      <c r="A431" s="14">
        <v>43905.708333333336</v>
      </c>
      <c r="B431" s="13" t="s">
        <v>23</v>
      </c>
      <c r="C431" s="2">
        <v>3</v>
      </c>
      <c r="D431" s="13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3" t="s">
        <v>27</v>
      </c>
      <c r="S431" s="13" t="s">
        <v>27</v>
      </c>
    </row>
    <row r="432" spans="1:19" hidden="1" x14ac:dyDescent="0.3">
      <c r="A432" s="14">
        <v>43905.708333333336</v>
      </c>
      <c r="B432" s="13" t="s">
        <v>23</v>
      </c>
      <c r="C432" s="2">
        <v>11</v>
      </c>
      <c r="D432" s="13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3" t="s">
        <v>27</v>
      </c>
      <c r="S432" s="13" t="s">
        <v>27</v>
      </c>
    </row>
    <row r="433" spans="1:19" hidden="1" x14ac:dyDescent="0.3">
      <c r="A433" s="14">
        <v>43905.708333333336</v>
      </c>
      <c r="B433" s="13" t="s">
        <v>23</v>
      </c>
      <c r="C433" s="2">
        <v>14</v>
      </c>
      <c r="D433" s="13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3" t="s">
        <v>27</v>
      </c>
      <c r="S433" s="13" t="s">
        <v>27</v>
      </c>
    </row>
    <row r="434" spans="1:19" hidden="1" x14ac:dyDescent="0.3">
      <c r="A434" s="14">
        <v>43905.708333333336</v>
      </c>
      <c r="B434" s="13" t="s">
        <v>23</v>
      </c>
      <c r="C434" s="2">
        <v>1</v>
      </c>
      <c r="D434" s="13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3" t="s">
        <v>27</v>
      </c>
      <c r="S434" s="13" t="s">
        <v>27</v>
      </c>
    </row>
    <row r="435" spans="1:19" hidden="1" x14ac:dyDescent="0.3">
      <c r="A435" s="14">
        <v>43905.708333333336</v>
      </c>
      <c r="B435" s="13" t="s">
        <v>23</v>
      </c>
      <c r="C435" s="2">
        <v>16</v>
      </c>
      <c r="D435" s="13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3" t="s">
        <v>27</v>
      </c>
      <c r="S435" s="13" t="s">
        <v>27</v>
      </c>
    </row>
    <row r="436" spans="1:19" hidden="1" x14ac:dyDescent="0.3">
      <c r="A436" s="14">
        <v>43905.708333333336</v>
      </c>
      <c r="B436" s="13" t="s">
        <v>23</v>
      </c>
      <c r="C436" s="2">
        <v>20</v>
      </c>
      <c r="D436" s="13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3" t="s">
        <v>27</v>
      </c>
      <c r="S436" s="13" t="s">
        <v>27</v>
      </c>
    </row>
    <row r="437" spans="1:19" hidden="1" x14ac:dyDescent="0.3">
      <c r="A437" s="14">
        <v>43905.708333333336</v>
      </c>
      <c r="B437" s="13" t="s">
        <v>23</v>
      </c>
      <c r="C437" s="2">
        <v>19</v>
      </c>
      <c r="D437" s="13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3" t="s">
        <v>27</v>
      </c>
      <c r="S437" s="13" t="s">
        <v>27</v>
      </c>
    </row>
    <row r="438" spans="1:19" hidden="1" x14ac:dyDescent="0.3">
      <c r="A438" s="14">
        <v>43905.708333333336</v>
      </c>
      <c r="B438" s="13" t="s">
        <v>23</v>
      </c>
      <c r="C438" s="2">
        <v>9</v>
      </c>
      <c r="D438" s="13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3" t="s">
        <v>27</v>
      </c>
      <c r="S438" s="13" t="s">
        <v>27</v>
      </c>
    </row>
    <row r="439" spans="1:19" hidden="1" x14ac:dyDescent="0.3">
      <c r="A439" s="14">
        <v>43905.708333333336</v>
      </c>
      <c r="B439" s="13" t="s">
        <v>23</v>
      </c>
      <c r="C439" s="2">
        <v>4</v>
      </c>
      <c r="D439" s="13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3" t="s">
        <v>27</v>
      </c>
      <c r="S439" s="13" t="s">
        <v>27</v>
      </c>
    </row>
    <row r="440" spans="1:19" hidden="1" x14ac:dyDescent="0.3">
      <c r="A440" s="14">
        <v>43905.708333333336</v>
      </c>
      <c r="B440" s="13" t="s">
        <v>23</v>
      </c>
      <c r="C440" s="2">
        <v>10</v>
      </c>
      <c r="D440" s="13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3" t="s">
        <v>27</v>
      </c>
      <c r="S440" s="13" t="s">
        <v>27</v>
      </c>
    </row>
    <row r="441" spans="1:19" hidden="1" x14ac:dyDescent="0.3">
      <c r="A441" s="14">
        <v>43905.708333333336</v>
      </c>
      <c r="B441" s="13" t="s">
        <v>23</v>
      </c>
      <c r="C441" s="2">
        <v>2</v>
      </c>
      <c r="D441" s="13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3" t="s">
        <v>27</v>
      </c>
      <c r="S441" s="13" t="s">
        <v>27</v>
      </c>
    </row>
    <row r="442" spans="1:19" hidden="1" x14ac:dyDescent="0.3">
      <c r="A442" s="14">
        <v>43905.708333333336</v>
      </c>
      <c r="B442" s="13" t="s">
        <v>23</v>
      </c>
      <c r="C442" s="2">
        <v>5</v>
      </c>
      <c r="D442" s="13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3" t="s">
        <v>27</v>
      </c>
      <c r="S442" s="13" t="s">
        <v>27</v>
      </c>
    </row>
    <row r="443" spans="1:19" hidden="1" x14ac:dyDescent="0.3">
      <c r="A443" s="14">
        <v>43906.708333333336</v>
      </c>
      <c r="B443" s="13" t="s">
        <v>23</v>
      </c>
      <c r="C443" s="2">
        <v>13</v>
      </c>
      <c r="D443" s="13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3" t="s">
        <v>27</v>
      </c>
      <c r="S443" s="13" t="s">
        <v>27</v>
      </c>
    </row>
    <row r="444" spans="1:19" hidden="1" x14ac:dyDescent="0.3">
      <c r="A444" s="14">
        <v>43906.708333333336</v>
      </c>
      <c r="B444" s="13" t="s">
        <v>23</v>
      </c>
      <c r="C444" s="2">
        <v>17</v>
      </c>
      <c r="D444" s="13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3" t="s">
        <v>27</v>
      </c>
      <c r="S444" s="13" t="s">
        <v>27</v>
      </c>
    </row>
    <row r="445" spans="1:19" hidden="1" x14ac:dyDescent="0.3">
      <c r="A445" s="14">
        <v>43906.708333333336</v>
      </c>
      <c r="B445" s="13" t="s">
        <v>23</v>
      </c>
      <c r="C445" s="2">
        <v>4</v>
      </c>
      <c r="D445" s="13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3" t="s">
        <v>27</v>
      </c>
      <c r="S445" s="13" t="s">
        <v>27</v>
      </c>
    </row>
    <row r="446" spans="1:19" hidden="1" x14ac:dyDescent="0.3">
      <c r="A446" s="14">
        <v>43906.708333333336</v>
      </c>
      <c r="B446" s="13" t="s">
        <v>23</v>
      </c>
      <c r="C446" s="2">
        <v>18</v>
      </c>
      <c r="D446" s="13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3" t="s">
        <v>27</v>
      </c>
      <c r="S446" s="13" t="s">
        <v>27</v>
      </c>
    </row>
    <row r="447" spans="1:19" hidden="1" x14ac:dyDescent="0.3">
      <c r="A447" s="14">
        <v>43906.708333333336</v>
      </c>
      <c r="B447" s="13" t="s">
        <v>23</v>
      </c>
      <c r="C447" s="2">
        <v>15</v>
      </c>
      <c r="D447" s="13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3" t="s">
        <v>27</v>
      </c>
      <c r="S447" s="13" t="s">
        <v>27</v>
      </c>
    </row>
    <row r="448" spans="1:19" hidden="1" x14ac:dyDescent="0.3">
      <c r="A448" s="14">
        <v>43906.708333333336</v>
      </c>
      <c r="B448" s="13" t="s">
        <v>23</v>
      </c>
      <c r="C448" s="2">
        <v>8</v>
      </c>
      <c r="D448" s="13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3" t="s">
        <v>27</v>
      </c>
      <c r="S448" s="13" t="s">
        <v>27</v>
      </c>
    </row>
    <row r="449" spans="1:19" hidden="1" x14ac:dyDescent="0.3">
      <c r="A449" s="14">
        <v>43906.708333333336</v>
      </c>
      <c r="B449" s="13" t="s">
        <v>23</v>
      </c>
      <c r="C449" s="2">
        <v>6</v>
      </c>
      <c r="D449" s="13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3" t="s">
        <v>27</v>
      </c>
      <c r="S449" s="13" t="s">
        <v>27</v>
      </c>
    </row>
    <row r="450" spans="1:19" hidden="1" x14ac:dyDescent="0.3">
      <c r="A450" s="14">
        <v>43906.708333333336</v>
      </c>
      <c r="B450" s="13" t="s">
        <v>23</v>
      </c>
      <c r="C450" s="2">
        <v>12</v>
      </c>
      <c r="D450" s="13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3" t="s">
        <v>27</v>
      </c>
      <c r="S450" s="13" t="s">
        <v>27</v>
      </c>
    </row>
    <row r="451" spans="1:19" hidden="1" x14ac:dyDescent="0.3">
      <c r="A451" s="14">
        <v>43906.708333333336</v>
      </c>
      <c r="B451" s="13" t="s">
        <v>23</v>
      </c>
      <c r="C451" s="2">
        <v>7</v>
      </c>
      <c r="D451" s="13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3" t="s">
        <v>27</v>
      </c>
      <c r="S451" s="13" t="s">
        <v>27</v>
      </c>
    </row>
    <row r="452" spans="1:19" x14ac:dyDescent="0.3">
      <c r="A452" s="14">
        <v>43906.708333333336</v>
      </c>
      <c r="B452" s="13" t="s">
        <v>23</v>
      </c>
      <c r="C452" s="2">
        <v>3</v>
      </c>
      <c r="D452" s="13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3" t="s">
        <v>27</v>
      </c>
      <c r="S452" s="13" t="s">
        <v>27</v>
      </c>
    </row>
    <row r="453" spans="1:19" hidden="1" x14ac:dyDescent="0.3">
      <c r="A453" s="14">
        <v>43906.708333333336</v>
      </c>
      <c r="B453" s="13" t="s">
        <v>23</v>
      </c>
      <c r="C453" s="2">
        <v>11</v>
      </c>
      <c r="D453" s="13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3" t="s">
        <v>27</v>
      </c>
      <c r="S453" s="13" t="s">
        <v>27</v>
      </c>
    </row>
    <row r="454" spans="1:19" hidden="1" x14ac:dyDescent="0.3">
      <c r="A454" s="14">
        <v>43906.708333333336</v>
      </c>
      <c r="B454" s="13" t="s">
        <v>23</v>
      </c>
      <c r="C454" s="2">
        <v>14</v>
      </c>
      <c r="D454" s="13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3" t="s">
        <v>27</v>
      </c>
      <c r="S454" s="13" t="s">
        <v>27</v>
      </c>
    </row>
    <row r="455" spans="1:19" hidden="1" x14ac:dyDescent="0.3">
      <c r="A455" s="14">
        <v>43906.708333333336</v>
      </c>
      <c r="B455" s="13" t="s">
        <v>23</v>
      </c>
      <c r="C455" s="2">
        <v>1</v>
      </c>
      <c r="D455" s="13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3" t="s">
        <v>27</v>
      </c>
      <c r="S455" s="13" t="s">
        <v>27</v>
      </c>
    </row>
    <row r="456" spans="1:19" hidden="1" x14ac:dyDescent="0.3">
      <c r="A456" s="14">
        <v>43906.708333333336</v>
      </c>
      <c r="B456" s="13" t="s">
        <v>23</v>
      </c>
      <c r="C456" s="2">
        <v>16</v>
      </c>
      <c r="D456" s="13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3" t="s">
        <v>70</v>
      </c>
      <c r="S456" s="13" t="s">
        <v>71</v>
      </c>
    </row>
    <row r="457" spans="1:19" hidden="1" x14ac:dyDescent="0.3">
      <c r="A457" s="14">
        <v>43906.708333333336</v>
      </c>
      <c r="B457" s="13" t="s">
        <v>23</v>
      </c>
      <c r="C457" s="2">
        <v>20</v>
      </c>
      <c r="D457" s="13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3" t="s">
        <v>27</v>
      </c>
      <c r="S457" s="13" t="s">
        <v>27</v>
      </c>
    </row>
    <row r="458" spans="1:19" hidden="1" x14ac:dyDescent="0.3">
      <c r="A458" s="14">
        <v>43906.708333333336</v>
      </c>
      <c r="B458" s="13" t="s">
        <v>23</v>
      </c>
      <c r="C458" s="2">
        <v>19</v>
      </c>
      <c r="D458" s="13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3" t="s">
        <v>27</v>
      </c>
      <c r="S458" s="13" t="s">
        <v>27</v>
      </c>
    </row>
    <row r="459" spans="1:19" hidden="1" x14ac:dyDescent="0.3">
      <c r="A459" s="14">
        <v>43906.708333333336</v>
      </c>
      <c r="B459" s="13" t="s">
        <v>23</v>
      </c>
      <c r="C459" s="2">
        <v>9</v>
      </c>
      <c r="D459" s="13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3" t="s">
        <v>27</v>
      </c>
      <c r="S459" s="13" t="s">
        <v>27</v>
      </c>
    </row>
    <row r="460" spans="1:19" hidden="1" x14ac:dyDescent="0.3">
      <c r="A460" s="14">
        <v>43906.708333333336</v>
      </c>
      <c r="B460" s="13" t="s">
        <v>23</v>
      </c>
      <c r="C460" s="2">
        <v>4</v>
      </c>
      <c r="D460" s="13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3" t="s">
        <v>72</v>
      </c>
      <c r="S460" s="13" t="s">
        <v>73</v>
      </c>
    </row>
    <row r="461" spans="1:19" hidden="1" x14ac:dyDescent="0.3">
      <c r="A461" s="14">
        <v>43906.708333333336</v>
      </c>
      <c r="B461" s="13" t="s">
        <v>23</v>
      </c>
      <c r="C461" s="2">
        <v>10</v>
      </c>
      <c r="D461" s="13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3" t="s">
        <v>27</v>
      </c>
      <c r="S461" s="13" t="s">
        <v>27</v>
      </c>
    </row>
    <row r="462" spans="1:19" hidden="1" x14ac:dyDescent="0.3">
      <c r="A462" s="14">
        <v>43906.708333333336</v>
      </c>
      <c r="B462" s="13" t="s">
        <v>23</v>
      </c>
      <c r="C462" s="2">
        <v>2</v>
      </c>
      <c r="D462" s="13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3" t="s">
        <v>27</v>
      </c>
      <c r="S462" s="13" t="s">
        <v>27</v>
      </c>
    </row>
    <row r="463" spans="1:19" hidden="1" x14ac:dyDescent="0.3">
      <c r="A463" s="14">
        <v>43906.708333333336</v>
      </c>
      <c r="B463" s="13" t="s">
        <v>23</v>
      </c>
      <c r="C463" s="2">
        <v>5</v>
      </c>
      <c r="D463" s="13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3" t="s">
        <v>27</v>
      </c>
      <c r="S463" s="13" t="s">
        <v>27</v>
      </c>
    </row>
    <row r="464" spans="1:19" hidden="1" x14ac:dyDescent="0.3">
      <c r="A464" s="14">
        <v>43907.708333333336</v>
      </c>
      <c r="B464" s="13" t="s">
        <v>23</v>
      </c>
      <c r="C464" s="2">
        <v>13</v>
      </c>
      <c r="D464" s="13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3" t="s">
        <v>27</v>
      </c>
      <c r="S464" s="13" t="s">
        <v>27</v>
      </c>
    </row>
    <row r="465" spans="1:19" hidden="1" x14ac:dyDescent="0.3">
      <c r="A465" s="14">
        <v>43907.708333333336</v>
      </c>
      <c r="B465" s="13" t="s">
        <v>23</v>
      </c>
      <c r="C465" s="2">
        <v>17</v>
      </c>
      <c r="D465" s="13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3" t="s">
        <v>27</v>
      </c>
      <c r="S465" s="13" t="s">
        <v>27</v>
      </c>
    </row>
    <row r="466" spans="1:19" hidden="1" x14ac:dyDescent="0.3">
      <c r="A466" s="14">
        <v>43907.708333333336</v>
      </c>
      <c r="B466" s="13" t="s">
        <v>23</v>
      </c>
      <c r="C466" s="2">
        <v>4</v>
      </c>
      <c r="D466" s="13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3" t="s">
        <v>27</v>
      </c>
      <c r="S466" s="13" t="s">
        <v>27</v>
      </c>
    </row>
    <row r="467" spans="1:19" hidden="1" x14ac:dyDescent="0.3">
      <c r="A467" s="14">
        <v>43907.708333333336</v>
      </c>
      <c r="B467" s="13" t="s">
        <v>23</v>
      </c>
      <c r="C467" s="2">
        <v>18</v>
      </c>
      <c r="D467" s="13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3" t="s">
        <v>27</v>
      </c>
      <c r="S467" s="13" t="s">
        <v>27</v>
      </c>
    </row>
    <row r="468" spans="1:19" hidden="1" x14ac:dyDescent="0.3">
      <c r="A468" s="14">
        <v>43907.708333333336</v>
      </c>
      <c r="B468" s="13" t="s">
        <v>23</v>
      </c>
      <c r="C468" s="2">
        <v>15</v>
      </c>
      <c r="D468" s="13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3" t="s">
        <v>27</v>
      </c>
      <c r="S468" s="13" t="s">
        <v>27</v>
      </c>
    </row>
    <row r="469" spans="1:19" hidden="1" x14ac:dyDescent="0.3">
      <c r="A469" s="14">
        <v>43907.708333333336</v>
      </c>
      <c r="B469" s="13" t="s">
        <v>23</v>
      </c>
      <c r="C469" s="2">
        <v>8</v>
      </c>
      <c r="D469" s="13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3" t="s">
        <v>74</v>
      </c>
      <c r="S469" s="13" t="s">
        <v>75</v>
      </c>
    </row>
    <row r="470" spans="1:19" hidden="1" x14ac:dyDescent="0.3">
      <c r="A470" s="14">
        <v>43907.708333333336</v>
      </c>
      <c r="B470" s="13" t="s">
        <v>23</v>
      </c>
      <c r="C470" s="2">
        <v>6</v>
      </c>
      <c r="D470" s="13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3" t="s">
        <v>27</v>
      </c>
      <c r="S470" s="13" t="s">
        <v>27</v>
      </c>
    </row>
    <row r="471" spans="1:19" hidden="1" x14ac:dyDescent="0.3">
      <c r="A471" s="14">
        <v>43907.708333333336</v>
      </c>
      <c r="B471" s="13" t="s">
        <v>23</v>
      </c>
      <c r="C471" s="2">
        <v>12</v>
      </c>
      <c r="D471" s="13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3" t="s">
        <v>27</v>
      </c>
      <c r="S471" s="13" t="s">
        <v>27</v>
      </c>
    </row>
    <row r="472" spans="1:19" hidden="1" x14ac:dyDescent="0.3">
      <c r="A472" s="14">
        <v>43907.708333333336</v>
      </c>
      <c r="B472" s="13" t="s">
        <v>23</v>
      </c>
      <c r="C472" s="2">
        <v>7</v>
      </c>
      <c r="D472" s="13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3" t="s">
        <v>27</v>
      </c>
      <c r="S472" s="13" t="s">
        <v>27</v>
      </c>
    </row>
    <row r="473" spans="1:19" x14ac:dyDescent="0.3">
      <c r="A473" s="14">
        <v>43907.708333333336</v>
      </c>
      <c r="B473" s="13" t="s">
        <v>23</v>
      </c>
      <c r="C473" s="2">
        <v>3</v>
      </c>
      <c r="D473" s="13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3" t="s">
        <v>27</v>
      </c>
      <c r="S473" s="13" t="s">
        <v>27</v>
      </c>
    </row>
    <row r="474" spans="1:19" hidden="1" x14ac:dyDescent="0.3">
      <c r="A474" s="14">
        <v>43907.708333333336</v>
      </c>
      <c r="B474" s="13" t="s">
        <v>23</v>
      </c>
      <c r="C474" s="2">
        <v>11</v>
      </c>
      <c r="D474" s="13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3" t="s">
        <v>27</v>
      </c>
      <c r="S474" s="13" t="s">
        <v>27</v>
      </c>
    </row>
    <row r="475" spans="1:19" hidden="1" x14ac:dyDescent="0.3">
      <c r="A475" s="14">
        <v>43907.708333333336</v>
      </c>
      <c r="B475" s="13" t="s">
        <v>23</v>
      </c>
      <c r="C475" s="2">
        <v>14</v>
      </c>
      <c r="D475" s="13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3" t="s">
        <v>27</v>
      </c>
      <c r="S475" s="13" t="s">
        <v>27</v>
      </c>
    </row>
    <row r="476" spans="1:19" hidden="1" x14ac:dyDescent="0.3">
      <c r="A476" s="14">
        <v>43907.708333333336</v>
      </c>
      <c r="B476" s="13" t="s">
        <v>23</v>
      </c>
      <c r="C476" s="2">
        <v>1</v>
      </c>
      <c r="D476" s="13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3" t="s">
        <v>27</v>
      </c>
      <c r="S476" s="13" t="s">
        <v>27</v>
      </c>
    </row>
    <row r="477" spans="1:19" hidden="1" x14ac:dyDescent="0.3">
      <c r="A477" s="14">
        <v>43907.708333333336</v>
      </c>
      <c r="B477" s="13" t="s">
        <v>23</v>
      </c>
      <c r="C477" s="2">
        <v>16</v>
      </c>
      <c r="D477" s="13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3" t="s">
        <v>27</v>
      </c>
      <c r="S477" s="13" t="s">
        <v>27</v>
      </c>
    </row>
    <row r="478" spans="1:19" hidden="1" x14ac:dyDescent="0.3">
      <c r="A478" s="14">
        <v>43907.708333333336</v>
      </c>
      <c r="B478" s="13" t="s">
        <v>23</v>
      </c>
      <c r="C478" s="2">
        <v>20</v>
      </c>
      <c r="D478" s="13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3" t="s">
        <v>27</v>
      </c>
      <c r="S478" s="13" t="s">
        <v>27</v>
      </c>
    </row>
    <row r="479" spans="1:19" hidden="1" x14ac:dyDescent="0.3">
      <c r="A479" s="14">
        <v>43907.708333333336</v>
      </c>
      <c r="B479" s="13" t="s">
        <v>23</v>
      </c>
      <c r="C479" s="2">
        <v>19</v>
      </c>
      <c r="D479" s="13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3" t="s">
        <v>27</v>
      </c>
      <c r="S479" s="13" t="s">
        <v>27</v>
      </c>
    </row>
    <row r="480" spans="1:19" hidden="1" x14ac:dyDescent="0.3">
      <c r="A480" s="14">
        <v>43907.708333333336</v>
      </c>
      <c r="B480" s="13" t="s">
        <v>23</v>
      </c>
      <c r="C480" s="2">
        <v>9</v>
      </c>
      <c r="D480" s="13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3" t="s">
        <v>27</v>
      </c>
      <c r="S480" s="13" t="s">
        <v>27</v>
      </c>
    </row>
    <row r="481" spans="1:19" hidden="1" x14ac:dyDescent="0.3">
      <c r="A481" s="14">
        <v>43907.708333333336</v>
      </c>
      <c r="B481" s="13" t="s">
        <v>23</v>
      </c>
      <c r="C481" s="2">
        <v>4</v>
      </c>
      <c r="D481" s="13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3" t="s">
        <v>27</v>
      </c>
      <c r="S481" s="13" t="s">
        <v>27</v>
      </c>
    </row>
    <row r="482" spans="1:19" hidden="1" x14ac:dyDescent="0.3">
      <c r="A482" s="14">
        <v>43907.708333333336</v>
      </c>
      <c r="B482" s="13" t="s">
        <v>23</v>
      </c>
      <c r="C482" s="2">
        <v>10</v>
      </c>
      <c r="D482" s="13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3" t="s">
        <v>27</v>
      </c>
      <c r="S482" s="13" t="s">
        <v>27</v>
      </c>
    </row>
    <row r="483" spans="1:19" hidden="1" x14ac:dyDescent="0.3">
      <c r="A483" s="14">
        <v>43907.708333333336</v>
      </c>
      <c r="B483" s="13" t="s">
        <v>23</v>
      </c>
      <c r="C483" s="2">
        <v>2</v>
      </c>
      <c r="D483" s="13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3" t="s">
        <v>27</v>
      </c>
      <c r="S483" s="13" t="s">
        <v>27</v>
      </c>
    </row>
    <row r="484" spans="1:19" hidden="1" x14ac:dyDescent="0.3">
      <c r="A484" s="14">
        <v>43907.708333333336</v>
      </c>
      <c r="B484" s="13" t="s">
        <v>23</v>
      </c>
      <c r="C484" s="2">
        <v>5</v>
      </c>
      <c r="D484" s="13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3" t="s">
        <v>27</v>
      </c>
      <c r="S484" s="13" t="s">
        <v>27</v>
      </c>
    </row>
    <row r="485" spans="1:19" hidden="1" x14ac:dyDescent="0.3">
      <c r="A485" s="14">
        <v>43908.708333333336</v>
      </c>
      <c r="B485" s="13" t="s">
        <v>23</v>
      </c>
      <c r="C485" s="2">
        <v>13</v>
      </c>
      <c r="D485" s="13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3" t="s">
        <v>27</v>
      </c>
      <c r="S485" s="13" t="s">
        <v>27</v>
      </c>
    </row>
    <row r="486" spans="1:19" hidden="1" x14ac:dyDescent="0.3">
      <c r="A486" s="14">
        <v>43908.708333333336</v>
      </c>
      <c r="B486" s="13" t="s">
        <v>23</v>
      </c>
      <c r="C486" s="2">
        <v>17</v>
      </c>
      <c r="D486" s="13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3" t="s">
        <v>27</v>
      </c>
      <c r="S486" s="13" t="s">
        <v>27</v>
      </c>
    </row>
    <row r="487" spans="1:19" hidden="1" x14ac:dyDescent="0.3">
      <c r="A487" s="14">
        <v>43908.708333333336</v>
      </c>
      <c r="B487" s="13" t="s">
        <v>23</v>
      </c>
      <c r="C487" s="2">
        <v>4</v>
      </c>
      <c r="D487" s="13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3" t="s">
        <v>27</v>
      </c>
      <c r="S487" s="13" t="s">
        <v>27</v>
      </c>
    </row>
    <row r="488" spans="1:19" hidden="1" x14ac:dyDescent="0.3">
      <c r="A488" s="14">
        <v>43908.708333333336</v>
      </c>
      <c r="B488" s="13" t="s">
        <v>23</v>
      </c>
      <c r="C488" s="2">
        <v>18</v>
      </c>
      <c r="D488" s="13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3" t="s">
        <v>27</v>
      </c>
      <c r="S488" s="13" t="s">
        <v>27</v>
      </c>
    </row>
    <row r="489" spans="1:19" hidden="1" x14ac:dyDescent="0.3">
      <c r="A489" s="14">
        <v>43908.708333333336</v>
      </c>
      <c r="B489" s="13" t="s">
        <v>23</v>
      </c>
      <c r="C489" s="2">
        <v>15</v>
      </c>
      <c r="D489" s="13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3" t="s">
        <v>76</v>
      </c>
      <c r="S489" s="13" t="s">
        <v>77</v>
      </c>
    </row>
    <row r="490" spans="1:19" hidden="1" x14ac:dyDescent="0.3">
      <c r="A490" s="14">
        <v>43908.708333333336</v>
      </c>
      <c r="B490" s="13" t="s">
        <v>23</v>
      </c>
      <c r="C490" s="2">
        <v>8</v>
      </c>
      <c r="D490" s="13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3" t="s">
        <v>78</v>
      </c>
      <c r="S490" s="13" t="s">
        <v>79</v>
      </c>
    </row>
    <row r="491" spans="1:19" hidden="1" x14ac:dyDescent="0.3">
      <c r="A491" s="14">
        <v>43908.708333333336</v>
      </c>
      <c r="B491" s="13" t="s">
        <v>23</v>
      </c>
      <c r="C491" s="2">
        <v>6</v>
      </c>
      <c r="D491" s="13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3" t="s">
        <v>27</v>
      </c>
      <c r="S491" s="13" t="s">
        <v>27</v>
      </c>
    </row>
    <row r="492" spans="1:19" hidden="1" x14ac:dyDescent="0.3">
      <c r="A492" s="14">
        <v>43908.708333333336</v>
      </c>
      <c r="B492" s="13" t="s">
        <v>23</v>
      </c>
      <c r="C492" s="2">
        <v>12</v>
      </c>
      <c r="D492" s="13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3" t="s">
        <v>27</v>
      </c>
      <c r="S492" s="13" t="s">
        <v>27</v>
      </c>
    </row>
    <row r="493" spans="1:19" hidden="1" x14ac:dyDescent="0.3">
      <c r="A493" s="14">
        <v>43908.708333333336</v>
      </c>
      <c r="B493" s="13" t="s">
        <v>23</v>
      </c>
      <c r="C493" s="2">
        <v>7</v>
      </c>
      <c r="D493" s="13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3" t="s">
        <v>27</v>
      </c>
      <c r="S493" s="13" t="s">
        <v>27</v>
      </c>
    </row>
    <row r="494" spans="1:19" x14ac:dyDescent="0.3">
      <c r="A494" s="14">
        <v>43908.708333333336</v>
      </c>
      <c r="B494" s="13" t="s">
        <v>23</v>
      </c>
      <c r="C494" s="2">
        <v>3</v>
      </c>
      <c r="D494" s="13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3" t="s">
        <v>27</v>
      </c>
      <c r="S494" s="13" t="s">
        <v>27</v>
      </c>
    </row>
    <row r="495" spans="1:19" hidden="1" x14ac:dyDescent="0.3">
      <c r="A495" s="14">
        <v>43908.708333333336</v>
      </c>
      <c r="B495" s="13" t="s">
        <v>23</v>
      </c>
      <c r="C495" s="2">
        <v>11</v>
      </c>
      <c r="D495" s="13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3" t="s">
        <v>27</v>
      </c>
      <c r="S495" s="13" t="s">
        <v>27</v>
      </c>
    </row>
    <row r="496" spans="1:19" hidden="1" x14ac:dyDescent="0.3">
      <c r="A496" s="14">
        <v>43908.708333333336</v>
      </c>
      <c r="B496" s="13" t="s">
        <v>23</v>
      </c>
      <c r="C496" s="2">
        <v>14</v>
      </c>
      <c r="D496" s="13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3" t="s">
        <v>27</v>
      </c>
      <c r="S496" s="13" t="s">
        <v>27</v>
      </c>
    </row>
    <row r="497" spans="1:19" hidden="1" x14ac:dyDescent="0.3">
      <c r="A497" s="14">
        <v>43908.708333333336</v>
      </c>
      <c r="B497" s="13" t="s">
        <v>23</v>
      </c>
      <c r="C497" s="2">
        <v>1</v>
      </c>
      <c r="D497" s="13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3" t="s">
        <v>27</v>
      </c>
      <c r="S497" s="13" t="s">
        <v>27</v>
      </c>
    </row>
    <row r="498" spans="1:19" hidden="1" x14ac:dyDescent="0.3">
      <c r="A498" s="14">
        <v>43908.708333333336</v>
      </c>
      <c r="B498" s="13" t="s">
        <v>23</v>
      </c>
      <c r="C498" s="2">
        <v>16</v>
      </c>
      <c r="D498" s="13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3" t="s">
        <v>27</v>
      </c>
      <c r="S498" s="13" t="s">
        <v>27</v>
      </c>
    </row>
    <row r="499" spans="1:19" hidden="1" x14ac:dyDescent="0.3">
      <c r="A499" s="14">
        <v>43908.708333333336</v>
      </c>
      <c r="B499" s="13" t="s">
        <v>23</v>
      </c>
      <c r="C499" s="2">
        <v>20</v>
      </c>
      <c r="D499" s="13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3" t="s">
        <v>27</v>
      </c>
      <c r="S499" s="13" t="s">
        <v>27</v>
      </c>
    </row>
    <row r="500" spans="1:19" hidden="1" x14ac:dyDescent="0.3">
      <c r="A500" s="14">
        <v>43908.708333333336</v>
      </c>
      <c r="B500" s="13" t="s">
        <v>23</v>
      </c>
      <c r="C500" s="2">
        <v>19</v>
      </c>
      <c r="D500" s="13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3" t="s">
        <v>27</v>
      </c>
      <c r="S500" s="13" t="s">
        <v>27</v>
      </c>
    </row>
    <row r="501" spans="1:19" hidden="1" x14ac:dyDescent="0.3">
      <c r="A501" s="14">
        <v>43908.708333333336</v>
      </c>
      <c r="B501" s="13" t="s">
        <v>23</v>
      </c>
      <c r="C501" s="2">
        <v>9</v>
      </c>
      <c r="D501" s="13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3" t="s">
        <v>27</v>
      </c>
      <c r="S501" s="13" t="s">
        <v>27</v>
      </c>
    </row>
    <row r="502" spans="1:19" hidden="1" x14ac:dyDescent="0.3">
      <c r="A502" s="14">
        <v>43908.708333333336</v>
      </c>
      <c r="B502" s="13" t="s">
        <v>23</v>
      </c>
      <c r="C502" s="2">
        <v>4</v>
      </c>
      <c r="D502" s="13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3" t="s">
        <v>27</v>
      </c>
      <c r="S502" s="13" t="s">
        <v>27</v>
      </c>
    </row>
    <row r="503" spans="1:19" hidden="1" x14ac:dyDescent="0.3">
      <c r="A503" s="14">
        <v>43908.708333333336</v>
      </c>
      <c r="B503" s="13" t="s">
        <v>23</v>
      </c>
      <c r="C503" s="2">
        <v>10</v>
      </c>
      <c r="D503" s="13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3" t="s">
        <v>27</v>
      </c>
      <c r="S503" s="13" t="s">
        <v>27</v>
      </c>
    </row>
    <row r="504" spans="1:19" hidden="1" x14ac:dyDescent="0.3">
      <c r="A504" s="14">
        <v>43908.708333333336</v>
      </c>
      <c r="B504" s="13" t="s">
        <v>23</v>
      </c>
      <c r="C504" s="2">
        <v>2</v>
      </c>
      <c r="D504" s="13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3" t="s">
        <v>27</v>
      </c>
      <c r="S504" s="13" t="s">
        <v>27</v>
      </c>
    </row>
    <row r="505" spans="1:19" hidden="1" x14ac:dyDescent="0.3">
      <c r="A505" s="14">
        <v>43908.708333333336</v>
      </c>
      <c r="B505" s="13" t="s">
        <v>23</v>
      </c>
      <c r="C505" s="2">
        <v>5</v>
      </c>
      <c r="D505" s="13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3" t="s">
        <v>27</v>
      </c>
      <c r="S505" s="13" t="s">
        <v>27</v>
      </c>
    </row>
    <row r="506" spans="1:19" hidden="1" x14ac:dyDescent="0.3">
      <c r="A506" s="14">
        <v>43909.708333333336</v>
      </c>
      <c r="B506" s="13" t="s">
        <v>23</v>
      </c>
      <c r="C506" s="2">
        <v>13</v>
      </c>
      <c r="D506" s="13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3" t="s">
        <v>27</v>
      </c>
      <c r="S506" s="13" t="s">
        <v>27</v>
      </c>
    </row>
    <row r="507" spans="1:19" hidden="1" x14ac:dyDescent="0.3">
      <c r="A507" s="14">
        <v>43909.708333333336</v>
      </c>
      <c r="B507" s="13" t="s">
        <v>23</v>
      </c>
      <c r="C507" s="2">
        <v>17</v>
      </c>
      <c r="D507" s="13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3" t="s">
        <v>27</v>
      </c>
      <c r="S507" s="13" t="s">
        <v>27</v>
      </c>
    </row>
    <row r="508" spans="1:19" hidden="1" x14ac:dyDescent="0.3">
      <c r="A508" s="14">
        <v>43909.708333333336</v>
      </c>
      <c r="B508" s="13" t="s">
        <v>23</v>
      </c>
      <c r="C508" s="2">
        <v>4</v>
      </c>
      <c r="D508" s="13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3" t="s">
        <v>27</v>
      </c>
      <c r="S508" s="13" t="s">
        <v>27</v>
      </c>
    </row>
    <row r="509" spans="1:19" hidden="1" x14ac:dyDescent="0.3">
      <c r="A509" s="14">
        <v>43909.708333333336</v>
      </c>
      <c r="B509" s="13" t="s">
        <v>23</v>
      </c>
      <c r="C509" s="2">
        <v>18</v>
      </c>
      <c r="D509" s="13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3" t="s">
        <v>27</v>
      </c>
      <c r="S509" s="13" t="s">
        <v>27</v>
      </c>
    </row>
    <row r="510" spans="1:19" hidden="1" x14ac:dyDescent="0.3">
      <c r="A510" s="14">
        <v>43909.708333333336</v>
      </c>
      <c r="B510" s="13" t="s">
        <v>23</v>
      </c>
      <c r="C510" s="2">
        <v>15</v>
      </c>
      <c r="D510" s="13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3" t="s">
        <v>27</v>
      </c>
      <c r="S510" s="13" t="s">
        <v>27</v>
      </c>
    </row>
    <row r="511" spans="1:19" hidden="1" x14ac:dyDescent="0.3">
      <c r="A511" s="14">
        <v>43909.708333333336</v>
      </c>
      <c r="B511" s="13" t="s">
        <v>23</v>
      </c>
      <c r="C511" s="2">
        <v>8</v>
      </c>
      <c r="D511" s="13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3" t="s">
        <v>27</v>
      </c>
      <c r="S511" s="13" t="s">
        <v>27</v>
      </c>
    </row>
    <row r="512" spans="1:19" hidden="1" x14ac:dyDescent="0.3">
      <c r="A512" s="14">
        <v>43909.708333333336</v>
      </c>
      <c r="B512" s="13" t="s">
        <v>23</v>
      </c>
      <c r="C512" s="2">
        <v>6</v>
      </c>
      <c r="D512" s="13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3" t="s">
        <v>27</v>
      </c>
      <c r="S512" s="13" t="s">
        <v>27</v>
      </c>
    </row>
    <row r="513" spans="1:19" hidden="1" x14ac:dyDescent="0.3">
      <c r="A513" s="14">
        <v>43909.708333333336</v>
      </c>
      <c r="B513" s="13" t="s">
        <v>23</v>
      </c>
      <c r="C513" s="2">
        <v>12</v>
      </c>
      <c r="D513" s="13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3" t="s">
        <v>27</v>
      </c>
      <c r="S513" s="13" t="s">
        <v>27</v>
      </c>
    </row>
    <row r="514" spans="1:19" hidden="1" x14ac:dyDescent="0.3">
      <c r="A514" s="14">
        <v>43909.708333333336</v>
      </c>
      <c r="B514" s="13" t="s">
        <v>23</v>
      </c>
      <c r="C514" s="2">
        <v>7</v>
      </c>
      <c r="D514" s="13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3" t="s">
        <v>27</v>
      </c>
      <c r="S514" s="13" t="s">
        <v>27</v>
      </c>
    </row>
    <row r="515" spans="1:19" x14ac:dyDescent="0.3">
      <c r="A515" s="14">
        <v>43909.708333333336</v>
      </c>
      <c r="B515" s="13" t="s">
        <v>23</v>
      </c>
      <c r="C515" s="2">
        <v>3</v>
      </c>
      <c r="D515" s="13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3" t="s">
        <v>27</v>
      </c>
      <c r="S515" s="13" t="s">
        <v>27</v>
      </c>
    </row>
    <row r="516" spans="1:19" hidden="1" x14ac:dyDescent="0.3">
      <c r="A516" s="14">
        <v>43909.708333333336</v>
      </c>
      <c r="B516" s="13" t="s">
        <v>23</v>
      </c>
      <c r="C516" s="2">
        <v>11</v>
      </c>
      <c r="D516" s="13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3" t="s">
        <v>27</v>
      </c>
      <c r="S516" s="13" t="s">
        <v>27</v>
      </c>
    </row>
    <row r="517" spans="1:19" hidden="1" x14ac:dyDescent="0.3">
      <c r="A517" s="14">
        <v>43909.708333333336</v>
      </c>
      <c r="B517" s="13" t="s">
        <v>23</v>
      </c>
      <c r="C517" s="2">
        <v>14</v>
      </c>
      <c r="D517" s="13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3" t="s">
        <v>27</v>
      </c>
      <c r="S517" s="13" t="s">
        <v>27</v>
      </c>
    </row>
    <row r="518" spans="1:19" hidden="1" x14ac:dyDescent="0.3">
      <c r="A518" s="14">
        <v>43909.708333333336</v>
      </c>
      <c r="B518" s="13" t="s">
        <v>23</v>
      </c>
      <c r="C518" s="2">
        <v>1</v>
      </c>
      <c r="D518" s="13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3" t="s">
        <v>27</v>
      </c>
      <c r="S518" s="13" t="s">
        <v>27</v>
      </c>
    </row>
    <row r="519" spans="1:19" hidden="1" x14ac:dyDescent="0.3">
      <c r="A519" s="14">
        <v>43909.708333333336</v>
      </c>
      <c r="B519" s="13" t="s">
        <v>23</v>
      </c>
      <c r="C519" s="2">
        <v>16</v>
      </c>
      <c r="D519" s="13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3" t="s">
        <v>27</v>
      </c>
      <c r="S519" s="13" t="s">
        <v>27</v>
      </c>
    </row>
    <row r="520" spans="1:19" hidden="1" x14ac:dyDescent="0.3">
      <c r="A520" s="14">
        <v>43909.708333333336</v>
      </c>
      <c r="B520" s="13" t="s">
        <v>23</v>
      </c>
      <c r="C520" s="2">
        <v>20</v>
      </c>
      <c r="D520" s="13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3" t="s">
        <v>27</v>
      </c>
      <c r="S520" s="13" t="s">
        <v>27</v>
      </c>
    </row>
    <row r="521" spans="1:19" hidden="1" x14ac:dyDescent="0.3">
      <c r="A521" s="14">
        <v>43909.708333333336</v>
      </c>
      <c r="B521" s="13" t="s">
        <v>23</v>
      </c>
      <c r="C521" s="2">
        <v>19</v>
      </c>
      <c r="D521" s="13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3" t="s">
        <v>27</v>
      </c>
      <c r="S521" s="13" t="s">
        <v>27</v>
      </c>
    </row>
    <row r="522" spans="1:19" hidden="1" x14ac:dyDescent="0.3">
      <c r="A522" s="14">
        <v>43909.708333333336</v>
      </c>
      <c r="B522" s="13" t="s">
        <v>23</v>
      </c>
      <c r="C522" s="2">
        <v>9</v>
      </c>
      <c r="D522" s="13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3" t="s">
        <v>27</v>
      </c>
      <c r="S522" s="13" t="s">
        <v>27</v>
      </c>
    </row>
    <row r="523" spans="1:19" hidden="1" x14ac:dyDescent="0.3">
      <c r="A523" s="14">
        <v>43909.708333333336</v>
      </c>
      <c r="B523" s="13" t="s">
        <v>23</v>
      </c>
      <c r="C523" s="2">
        <v>4</v>
      </c>
      <c r="D523" s="13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3" t="s">
        <v>27</v>
      </c>
      <c r="S523" s="13" t="s">
        <v>27</v>
      </c>
    </row>
    <row r="524" spans="1:19" hidden="1" x14ac:dyDescent="0.3">
      <c r="A524" s="14">
        <v>43909.708333333336</v>
      </c>
      <c r="B524" s="13" t="s">
        <v>23</v>
      </c>
      <c r="C524" s="2">
        <v>10</v>
      </c>
      <c r="D524" s="13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3" t="s">
        <v>27</v>
      </c>
      <c r="S524" s="13" t="s">
        <v>27</v>
      </c>
    </row>
    <row r="525" spans="1:19" hidden="1" x14ac:dyDescent="0.3">
      <c r="A525" s="14">
        <v>43909.708333333336</v>
      </c>
      <c r="B525" s="13" t="s">
        <v>23</v>
      </c>
      <c r="C525" s="2">
        <v>2</v>
      </c>
      <c r="D525" s="13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3" t="s">
        <v>27</v>
      </c>
      <c r="S525" s="13" t="s">
        <v>27</v>
      </c>
    </row>
    <row r="526" spans="1:19" hidden="1" x14ac:dyDescent="0.3">
      <c r="A526" s="14">
        <v>43909.708333333336</v>
      </c>
      <c r="B526" s="13" t="s">
        <v>23</v>
      </c>
      <c r="C526" s="2">
        <v>5</v>
      </c>
      <c r="D526" s="13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3" t="s">
        <v>27</v>
      </c>
      <c r="S526" s="13" t="s">
        <v>27</v>
      </c>
    </row>
    <row r="527" spans="1:19" hidden="1" x14ac:dyDescent="0.3">
      <c r="A527" s="14">
        <v>43910.708333333336</v>
      </c>
      <c r="B527" s="13" t="s">
        <v>23</v>
      </c>
      <c r="C527" s="2">
        <v>13</v>
      </c>
      <c r="D527" s="13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3" t="s">
        <v>27</v>
      </c>
      <c r="S527" s="13" t="s">
        <v>27</v>
      </c>
    </row>
    <row r="528" spans="1:19" hidden="1" x14ac:dyDescent="0.3">
      <c r="A528" s="14">
        <v>43910.708333333336</v>
      </c>
      <c r="B528" s="13" t="s">
        <v>23</v>
      </c>
      <c r="C528" s="2">
        <v>17</v>
      </c>
      <c r="D528" s="13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3" t="s">
        <v>27</v>
      </c>
      <c r="S528" s="13" t="s">
        <v>27</v>
      </c>
    </row>
    <row r="529" spans="1:19" hidden="1" x14ac:dyDescent="0.3">
      <c r="A529" s="14">
        <v>43910.708333333336</v>
      </c>
      <c r="B529" s="13" t="s">
        <v>23</v>
      </c>
      <c r="C529" s="2">
        <v>4</v>
      </c>
      <c r="D529" s="13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3" t="s">
        <v>27</v>
      </c>
      <c r="S529" s="13" t="s">
        <v>27</v>
      </c>
    </row>
    <row r="530" spans="1:19" hidden="1" x14ac:dyDescent="0.3">
      <c r="A530" s="14">
        <v>43910.708333333336</v>
      </c>
      <c r="B530" s="13" t="s">
        <v>23</v>
      </c>
      <c r="C530" s="2">
        <v>18</v>
      </c>
      <c r="D530" s="13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3" t="s">
        <v>27</v>
      </c>
      <c r="S530" s="13" t="s">
        <v>27</v>
      </c>
    </row>
    <row r="531" spans="1:19" hidden="1" x14ac:dyDescent="0.3">
      <c r="A531" s="14">
        <v>43910.708333333336</v>
      </c>
      <c r="B531" s="13" t="s">
        <v>23</v>
      </c>
      <c r="C531" s="2">
        <v>15</v>
      </c>
      <c r="D531" s="13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3" t="s">
        <v>27</v>
      </c>
      <c r="S531" s="13" t="s">
        <v>27</v>
      </c>
    </row>
    <row r="532" spans="1:19" hidden="1" x14ac:dyDescent="0.3">
      <c r="A532" s="14">
        <v>43910.708333333336</v>
      </c>
      <c r="B532" s="13" t="s">
        <v>23</v>
      </c>
      <c r="C532" s="2">
        <v>8</v>
      </c>
      <c r="D532" s="13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3" t="s">
        <v>27</v>
      </c>
      <c r="S532" s="13" t="s">
        <v>27</v>
      </c>
    </row>
    <row r="533" spans="1:19" hidden="1" x14ac:dyDescent="0.3">
      <c r="A533" s="14">
        <v>43910.708333333336</v>
      </c>
      <c r="B533" s="13" t="s">
        <v>23</v>
      </c>
      <c r="C533" s="2">
        <v>6</v>
      </c>
      <c r="D533" s="13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3" t="s">
        <v>27</v>
      </c>
      <c r="S533" s="13" t="s">
        <v>27</v>
      </c>
    </row>
    <row r="534" spans="1:19" hidden="1" x14ac:dyDescent="0.3">
      <c r="A534" s="14">
        <v>43910.708333333336</v>
      </c>
      <c r="B534" s="13" t="s">
        <v>23</v>
      </c>
      <c r="C534" s="2">
        <v>12</v>
      </c>
      <c r="D534" s="13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3" t="s">
        <v>27</v>
      </c>
      <c r="S534" s="13" t="s">
        <v>27</v>
      </c>
    </row>
    <row r="535" spans="1:19" hidden="1" x14ac:dyDescent="0.3">
      <c r="A535" s="14">
        <v>43910.708333333336</v>
      </c>
      <c r="B535" s="13" t="s">
        <v>23</v>
      </c>
      <c r="C535" s="2">
        <v>7</v>
      </c>
      <c r="D535" s="13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3" t="s">
        <v>27</v>
      </c>
      <c r="S535" s="13" t="s">
        <v>27</v>
      </c>
    </row>
    <row r="536" spans="1:19" x14ac:dyDescent="0.3">
      <c r="A536" s="14">
        <v>43910.708333333336</v>
      </c>
      <c r="B536" s="13" t="s">
        <v>23</v>
      </c>
      <c r="C536" s="2">
        <v>3</v>
      </c>
      <c r="D536" s="13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3" t="s">
        <v>27</v>
      </c>
      <c r="S536" s="13" t="s">
        <v>27</v>
      </c>
    </row>
    <row r="537" spans="1:19" hidden="1" x14ac:dyDescent="0.3">
      <c r="A537" s="14">
        <v>43910.708333333336</v>
      </c>
      <c r="B537" s="13" t="s">
        <v>23</v>
      </c>
      <c r="C537" s="2">
        <v>11</v>
      </c>
      <c r="D537" s="13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3" t="s">
        <v>27</v>
      </c>
      <c r="S537" s="13" t="s">
        <v>27</v>
      </c>
    </row>
    <row r="538" spans="1:19" hidden="1" x14ac:dyDescent="0.3">
      <c r="A538" s="14">
        <v>43910.708333333336</v>
      </c>
      <c r="B538" s="13" t="s">
        <v>23</v>
      </c>
      <c r="C538" s="2">
        <v>14</v>
      </c>
      <c r="D538" s="13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3" t="s">
        <v>27</v>
      </c>
      <c r="S538" s="13" t="s">
        <v>27</v>
      </c>
    </row>
    <row r="539" spans="1:19" hidden="1" x14ac:dyDescent="0.3">
      <c r="A539" s="14">
        <v>43910.708333333336</v>
      </c>
      <c r="B539" s="13" t="s">
        <v>23</v>
      </c>
      <c r="C539" s="2">
        <v>1</v>
      </c>
      <c r="D539" s="13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3" t="s">
        <v>27</v>
      </c>
      <c r="S539" s="13" t="s">
        <v>27</v>
      </c>
    </row>
    <row r="540" spans="1:19" hidden="1" x14ac:dyDescent="0.3">
      <c r="A540" s="14">
        <v>43910.708333333336</v>
      </c>
      <c r="B540" s="13" t="s">
        <v>23</v>
      </c>
      <c r="C540" s="2">
        <v>16</v>
      </c>
      <c r="D540" s="13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3" t="s">
        <v>27</v>
      </c>
      <c r="S540" s="13" t="s">
        <v>27</v>
      </c>
    </row>
    <row r="541" spans="1:19" hidden="1" x14ac:dyDescent="0.3">
      <c r="A541" s="14">
        <v>43910.708333333336</v>
      </c>
      <c r="B541" s="13" t="s">
        <v>23</v>
      </c>
      <c r="C541" s="2">
        <v>20</v>
      </c>
      <c r="D541" s="13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3" t="s">
        <v>27</v>
      </c>
      <c r="S541" s="13" t="s">
        <v>27</v>
      </c>
    </row>
    <row r="542" spans="1:19" hidden="1" x14ac:dyDescent="0.3">
      <c r="A542" s="14">
        <v>43910.708333333336</v>
      </c>
      <c r="B542" s="13" t="s">
        <v>23</v>
      </c>
      <c r="C542" s="2">
        <v>19</v>
      </c>
      <c r="D542" s="13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3" t="s">
        <v>27</v>
      </c>
      <c r="S542" s="13" t="s">
        <v>27</v>
      </c>
    </row>
    <row r="543" spans="1:19" hidden="1" x14ac:dyDescent="0.3">
      <c r="A543" s="14">
        <v>43910.708333333336</v>
      </c>
      <c r="B543" s="13" t="s">
        <v>23</v>
      </c>
      <c r="C543" s="2">
        <v>9</v>
      </c>
      <c r="D543" s="13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3" t="s">
        <v>27</v>
      </c>
      <c r="S543" s="13" t="s">
        <v>27</v>
      </c>
    </row>
    <row r="544" spans="1:19" hidden="1" x14ac:dyDescent="0.3">
      <c r="A544" s="14">
        <v>43910.708333333336</v>
      </c>
      <c r="B544" s="13" t="s">
        <v>23</v>
      </c>
      <c r="C544" s="2">
        <v>4</v>
      </c>
      <c r="D544" s="13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3" t="s">
        <v>27</v>
      </c>
      <c r="S544" s="13" t="s">
        <v>27</v>
      </c>
    </row>
    <row r="545" spans="1:19" hidden="1" x14ac:dyDescent="0.3">
      <c r="A545" s="14">
        <v>43910.708333333336</v>
      </c>
      <c r="B545" s="13" t="s">
        <v>23</v>
      </c>
      <c r="C545" s="2">
        <v>10</v>
      </c>
      <c r="D545" s="13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3" t="s">
        <v>27</v>
      </c>
      <c r="S545" s="13" t="s">
        <v>27</v>
      </c>
    </row>
    <row r="546" spans="1:19" hidden="1" x14ac:dyDescent="0.3">
      <c r="A546" s="14">
        <v>43910.708333333336</v>
      </c>
      <c r="B546" s="13" t="s">
        <v>23</v>
      </c>
      <c r="C546" s="2">
        <v>2</v>
      </c>
      <c r="D546" s="13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3" t="s">
        <v>27</v>
      </c>
      <c r="S546" s="13" t="s">
        <v>27</v>
      </c>
    </row>
    <row r="547" spans="1:19" hidden="1" x14ac:dyDescent="0.3">
      <c r="A547" s="14">
        <v>43910.708333333336</v>
      </c>
      <c r="B547" s="13" t="s">
        <v>23</v>
      </c>
      <c r="C547" s="2">
        <v>5</v>
      </c>
      <c r="D547" s="13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3" t="s">
        <v>27</v>
      </c>
      <c r="S547" s="13" t="s">
        <v>27</v>
      </c>
    </row>
    <row r="548" spans="1:19" hidden="1" x14ac:dyDescent="0.3">
      <c r="A548" s="14">
        <v>43911.708333333336</v>
      </c>
      <c r="B548" s="13" t="s">
        <v>23</v>
      </c>
      <c r="C548" s="2">
        <v>13</v>
      </c>
      <c r="D548" s="13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3" t="s">
        <v>27</v>
      </c>
      <c r="S548" s="13" t="s">
        <v>27</v>
      </c>
    </row>
    <row r="549" spans="1:19" hidden="1" x14ac:dyDescent="0.3">
      <c r="A549" s="14">
        <v>43911.708333333336</v>
      </c>
      <c r="B549" s="13" t="s">
        <v>23</v>
      </c>
      <c r="C549" s="2">
        <v>17</v>
      </c>
      <c r="D549" s="13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3" t="s">
        <v>27</v>
      </c>
      <c r="S549" s="13" t="s">
        <v>27</v>
      </c>
    </row>
    <row r="550" spans="1:19" hidden="1" x14ac:dyDescent="0.3">
      <c r="A550" s="14">
        <v>43911.708333333336</v>
      </c>
      <c r="B550" s="13" t="s">
        <v>23</v>
      </c>
      <c r="C550" s="2">
        <v>4</v>
      </c>
      <c r="D550" s="13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3" t="s">
        <v>27</v>
      </c>
      <c r="S550" s="13" t="s">
        <v>27</v>
      </c>
    </row>
    <row r="551" spans="1:19" hidden="1" x14ac:dyDescent="0.3">
      <c r="A551" s="14">
        <v>43911.708333333336</v>
      </c>
      <c r="B551" s="13" t="s">
        <v>23</v>
      </c>
      <c r="C551" s="2">
        <v>18</v>
      </c>
      <c r="D551" s="13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3" t="s">
        <v>27</v>
      </c>
      <c r="S551" s="13" t="s">
        <v>27</v>
      </c>
    </row>
    <row r="552" spans="1:19" hidden="1" x14ac:dyDescent="0.3">
      <c r="A552" s="14">
        <v>43911.708333333336</v>
      </c>
      <c r="B552" s="13" t="s">
        <v>23</v>
      </c>
      <c r="C552" s="2">
        <v>15</v>
      </c>
      <c r="D552" s="13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3" t="s">
        <v>27</v>
      </c>
      <c r="S552" s="13" t="s">
        <v>27</v>
      </c>
    </row>
    <row r="553" spans="1:19" hidden="1" x14ac:dyDescent="0.3">
      <c r="A553" s="14">
        <v>43911.708333333336</v>
      </c>
      <c r="B553" s="13" t="s">
        <v>23</v>
      </c>
      <c r="C553" s="2">
        <v>8</v>
      </c>
      <c r="D553" s="13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3" t="s">
        <v>27</v>
      </c>
      <c r="S553" s="13" t="s">
        <v>27</v>
      </c>
    </row>
    <row r="554" spans="1:19" hidden="1" x14ac:dyDescent="0.3">
      <c r="A554" s="14">
        <v>43911.708333333336</v>
      </c>
      <c r="B554" s="13" t="s">
        <v>23</v>
      </c>
      <c r="C554" s="2">
        <v>6</v>
      </c>
      <c r="D554" s="13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3" t="s">
        <v>27</v>
      </c>
      <c r="S554" s="13" t="s">
        <v>27</v>
      </c>
    </row>
    <row r="555" spans="1:19" hidden="1" x14ac:dyDescent="0.3">
      <c r="A555" s="14">
        <v>43911.708333333336</v>
      </c>
      <c r="B555" s="13" t="s">
        <v>23</v>
      </c>
      <c r="C555" s="2">
        <v>12</v>
      </c>
      <c r="D555" s="13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3" t="s">
        <v>27</v>
      </c>
      <c r="S555" s="13" t="s">
        <v>27</v>
      </c>
    </row>
    <row r="556" spans="1:19" hidden="1" x14ac:dyDescent="0.3">
      <c r="A556" s="14">
        <v>43911.708333333336</v>
      </c>
      <c r="B556" s="13" t="s">
        <v>23</v>
      </c>
      <c r="C556" s="2">
        <v>7</v>
      </c>
      <c r="D556" s="13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3" t="s">
        <v>27</v>
      </c>
      <c r="S556" s="13" t="s">
        <v>27</v>
      </c>
    </row>
    <row r="557" spans="1:19" x14ac:dyDescent="0.3">
      <c r="A557" s="14">
        <v>43911.708333333336</v>
      </c>
      <c r="B557" s="13" t="s">
        <v>23</v>
      </c>
      <c r="C557" s="2">
        <v>3</v>
      </c>
      <c r="D557" s="13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3" t="s">
        <v>27</v>
      </c>
      <c r="S557" s="13" t="s">
        <v>27</v>
      </c>
    </row>
    <row r="558" spans="1:19" hidden="1" x14ac:dyDescent="0.3">
      <c r="A558" s="14">
        <v>43911.708333333336</v>
      </c>
      <c r="B558" s="13" t="s">
        <v>23</v>
      </c>
      <c r="C558" s="2">
        <v>11</v>
      </c>
      <c r="D558" s="13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3" t="s">
        <v>27</v>
      </c>
      <c r="S558" s="13" t="s">
        <v>27</v>
      </c>
    </row>
    <row r="559" spans="1:19" hidden="1" x14ac:dyDescent="0.3">
      <c r="A559" s="14">
        <v>43911.708333333336</v>
      </c>
      <c r="B559" s="13" t="s">
        <v>23</v>
      </c>
      <c r="C559" s="2">
        <v>14</v>
      </c>
      <c r="D559" s="13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3" t="s">
        <v>27</v>
      </c>
      <c r="S559" s="13" t="s">
        <v>27</v>
      </c>
    </row>
    <row r="560" spans="1:19" hidden="1" x14ac:dyDescent="0.3">
      <c r="A560" s="14">
        <v>43911.708333333336</v>
      </c>
      <c r="B560" s="13" t="s">
        <v>23</v>
      </c>
      <c r="C560" s="2">
        <v>1</v>
      </c>
      <c r="D560" s="13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3" t="s">
        <v>27</v>
      </c>
      <c r="S560" s="13" t="s">
        <v>27</v>
      </c>
    </row>
    <row r="561" spans="1:19" hidden="1" x14ac:dyDescent="0.3">
      <c r="A561" s="14">
        <v>43911.708333333336</v>
      </c>
      <c r="B561" s="13" t="s">
        <v>23</v>
      </c>
      <c r="C561" s="2">
        <v>16</v>
      </c>
      <c r="D561" s="13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3" t="s">
        <v>27</v>
      </c>
      <c r="S561" s="13" t="s">
        <v>27</v>
      </c>
    </row>
    <row r="562" spans="1:19" hidden="1" x14ac:dyDescent="0.3">
      <c r="A562" s="14">
        <v>43911.708333333336</v>
      </c>
      <c r="B562" s="13" t="s">
        <v>23</v>
      </c>
      <c r="C562" s="2">
        <v>20</v>
      </c>
      <c r="D562" s="13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3" t="s">
        <v>27</v>
      </c>
      <c r="S562" s="13" t="s">
        <v>27</v>
      </c>
    </row>
    <row r="563" spans="1:19" hidden="1" x14ac:dyDescent="0.3">
      <c r="A563" s="14">
        <v>43911.708333333336</v>
      </c>
      <c r="B563" s="13" t="s">
        <v>23</v>
      </c>
      <c r="C563" s="2">
        <v>19</v>
      </c>
      <c r="D563" s="13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3" t="s">
        <v>27</v>
      </c>
      <c r="S563" s="13" t="s">
        <v>27</v>
      </c>
    </row>
    <row r="564" spans="1:19" hidden="1" x14ac:dyDescent="0.3">
      <c r="A564" s="14">
        <v>43911.708333333336</v>
      </c>
      <c r="B564" s="13" t="s">
        <v>23</v>
      </c>
      <c r="C564" s="2">
        <v>9</v>
      </c>
      <c r="D564" s="13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3" t="s">
        <v>27</v>
      </c>
      <c r="S564" s="13" t="s">
        <v>27</v>
      </c>
    </row>
    <row r="565" spans="1:19" hidden="1" x14ac:dyDescent="0.3">
      <c r="A565" s="14">
        <v>43911.708333333336</v>
      </c>
      <c r="B565" s="13" t="s">
        <v>23</v>
      </c>
      <c r="C565" s="2">
        <v>4</v>
      </c>
      <c r="D565" s="13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3" t="s">
        <v>27</v>
      </c>
      <c r="S565" s="13" t="s">
        <v>27</v>
      </c>
    </row>
    <row r="566" spans="1:19" hidden="1" x14ac:dyDescent="0.3">
      <c r="A566" s="14">
        <v>43911.708333333336</v>
      </c>
      <c r="B566" s="13" t="s">
        <v>23</v>
      </c>
      <c r="C566" s="2">
        <v>10</v>
      </c>
      <c r="D566" s="13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3" t="s">
        <v>27</v>
      </c>
      <c r="S566" s="13" t="s">
        <v>27</v>
      </c>
    </row>
    <row r="567" spans="1:19" hidden="1" x14ac:dyDescent="0.3">
      <c r="A567" s="14">
        <v>43911.708333333336</v>
      </c>
      <c r="B567" s="13" t="s">
        <v>23</v>
      </c>
      <c r="C567" s="2">
        <v>2</v>
      </c>
      <c r="D567" s="13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3" t="s">
        <v>27</v>
      </c>
      <c r="S567" s="13" t="s">
        <v>27</v>
      </c>
    </row>
    <row r="568" spans="1:19" hidden="1" x14ac:dyDescent="0.3">
      <c r="A568" s="14">
        <v>43911.708333333336</v>
      </c>
      <c r="B568" s="13" t="s">
        <v>23</v>
      </c>
      <c r="C568" s="2">
        <v>5</v>
      </c>
      <c r="D568" s="13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3" t="s">
        <v>27</v>
      </c>
      <c r="S568" s="13" t="s">
        <v>27</v>
      </c>
    </row>
    <row r="569" spans="1:19" hidden="1" x14ac:dyDescent="0.3">
      <c r="A569" s="14">
        <v>43912.708333333336</v>
      </c>
      <c r="B569" s="13" t="s">
        <v>23</v>
      </c>
      <c r="C569" s="2">
        <v>13</v>
      </c>
      <c r="D569" s="13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3" t="s">
        <v>27</v>
      </c>
      <c r="S569" s="13" t="s">
        <v>27</v>
      </c>
    </row>
    <row r="570" spans="1:19" hidden="1" x14ac:dyDescent="0.3">
      <c r="A570" s="14">
        <v>43912.708333333336</v>
      </c>
      <c r="B570" s="13" t="s">
        <v>23</v>
      </c>
      <c r="C570" s="2">
        <v>17</v>
      </c>
      <c r="D570" s="13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3" t="s">
        <v>27</v>
      </c>
      <c r="S570" s="13" t="s">
        <v>27</v>
      </c>
    </row>
    <row r="571" spans="1:19" hidden="1" x14ac:dyDescent="0.3">
      <c r="A571" s="14">
        <v>43912.708333333336</v>
      </c>
      <c r="B571" s="13" t="s">
        <v>23</v>
      </c>
      <c r="C571" s="2">
        <v>4</v>
      </c>
      <c r="D571" s="13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3" t="s">
        <v>27</v>
      </c>
      <c r="S571" s="13" t="s">
        <v>27</v>
      </c>
    </row>
    <row r="572" spans="1:19" hidden="1" x14ac:dyDescent="0.3">
      <c r="A572" s="14">
        <v>43912.708333333336</v>
      </c>
      <c r="B572" s="13" t="s">
        <v>23</v>
      </c>
      <c r="C572" s="2">
        <v>18</v>
      </c>
      <c r="D572" s="13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3" t="s">
        <v>27</v>
      </c>
      <c r="S572" s="13" t="s">
        <v>27</v>
      </c>
    </row>
    <row r="573" spans="1:19" hidden="1" x14ac:dyDescent="0.3">
      <c r="A573" s="14">
        <v>43912.708333333336</v>
      </c>
      <c r="B573" s="13" t="s">
        <v>23</v>
      </c>
      <c r="C573" s="2">
        <v>15</v>
      </c>
      <c r="D573" s="13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3" t="s">
        <v>27</v>
      </c>
      <c r="S573" s="13" t="s">
        <v>27</v>
      </c>
    </row>
    <row r="574" spans="1:19" hidden="1" x14ac:dyDescent="0.3">
      <c r="A574" s="14">
        <v>43912.708333333336</v>
      </c>
      <c r="B574" s="13" t="s">
        <v>23</v>
      </c>
      <c r="C574" s="2">
        <v>8</v>
      </c>
      <c r="D574" s="13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3" t="s">
        <v>27</v>
      </c>
      <c r="S574" s="13" t="s">
        <v>27</v>
      </c>
    </row>
    <row r="575" spans="1:19" hidden="1" x14ac:dyDescent="0.3">
      <c r="A575" s="14">
        <v>43912.708333333336</v>
      </c>
      <c r="B575" s="13" t="s">
        <v>23</v>
      </c>
      <c r="C575" s="2">
        <v>6</v>
      </c>
      <c r="D575" s="13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3" t="s">
        <v>27</v>
      </c>
      <c r="S575" s="13" t="s">
        <v>27</v>
      </c>
    </row>
    <row r="576" spans="1:19" hidden="1" x14ac:dyDescent="0.3">
      <c r="A576" s="14">
        <v>43912.708333333336</v>
      </c>
      <c r="B576" s="13" t="s">
        <v>23</v>
      </c>
      <c r="C576" s="2">
        <v>12</v>
      </c>
      <c r="D576" s="13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3" t="s">
        <v>27</v>
      </c>
      <c r="S576" s="13" t="s">
        <v>27</v>
      </c>
    </row>
    <row r="577" spans="1:19" hidden="1" x14ac:dyDescent="0.3">
      <c r="A577" s="14">
        <v>43912.708333333336</v>
      </c>
      <c r="B577" s="13" t="s">
        <v>23</v>
      </c>
      <c r="C577" s="2">
        <v>7</v>
      </c>
      <c r="D577" s="13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3" t="s">
        <v>27</v>
      </c>
      <c r="S577" s="13" t="s">
        <v>27</v>
      </c>
    </row>
    <row r="578" spans="1:19" x14ac:dyDescent="0.3">
      <c r="A578" s="14">
        <v>43912.708333333336</v>
      </c>
      <c r="B578" s="13" t="s">
        <v>23</v>
      </c>
      <c r="C578" s="2">
        <v>3</v>
      </c>
      <c r="D578" s="13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3" t="s">
        <v>27</v>
      </c>
      <c r="S578" s="13" t="s">
        <v>27</v>
      </c>
    </row>
    <row r="579" spans="1:19" hidden="1" x14ac:dyDescent="0.3">
      <c r="A579" s="14">
        <v>43912.708333333336</v>
      </c>
      <c r="B579" s="13" t="s">
        <v>23</v>
      </c>
      <c r="C579" s="2">
        <v>11</v>
      </c>
      <c r="D579" s="13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3" t="s">
        <v>27</v>
      </c>
      <c r="S579" s="13" t="s">
        <v>27</v>
      </c>
    </row>
    <row r="580" spans="1:19" hidden="1" x14ac:dyDescent="0.3">
      <c r="A580" s="14">
        <v>43912.708333333336</v>
      </c>
      <c r="B580" s="13" t="s">
        <v>23</v>
      </c>
      <c r="C580" s="2">
        <v>14</v>
      </c>
      <c r="D580" s="13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3" t="s">
        <v>27</v>
      </c>
      <c r="S580" s="13" t="s">
        <v>27</v>
      </c>
    </row>
    <row r="581" spans="1:19" hidden="1" x14ac:dyDescent="0.3">
      <c r="A581" s="14">
        <v>43912.708333333336</v>
      </c>
      <c r="B581" s="13" t="s">
        <v>23</v>
      </c>
      <c r="C581" s="2">
        <v>1</v>
      </c>
      <c r="D581" s="13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3" t="s">
        <v>27</v>
      </c>
      <c r="S581" s="13" t="s">
        <v>27</v>
      </c>
    </row>
    <row r="582" spans="1:19" hidden="1" x14ac:dyDescent="0.3">
      <c r="A582" s="14">
        <v>43912.708333333336</v>
      </c>
      <c r="B582" s="13" t="s">
        <v>23</v>
      </c>
      <c r="C582" s="2">
        <v>16</v>
      </c>
      <c r="D582" s="13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3" t="s">
        <v>27</v>
      </c>
      <c r="S582" s="13" t="s">
        <v>27</v>
      </c>
    </row>
    <row r="583" spans="1:19" hidden="1" x14ac:dyDescent="0.3">
      <c r="A583" s="14">
        <v>43912.708333333336</v>
      </c>
      <c r="B583" s="13" t="s">
        <v>23</v>
      </c>
      <c r="C583" s="2">
        <v>20</v>
      </c>
      <c r="D583" s="13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3" t="s">
        <v>27</v>
      </c>
      <c r="S583" s="13" t="s">
        <v>27</v>
      </c>
    </row>
    <row r="584" spans="1:19" hidden="1" x14ac:dyDescent="0.3">
      <c r="A584" s="14">
        <v>43912.708333333336</v>
      </c>
      <c r="B584" s="13" t="s">
        <v>23</v>
      </c>
      <c r="C584" s="2">
        <v>19</v>
      </c>
      <c r="D584" s="13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3" t="s">
        <v>27</v>
      </c>
      <c r="S584" s="13" t="s">
        <v>27</v>
      </c>
    </row>
    <row r="585" spans="1:19" hidden="1" x14ac:dyDescent="0.3">
      <c r="A585" s="14">
        <v>43912.708333333336</v>
      </c>
      <c r="B585" s="13" t="s">
        <v>23</v>
      </c>
      <c r="C585" s="2">
        <v>9</v>
      </c>
      <c r="D585" s="13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3" t="s">
        <v>27</v>
      </c>
      <c r="S585" s="13" t="s">
        <v>27</v>
      </c>
    </row>
    <row r="586" spans="1:19" hidden="1" x14ac:dyDescent="0.3">
      <c r="A586" s="14">
        <v>43912.708333333336</v>
      </c>
      <c r="B586" s="13" t="s">
        <v>23</v>
      </c>
      <c r="C586" s="2">
        <v>4</v>
      </c>
      <c r="D586" s="13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3" t="s">
        <v>27</v>
      </c>
      <c r="S586" s="13" t="s">
        <v>27</v>
      </c>
    </row>
    <row r="587" spans="1:19" hidden="1" x14ac:dyDescent="0.3">
      <c r="A587" s="14">
        <v>43912.708333333336</v>
      </c>
      <c r="B587" s="13" t="s">
        <v>23</v>
      </c>
      <c r="C587" s="2">
        <v>10</v>
      </c>
      <c r="D587" s="13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3" t="s">
        <v>27</v>
      </c>
      <c r="S587" s="13" t="s">
        <v>27</v>
      </c>
    </row>
    <row r="588" spans="1:19" hidden="1" x14ac:dyDescent="0.3">
      <c r="A588" s="14">
        <v>43912.708333333336</v>
      </c>
      <c r="B588" s="13" t="s">
        <v>23</v>
      </c>
      <c r="C588" s="2">
        <v>2</v>
      </c>
      <c r="D588" s="13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3" t="s">
        <v>27</v>
      </c>
      <c r="S588" s="13" t="s">
        <v>27</v>
      </c>
    </row>
    <row r="589" spans="1:19" hidden="1" x14ac:dyDescent="0.3">
      <c r="A589" s="14">
        <v>43912.708333333336</v>
      </c>
      <c r="B589" s="13" t="s">
        <v>23</v>
      </c>
      <c r="C589" s="2">
        <v>5</v>
      </c>
      <c r="D589" s="13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3" t="s">
        <v>27</v>
      </c>
      <c r="S589" s="13" t="s">
        <v>27</v>
      </c>
    </row>
    <row r="590" spans="1:19" hidden="1" x14ac:dyDescent="0.3">
      <c r="A590" s="14">
        <v>43913.708333333336</v>
      </c>
      <c r="B590" s="13" t="s">
        <v>23</v>
      </c>
      <c r="C590" s="2">
        <v>13</v>
      </c>
      <c r="D590" s="13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3" t="s">
        <v>27</v>
      </c>
      <c r="S590" s="13" t="s">
        <v>27</v>
      </c>
    </row>
    <row r="591" spans="1:19" hidden="1" x14ac:dyDescent="0.3">
      <c r="A591" s="14">
        <v>43913.708333333336</v>
      </c>
      <c r="B591" s="13" t="s">
        <v>23</v>
      </c>
      <c r="C591" s="2">
        <v>17</v>
      </c>
      <c r="D591" s="13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3" t="s">
        <v>27</v>
      </c>
      <c r="S591" s="13" t="s">
        <v>27</v>
      </c>
    </row>
    <row r="592" spans="1:19" hidden="1" x14ac:dyDescent="0.3">
      <c r="A592" s="14">
        <v>43913.708333333336</v>
      </c>
      <c r="B592" s="13" t="s">
        <v>23</v>
      </c>
      <c r="C592" s="2">
        <v>4</v>
      </c>
      <c r="D592" s="13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3" t="s">
        <v>27</v>
      </c>
      <c r="S592" s="13" t="s">
        <v>27</v>
      </c>
    </row>
    <row r="593" spans="1:19" hidden="1" x14ac:dyDescent="0.3">
      <c r="A593" s="14">
        <v>43913.708333333336</v>
      </c>
      <c r="B593" s="13" t="s">
        <v>23</v>
      </c>
      <c r="C593" s="2">
        <v>18</v>
      </c>
      <c r="D593" s="13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3" t="s">
        <v>27</v>
      </c>
      <c r="S593" s="13" t="s">
        <v>27</v>
      </c>
    </row>
    <row r="594" spans="1:19" hidden="1" x14ac:dyDescent="0.3">
      <c r="A594" s="14">
        <v>43913.708333333336</v>
      </c>
      <c r="B594" s="13" t="s">
        <v>23</v>
      </c>
      <c r="C594" s="2">
        <v>15</v>
      </c>
      <c r="D594" s="13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3" t="s">
        <v>27</v>
      </c>
      <c r="S594" s="13" t="s">
        <v>27</v>
      </c>
    </row>
    <row r="595" spans="1:19" hidden="1" x14ac:dyDescent="0.3">
      <c r="A595" s="14">
        <v>43913.708333333336</v>
      </c>
      <c r="B595" s="13" t="s">
        <v>23</v>
      </c>
      <c r="C595" s="2">
        <v>8</v>
      </c>
      <c r="D595" s="13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3" t="s">
        <v>27</v>
      </c>
      <c r="S595" s="13" t="s">
        <v>27</v>
      </c>
    </row>
    <row r="596" spans="1:19" hidden="1" x14ac:dyDescent="0.3">
      <c r="A596" s="14">
        <v>43913.708333333336</v>
      </c>
      <c r="B596" s="13" t="s">
        <v>23</v>
      </c>
      <c r="C596" s="2">
        <v>6</v>
      </c>
      <c r="D596" s="13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3" t="s">
        <v>27</v>
      </c>
      <c r="S596" s="13" t="s">
        <v>27</v>
      </c>
    </row>
    <row r="597" spans="1:19" hidden="1" x14ac:dyDescent="0.3">
      <c r="A597" s="14">
        <v>43913.708333333336</v>
      </c>
      <c r="B597" s="13" t="s">
        <v>23</v>
      </c>
      <c r="C597" s="2">
        <v>12</v>
      </c>
      <c r="D597" s="13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3" t="s">
        <v>27</v>
      </c>
      <c r="S597" s="13" t="s">
        <v>27</v>
      </c>
    </row>
    <row r="598" spans="1:19" hidden="1" x14ac:dyDescent="0.3">
      <c r="A598" s="14">
        <v>43913.708333333336</v>
      </c>
      <c r="B598" s="13" t="s">
        <v>23</v>
      </c>
      <c r="C598" s="2">
        <v>7</v>
      </c>
      <c r="D598" s="13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3" t="s">
        <v>27</v>
      </c>
      <c r="S598" s="13" t="s">
        <v>27</v>
      </c>
    </row>
    <row r="599" spans="1:19" x14ac:dyDescent="0.3">
      <c r="A599" s="14">
        <v>43913.708333333336</v>
      </c>
      <c r="B599" s="13" t="s">
        <v>23</v>
      </c>
      <c r="C599" s="2">
        <v>3</v>
      </c>
      <c r="D599" s="13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3" t="s">
        <v>27</v>
      </c>
      <c r="S599" s="13" t="s">
        <v>27</v>
      </c>
    </row>
    <row r="600" spans="1:19" hidden="1" x14ac:dyDescent="0.3">
      <c r="A600" s="14">
        <v>43913.708333333336</v>
      </c>
      <c r="B600" s="13" t="s">
        <v>23</v>
      </c>
      <c r="C600" s="2">
        <v>11</v>
      </c>
      <c r="D600" s="13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3" t="s">
        <v>27</v>
      </c>
      <c r="S600" s="13" t="s">
        <v>27</v>
      </c>
    </row>
    <row r="601" spans="1:19" hidden="1" x14ac:dyDescent="0.3">
      <c r="A601" s="14">
        <v>43913.708333333336</v>
      </c>
      <c r="B601" s="13" t="s">
        <v>23</v>
      </c>
      <c r="C601" s="2">
        <v>14</v>
      </c>
      <c r="D601" s="13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3" t="s">
        <v>27</v>
      </c>
      <c r="S601" s="13" t="s">
        <v>27</v>
      </c>
    </row>
    <row r="602" spans="1:19" hidden="1" x14ac:dyDescent="0.3">
      <c r="A602" s="14">
        <v>43913.708333333336</v>
      </c>
      <c r="B602" s="13" t="s">
        <v>23</v>
      </c>
      <c r="C602" s="2">
        <v>1</v>
      </c>
      <c r="D602" s="13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3" t="s">
        <v>27</v>
      </c>
      <c r="S602" s="13" t="s">
        <v>27</v>
      </c>
    </row>
    <row r="603" spans="1:19" hidden="1" x14ac:dyDescent="0.3">
      <c r="A603" s="14">
        <v>43913.708333333336</v>
      </c>
      <c r="B603" s="13" t="s">
        <v>23</v>
      </c>
      <c r="C603" s="2">
        <v>16</v>
      </c>
      <c r="D603" s="13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3" t="s">
        <v>27</v>
      </c>
      <c r="S603" s="13" t="s">
        <v>27</v>
      </c>
    </row>
    <row r="604" spans="1:19" hidden="1" x14ac:dyDescent="0.3">
      <c r="A604" s="14">
        <v>43913.708333333336</v>
      </c>
      <c r="B604" s="13" t="s">
        <v>23</v>
      </c>
      <c r="C604" s="2">
        <v>20</v>
      </c>
      <c r="D604" s="13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3" t="s">
        <v>27</v>
      </c>
      <c r="S604" s="13" t="s">
        <v>27</v>
      </c>
    </row>
    <row r="605" spans="1:19" hidden="1" x14ac:dyDescent="0.3">
      <c r="A605" s="14">
        <v>43913.708333333336</v>
      </c>
      <c r="B605" s="13" t="s">
        <v>23</v>
      </c>
      <c r="C605" s="2">
        <v>19</v>
      </c>
      <c r="D605" s="13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3" t="s">
        <v>27</v>
      </c>
      <c r="S605" s="13" t="s">
        <v>27</v>
      </c>
    </row>
    <row r="606" spans="1:19" hidden="1" x14ac:dyDescent="0.3">
      <c r="A606" s="14">
        <v>43913.708333333336</v>
      </c>
      <c r="B606" s="13" t="s">
        <v>23</v>
      </c>
      <c r="C606" s="2">
        <v>9</v>
      </c>
      <c r="D606" s="13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3" t="s">
        <v>27</v>
      </c>
      <c r="S606" s="13" t="s">
        <v>27</v>
      </c>
    </row>
    <row r="607" spans="1:19" hidden="1" x14ac:dyDescent="0.3">
      <c r="A607" s="14">
        <v>43913.708333333336</v>
      </c>
      <c r="B607" s="13" t="s">
        <v>23</v>
      </c>
      <c r="C607" s="2">
        <v>4</v>
      </c>
      <c r="D607" s="13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3" t="s">
        <v>27</v>
      </c>
      <c r="S607" s="13" t="s">
        <v>27</v>
      </c>
    </row>
    <row r="608" spans="1:19" hidden="1" x14ac:dyDescent="0.3">
      <c r="A608" s="14">
        <v>43913.708333333336</v>
      </c>
      <c r="B608" s="13" t="s">
        <v>23</v>
      </c>
      <c r="C608" s="2">
        <v>10</v>
      </c>
      <c r="D608" s="13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3" t="s">
        <v>27</v>
      </c>
      <c r="S608" s="13" t="s">
        <v>27</v>
      </c>
    </row>
    <row r="609" spans="1:19" hidden="1" x14ac:dyDescent="0.3">
      <c r="A609" s="14">
        <v>43913.708333333336</v>
      </c>
      <c r="B609" s="13" t="s">
        <v>23</v>
      </c>
      <c r="C609" s="2">
        <v>2</v>
      </c>
      <c r="D609" s="13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3" t="s">
        <v>27</v>
      </c>
      <c r="S609" s="13" t="s">
        <v>27</v>
      </c>
    </row>
    <row r="610" spans="1:19" hidden="1" x14ac:dyDescent="0.3">
      <c r="A610" s="14">
        <v>43913.708333333336</v>
      </c>
      <c r="B610" s="13" t="s">
        <v>23</v>
      </c>
      <c r="C610" s="2">
        <v>5</v>
      </c>
      <c r="D610" s="13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3" t="s">
        <v>27</v>
      </c>
      <c r="S610" s="13" t="s">
        <v>27</v>
      </c>
    </row>
    <row r="611" spans="1:19" hidden="1" x14ac:dyDescent="0.3">
      <c r="A611" s="14">
        <v>43914.708333333336</v>
      </c>
      <c r="B611" s="13" t="s">
        <v>23</v>
      </c>
      <c r="C611" s="2">
        <v>13</v>
      </c>
      <c r="D611" s="13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3" t="s">
        <v>27</v>
      </c>
      <c r="S611" s="13" t="s">
        <v>27</v>
      </c>
    </row>
    <row r="612" spans="1:19" hidden="1" x14ac:dyDescent="0.3">
      <c r="A612" s="14">
        <v>43914.708333333336</v>
      </c>
      <c r="B612" s="13" t="s">
        <v>23</v>
      </c>
      <c r="C612" s="2">
        <v>17</v>
      </c>
      <c r="D612" s="13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3" t="s">
        <v>27</v>
      </c>
      <c r="S612" s="13" t="s">
        <v>27</v>
      </c>
    </row>
    <row r="613" spans="1:19" hidden="1" x14ac:dyDescent="0.3">
      <c r="A613" s="14">
        <v>43914.708333333336</v>
      </c>
      <c r="B613" s="13" t="s">
        <v>23</v>
      </c>
      <c r="C613" s="2">
        <v>4</v>
      </c>
      <c r="D613" s="13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3" t="s">
        <v>27</v>
      </c>
      <c r="S613" s="13" t="s">
        <v>27</v>
      </c>
    </row>
    <row r="614" spans="1:19" hidden="1" x14ac:dyDescent="0.3">
      <c r="A614" s="14">
        <v>43914.708333333336</v>
      </c>
      <c r="B614" s="13" t="s">
        <v>23</v>
      </c>
      <c r="C614" s="2">
        <v>18</v>
      </c>
      <c r="D614" s="13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3" t="s">
        <v>27</v>
      </c>
      <c r="S614" s="13" t="s">
        <v>27</v>
      </c>
    </row>
    <row r="615" spans="1:19" hidden="1" x14ac:dyDescent="0.3">
      <c r="A615" s="14">
        <v>43914.708333333336</v>
      </c>
      <c r="B615" s="13" t="s">
        <v>23</v>
      </c>
      <c r="C615" s="2">
        <v>15</v>
      </c>
      <c r="D615" s="13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3" t="s">
        <v>27</v>
      </c>
      <c r="S615" s="13" t="s">
        <v>27</v>
      </c>
    </row>
    <row r="616" spans="1:19" hidden="1" x14ac:dyDescent="0.3">
      <c r="A616" s="14">
        <v>43914.708333333336</v>
      </c>
      <c r="B616" s="13" t="s">
        <v>23</v>
      </c>
      <c r="C616" s="2">
        <v>8</v>
      </c>
      <c r="D616" s="13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3" t="s">
        <v>27</v>
      </c>
      <c r="S616" s="13" t="s">
        <v>27</v>
      </c>
    </row>
    <row r="617" spans="1:19" hidden="1" x14ac:dyDescent="0.3">
      <c r="A617" s="14">
        <v>43914.708333333336</v>
      </c>
      <c r="B617" s="13" t="s">
        <v>23</v>
      </c>
      <c r="C617" s="2">
        <v>6</v>
      </c>
      <c r="D617" s="13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3" t="s">
        <v>27</v>
      </c>
      <c r="S617" s="13" t="s">
        <v>27</v>
      </c>
    </row>
    <row r="618" spans="1:19" hidden="1" x14ac:dyDescent="0.3">
      <c r="A618" s="14">
        <v>43914.708333333336</v>
      </c>
      <c r="B618" s="13" t="s">
        <v>23</v>
      </c>
      <c r="C618" s="2">
        <v>12</v>
      </c>
      <c r="D618" s="13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3" t="s">
        <v>27</v>
      </c>
      <c r="S618" s="13" t="s">
        <v>27</v>
      </c>
    </row>
    <row r="619" spans="1:19" hidden="1" x14ac:dyDescent="0.3">
      <c r="A619" s="14">
        <v>43914.708333333336</v>
      </c>
      <c r="B619" s="13" t="s">
        <v>23</v>
      </c>
      <c r="C619" s="2">
        <v>7</v>
      </c>
      <c r="D619" s="13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3" t="s">
        <v>27</v>
      </c>
      <c r="S619" s="13" t="s">
        <v>27</v>
      </c>
    </row>
    <row r="620" spans="1:19" x14ac:dyDescent="0.3">
      <c r="A620" s="14">
        <v>43914.708333333336</v>
      </c>
      <c r="B620" s="13" t="s">
        <v>23</v>
      </c>
      <c r="C620" s="2">
        <v>3</v>
      </c>
      <c r="D620" s="13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3" t="s">
        <v>27</v>
      </c>
      <c r="S620" s="13" t="s">
        <v>27</v>
      </c>
    </row>
    <row r="621" spans="1:19" hidden="1" x14ac:dyDescent="0.3">
      <c r="A621" s="14">
        <v>43914.708333333336</v>
      </c>
      <c r="B621" s="13" t="s">
        <v>23</v>
      </c>
      <c r="C621" s="2">
        <v>11</v>
      </c>
      <c r="D621" s="13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3" t="s">
        <v>27</v>
      </c>
      <c r="S621" s="13" t="s">
        <v>27</v>
      </c>
    </row>
    <row r="622" spans="1:19" hidden="1" x14ac:dyDescent="0.3">
      <c r="A622" s="14">
        <v>43914.708333333336</v>
      </c>
      <c r="B622" s="13" t="s">
        <v>23</v>
      </c>
      <c r="C622" s="2">
        <v>14</v>
      </c>
      <c r="D622" s="13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3" t="s">
        <v>27</v>
      </c>
      <c r="S622" s="13" t="s">
        <v>27</v>
      </c>
    </row>
    <row r="623" spans="1:19" hidden="1" x14ac:dyDescent="0.3">
      <c r="A623" s="14">
        <v>43914.708333333336</v>
      </c>
      <c r="B623" s="13" t="s">
        <v>23</v>
      </c>
      <c r="C623" s="2">
        <v>1</v>
      </c>
      <c r="D623" s="13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3" t="s">
        <v>27</v>
      </c>
      <c r="S623" s="13" t="s">
        <v>27</v>
      </c>
    </row>
    <row r="624" spans="1:19" hidden="1" x14ac:dyDescent="0.3">
      <c r="A624" s="14">
        <v>43914.708333333336</v>
      </c>
      <c r="B624" s="13" t="s">
        <v>23</v>
      </c>
      <c r="C624" s="2">
        <v>16</v>
      </c>
      <c r="D624" s="13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3" t="s">
        <v>27</v>
      </c>
      <c r="S624" s="13" t="s">
        <v>27</v>
      </c>
    </row>
    <row r="625" spans="1:19" hidden="1" x14ac:dyDescent="0.3">
      <c r="A625" s="14">
        <v>43914.708333333336</v>
      </c>
      <c r="B625" s="13" t="s">
        <v>23</v>
      </c>
      <c r="C625" s="2">
        <v>20</v>
      </c>
      <c r="D625" s="13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3" t="s">
        <v>27</v>
      </c>
      <c r="S625" s="13" t="s">
        <v>27</v>
      </c>
    </row>
    <row r="626" spans="1:19" hidden="1" x14ac:dyDescent="0.3">
      <c r="A626" s="14">
        <v>43914.708333333336</v>
      </c>
      <c r="B626" s="13" t="s">
        <v>23</v>
      </c>
      <c r="C626" s="2">
        <v>19</v>
      </c>
      <c r="D626" s="13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3" t="s">
        <v>27</v>
      </c>
      <c r="S626" s="13" t="s">
        <v>27</v>
      </c>
    </row>
    <row r="627" spans="1:19" hidden="1" x14ac:dyDescent="0.3">
      <c r="A627" s="14">
        <v>43914.708333333336</v>
      </c>
      <c r="B627" s="13" t="s">
        <v>23</v>
      </c>
      <c r="C627" s="2">
        <v>9</v>
      </c>
      <c r="D627" s="13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3" t="s">
        <v>27</v>
      </c>
      <c r="S627" s="13" t="s">
        <v>27</v>
      </c>
    </row>
    <row r="628" spans="1:19" hidden="1" x14ac:dyDescent="0.3">
      <c r="A628" s="14">
        <v>43914.708333333336</v>
      </c>
      <c r="B628" s="13" t="s">
        <v>23</v>
      </c>
      <c r="C628" s="2">
        <v>4</v>
      </c>
      <c r="D628" s="13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3" t="s">
        <v>27</v>
      </c>
      <c r="S628" s="13" t="s">
        <v>27</v>
      </c>
    </row>
    <row r="629" spans="1:19" hidden="1" x14ac:dyDescent="0.3">
      <c r="A629" s="14">
        <v>43914.708333333336</v>
      </c>
      <c r="B629" s="13" t="s">
        <v>23</v>
      </c>
      <c r="C629" s="2">
        <v>10</v>
      </c>
      <c r="D629" s="13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3" t="s">
        <v>27</v>
      </c>
      <c r="S629" s="13" t="s">
        <v>27</v>
      </c>
    </row>
    <row r="630" spans="1:19" hidden="1" x14ac:dyDescent="0.3">
      <c r="A630" s="14">
        <v>43914.708333333336</v>
      </c>
      <c r="B630" s="13" t="s">
        <v>23</v>
      </c>
      <c r="C630" s="2">
        <v>2</v>
      </c>
      <c r="D630" s="13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3" t="s">
        <v>27</v>
      </c>
      <c r="S630" s="13" t="s">
        <v>27</v>
      </c>
    </row>
    <row r="631" spans="1:19" hidden="1" x14ac:dyDescent="0.3">
      <c r="A631" s="14">
        <v>43914.708333333336</v>
      </c>
      <c r="B631" s="13" t="s">
        <v>23</v>
      </c>
      <c r="C631" s="2">
        <v>5</v>
      </c>
      <c r="D631" s="13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3" t="s">
        <v>27</v>
      </c>
      <c r="S631" s="13" t="s">
        <v>27</v>
      </c>
    </row>
    <row r="632" spans="1:19" hidden="1" x14ac:dyDescent="0.3">
      <c r="A632" s="14">
        <v>43915.708333333336</v>
      </c>
      <c r="B632" s="13" t="s">
        <v>23</v>
      </c>
      <c r="C632" s="2">
        <v>13</v>
      </c>
      <c r="D632" s="13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3" t="s">
        <v>27</v>
      </c>
      <c r="S632" s="13" t="s">
        <v>27</v>
      </c>
    </row>
    <row r="633" spans="1:19" hidden="1" x14ac:dyDescent="0.3">
      <c r="A633" s="14">
        <v>43915.708333333336</v>
      </c>
      <c r="B633" s="13" t="s">
        <v>23</v>
      </c>
      <c r="C633" s="2">
        <v>17</v>
      </c>
      <c r="D633" s="13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3" t="s">
        <v>27</v>
      </c>
      <c r="S633" s="13" t="s">
        <v>27</v>
      </c>
    </row>
    <row r="634" spans="1:19" hidden="1" x14ac:dyDescent="0.3">
      <c r="A634" s="14">
        <v>43915.708333333336</v>
      </c>
      <c r="B634" s="13" t="s">
        <v>23</v>
      </c>
      <c r="C634" s="2">
        <v>4</v>
      </c>
      <c r="D634" s="13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3" t="s">
        <v>27</v>
      </c>
      <c r="S634" s="13" t="s">
        <v>27</v>
      </c>
    </row>
    <row r="635" spans="1:19" hidden="1" x14ac:dyDescent="0.3">
      <c r="A635" s="14">
        <v>43915.708333333336</v>
      </c>
      <c r="B635" s="13" t="s">
        <v>23</v>
      </c>
      <c r="C635" s="2">
        <v>18</v>
      </c>
      <c r="D635" s="13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3" t="s">
        <v>27</v>
      </c>
      <c r="S635" s="13" t="s">
        <v>27</v>
      </c>
    </row>
    <row r="636" spans="1:19" hidden="1" x14ac:dyDescent="0.3">
      <c r="A636" s="14">
        <v>43915.708333333336</v>
      </c>
      <c r="B636" s="13" t="s">
        <v>23</v>
      </c>
      <c r="C636" s="2">
        <v>15</v>
      </c>
      <c r="D636" s="13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3" t="s">
        <v>27</v>
      </c>
      <c r="S636" s="13" t="s">
        <v>27</v>
      </c>
    </row>
    <row r="637" spans="1:19" hidden="1" x14ac:dyDescent="0.3">
      <c r="A637" s="14">
        <v>43915.708333333336</v>
      </c>
      <c r="B637" s="13" t="s">
        <v>23</v>
      </c>
      <c r="C637" s="2">
        <v>8</v>
      </c>
      <c r="D637" s="13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3" t="s">
        <v>27</v>
      </c>
      <c r="S637" s="13" t="s">
        <v>27</v>
      </c>
    </row>
    <row r="638" spans="1:19" hidden="1" x14ac:dyDescent="0.3">
      <c r="A638" s="14">
        <v>43915.708333333336</v>
      </c>
      <c r="B638" s="13" t="s">
        <v>23</v>
      </c>
      <c r="C638" s="2">
        <v>6</v>
      </c>
      <c r="D638" s="13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3" t="s">
        <v>27</v>
      </c>
      <c r="S638" s="13" t="s">
        <v>27</v>
      </c>
    </row>
    <row r="639" spans="1:19" hidden="1" x14ac:dyDescent="0.3">
      <c r="A639" s="14">
        <v>43915.708333333336</v>
      </c>
      <c r="B639" s="13" t="s">
        <v>23</v>
      </c>
      <c r="C639" s="2">
        <v>12</v>
      </c>
      <c r="D639" s="13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3" t="s">
        <v>27</v>
      </c>
      <c r="S639" s="13" t="s">
        <v>27</v>
      </c>
    </row>
    <row r="640" spans="1:19" hidden="1" x14ac:dyDescent="0.3">
      <c r="A640" s="14">
        <v>43915.708333333336</v>
      </c>
      <c r="B640" s="13" t="s">
        <v>23</v>
      </c>
      <c r="C640" s="2">
        <v>7</v>
      </c>
      <c r="D640" s="13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3" t="s">
        <v>27</v>
      </c>
      <c r="S640" s="13" t="s">
        <v>27</v>
      </c>
    </row>
    <row r="641" spans="1:19" x14ac:dyDescent="0.3">
      <c r="A641" s="14">
        <v>43915.708333333336</v>
      </c>
      <c r="B641" s="13" t="s">
        <v>23</v>
      </c>
      <c r="C641" s="2">
        <v>3</v>
      </c>
      <c r="D641" s="13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3" t="s">
        <v>27</v>
      </c>
      <c r="S641" s="13" t="s">
        <v>27</v>
      </c>
    </row>
    <row r="642" spans="1:19" hidden="1" x14ac:dyDescent="0.3">
      <c r="A642" s="14">
        <v>43915.708333333336</v>
      </c>
      <c r="B642" s="13" t="s">
        <v>23</v>
      </c>
      <c r="C642" s="2">
        <v>11</v>
      </c>
      <c r="D642" s="13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3" t="s">
        <v>27</v>
      </c>
      <c r="S642" s="13" t="s">
        <v>27</v>
      </c>
    </row>
    <row r="643" spans="1:19" hidden="1" x14ac:dyDescent="0.3">
      <c r="A643" s="14">
        <v>43915.708333333336</v>
      </c>
      <c r="B643" s="13" t="s">
        <v>23</v>
      </c>
      <c r="C643" s="2">
        <v>14</v>
      </c>
      <c r="D643" s="13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3" t="s">
        <v>27</v>
      </c>
      <c r="S643" s="13" t="s">
        <v>27</v>
      </c>
    </row>
    <row r="644" spans="1:19" hidden="1" x14ac:dyDescent="0.3">
      <c r="A644" s="14">
        <v>43915.708333333336</v>
      </c>
      <c r="B644" s="13" t="s">
        <v>23</v>
      </c>
      <c r="C644" s="2">
        <v>1</v>
      </c>
      <c r="D644" s="13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3" t="s">
        <v>27</v>
      </c>
      <c r="S644" s="13" t="s">
        <v>27</v>
      </c>
    </row>
    <row r="645" spans="1:19" hidden="1" x14ac:dyDescent="0.3">
      <c r="A645" s="14">
        <v>43915.708333333336</v>
      </c>
      <c r="B645" s="13" t="s">
        <v>23</v>
      </c>
      <c r="C645" s="2">
        <v>16</v>
      </c>
      <c r="D645" s="13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3" t="s">
        <v>27</v>
      </c>
      <c r="S645" s="13" t="s">
        <v>27</v>
      </c>
    </row>
    <row r="646" spans="1:19" hidden="1" x14ac:dyDescent="0.3">
      <c r="A646" s="14">
        <v>43915.708333333336</v>
      </c>
      <c r="B646" s="13" t="s">
        <v>23</v>
      </c>
      <c r="C646" s="2">
        <v>20</v>
      </c>
      <c r="D646" s="13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3" t="s">
        <v>27</v>
      </c>
      <c r="S646" s="13" t="s">
        <v>27</v>
      </c>
    </row>
    <row r="647" spans="1:19" hidden="1" x14ac:dyDescent="0.3">
      <c r="A647" s="14">
        <v>43915.708333333336</v>
      </c>
      <c r="B647" s="13" t="s">
        <v>23</v>
      </c>
      <c r="C647" s="2">
        <v>19</v>
      </c>
      <c r="D647" s="13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3" t="s">
        <v>27</v>
      </c>
      <c r="S647" s="13" t="s">
        <v>27</v>
      </c>
    </row>
    <row r="648" spans="1:19" hidden="1" x14ac:dyDescent="0.3">
      <c r="A648" s="14">
        <v>43915.708333333336</v>
      </c>
      <c r="B648" s="13" t="s">
        <v>23</v>
      </c>
      <c r="C648" s="2">
        <v>9</v>
      </c>
      <c r="D648" s="13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3" t="s">
        <v>27</v>
      </c>
      <c r="S648" s="13" t="s">
        <v>27</v>
      </c>
    </row>
    <row r="649" spans="1:19" hidden="1" x14ac:dyDescent="0.3">
      <c r="A649" s="14">
        <v>43915.708333333336</v>
      </c>
      <c r="B649" s="13" t="s">
        <v>23</v>
      </c>
      <c r="C649" s="2">
        <v>4</v>
      </c>
      <c r="D649" s="13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3" t="s">
        <v>27</v>
      </c>
      <c r="S649" s="13" t="s">
        <v>27</v>
      </c>
    </row>
    <row r="650" spans="1:19" hidden="1" x14ac:dyDescent="0.3">
      <c r="A650" s="14">
        <v>43915.708333333336</v>
      </c>
      <c r="B650" s="13" t="s">
        <v>23</v>
      </c>
      <c r="C650" s="2">
        <v>10</v>
      </c>
      <c r="D650" s="13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3" t="s">
        <v>27</v>
      </c>
      <c r="S650" s="13" t="s">
        <v>27</v>
      </c>
    </row>
    <row r="651" spans="1:19" hidden="1" x14ac:dyDescent="0.3">
      <c r="A651" s="14">
        <v>43915.708333333336</v>
      </c>
      <c r="B651" s="13" t="s">
        <v>23</v>
      </c>
      <c r="C651" s="2">
        <v>2</v>
      </c>
      <c r="D651" s="13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3" t="s">
        <v>27</v>
      </c>
      <c r="S651" s="13" t="s">
        <v>27</v>
      </c>
    </row>
    <row r="652" spans="1:19" hidden="1" x14ac:dyDescent="0.3">
      <c r="A652" s="14">
        <v>43915.708333333336</v>
      </c>
      <c r="B652" s="13" t="s">
        <v>23</v>
      </c>
      <c r="C652" s="2">
        <v>5</v>
      </c>
      <c r="D652" s="13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3" t="s">
        <v>27</v>
      </c>
      <c r="S652" s="13" t="s">
        <v>27</v>
      </c>
    </row>
    <row r="653" spans="1:19" hidden="1" x14ac:dyDescent="0.3">
      <c r="A653" s="14">
        <v>43916.708333333336</v>
      </c>
      <c r="B653" s="13" t="s">
        <v>23</v>
      </c>
      <c r="C653" s="2">
        <v>13</v>
      </c>
      <c r="D653" s="13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3" t="s">
        <v>27</v>
      </c>
      <c r="S653" s="13" t="s">
        <v>27</v>
      </c>
    </row>
    <row r="654" spans="1:19" hidden="1" x14ac:dyDescent="0.3">
      <c r="A654" s="14">
        <v>43916.708333333336</v>
      </c>
      <c r="B654" s="13" t="s">
        <v>23</v>
      </c>
      <c r="C654" s="2">
        <v>17</v>
      </c>
      <c r="D654" s="13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3" t="s">
        <v>27</v>
      </c>
      <c r="S654" s="13" t="s">
        <v>27</v>
      </c>
    </row>
    <row r="655" spans="1:19" hidden="1" x14ac:dyDescent="0.3">
      <c r="A655" s="14">
        <v>43916.708333333336</v>
      </c>
      <c r="B655" s="13" t="s">
        <v>23</v>
      </c>
      <c r="C655" s="2">
        <v>4</v>
      </c>
      <c r="D655" s="13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3" t="s">
        <v>27</v>
      </c>
      <c r="S655" s="13" t="s">
        <v>27</v>
      </c>
    </row>
    <row r="656" spans="1:19" hidden="1" x14ac:dyDescent="0.3">
      <c r="A656" s="14">
        <v>43916.708333333336</v>
      </c>
      <c r="B656" s="13" t="s">
        <v>23</v>
      </c>
      <c r="C656" s="2">
        <v>18</v>
      </c>
      <c r="D656" s="13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3" t="s">
        <v>27</v>
      </c>
      <c r="S656" s="13" t="s">
        <v>27</v>
      </c>
    </row>
    <row r="657" spans="1:19" hidden="1" x14ac:dyDescent="0.3">
      <c r="A657" s="14">
        <v>43916.708333333336</v>
      </c>
      <c r="B657" s="13" t="s">
        <v>23</v>
      </c>
      <c r="C657" s="2">
        <v>15</v>
      </c>
      <c r="D657" s="13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3" t="s">
        <v>27</v>
      </c>
      <c r="S657" s="13" t="s">
        <v>27</v>
      </c>
    </row>
    <row r="658" spans="1:19" hidden="1" x14ac:dyDescent="0.3">
      <c r="A658" s="14">
        <v>43916.708333333336</v>
      </c>
      <c r="B658" s="13" t="s">
        <v>23</v>
      </c>
      <c r="C658" s="2">
        <v>8</v>
      </c>
      <c r="D658" s="13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3" t="s">
        <v>27</v>
      </c>
      <c r="S658" s="13" t="s">
        <v>27</v>
      </c>
    </row>
    <row r="659" spans="1:19" hidden="1" x14ac:dyDescent="0.3">
      <c r="A659" s="14">
        <v>43916.708333333336</v>
      </c>
      <c r="B659" s="13" t="s">
        <v>23</v>
      </c>
      <c r="C659" s="2">
        <v>6</v>
      </c>
      <c r="D659" s="13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3" t="s">
        <v>27</v>
      </c>
      <c r="S659" s="13" t="s">
        <v>27</v>
      </c>
    </row>
    <row r="660" spans="1:19" hidden="1" x14ac:dyDescent="0.3">
      <c r="A660" s="14">
        <v>43916.708333333336</v>
      </c>
      <c r="B660" s="13" t="s">
        <v>23</v>
      </c>
      <c r="C660" s="2">
        <v>12</v>
      </c>
      <c r="D660" s="13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3" t="s">
        <v>27</v>
      </c>
      <c r="S660" s="13" t="s">
        <v>27</v>
      </c>
    </row>
    <row r="661" spans="1:19" hidden="1" x14ac:dyDescent="0.3">
      <c r="A661" s="14">
        <v>43916.708333333336</v>
      </c>
      <c r="B661" s="13" t="s">
        <v>23</v>
      </c>
      <c r="C661" s="2">
        <v>7</v>
      </c>
      <c r="D661" s="13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3" t="s">
        <v>27</v>
      </c>
      <c r="S661" s="13" t="s">
        <v>27</v>
      </c>
    </row>
    <row r="662" spans="1:19" x14ac:dyDescent="0.3">
      <c r="A662" s="14">
        <v>43916.708333333336</v>
      </c>
      <c r="B662" s="13" t="s">
        <v>23</v>
      </c>
      <c r="C662" s="2">
        <v>3</v>
      </c>
      <c r="D662" s="13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3" t="s">
        <v>27</v>
      </c>
      <c r="S662" s="13" t="s">
        <v>27</v>
      </c>
    </row>
    <row r="663" spans="1:19" hidden="1" x14ac:dyDescent="0.3">
      <c r="A663" s="14">
        <v>43916.708333333336</v>
      </c>
      <c r="B663" s="13" t="s">
        <v>23</v>
      </c>
      <c r="C663" s="2">
        <v>11</v>
      </c>
      <c r="D663" s="13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3" t="s">
        <v>27</v>
      </c>
      <c r="S663" s="13" t="s">
        <v>27</v>
      </c>
    </row>
    <row r="664" spans="1:19" hidden="1" x14ac:dyDescent="0.3">
      <c r="A664" s="14">
        <v>43916.708333333336</v>
      </c>
      <c r="B664" s="13" t="s">
        <v>23</v>
      </c>
      <c r="C664" s="2">
        <v>14</v>
      </c>
      <c r="D664" s="13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3" t="s">
        <v>27</v>
      </c>
      <c r="S664" s="13" t="s">
        <v>27</v>
      </c>
    </row>
    <row r="665" spans="1:19" hidden="1" x14ac:dyDescent="0.3">
      <c r="A665" s="14">
        <v>43916.708333333336</v>
      </c>
      <c r="B665" s="13" t="s">
        <v>23</v>
      </c>
      <c r="C665" s="2">
        <v>1</v>
      </c>
      <c r="D665" s="13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3" t="s">
        <v>91</v>
      </c>
      <c r="S665" s="13" t="s">
        <v>92</v>
      </c>
    </row>
    <row r="666" spans="1:19" hidden="1" x14ac:dyDescent="0.3">
      <c r="A666" s="14">
        <v>43916.708333333336</v>
      </c>
      <c r="B666" s="13" t="s">
        <v>23</v>
      </c>
      <c r="C666" s="2">
        <v>16</v>
      </c>
      <c r="D666" s="13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3" t="s">
        <v>27</v>
      </c>
      <c r="S666" s="13" t="s">
        <v>27</v>
      </c>
    </row>
    <row r="667" spans="1:19" hidden="1" x14ac:dyDescent="0.3">
      <c r="A667" s="14">
        <v>43916.708333333336</v>
      </c>
      <c r="B667" s="13" t="s">
        <v>23</v>
      </c>
      <c r="C667" s="2">
        <v>20</v>
      </c>
      <c r="D667" s="13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3" t="s">
        <v>27</v>
      </c>
      <c r="S667" s="13" t="s">
        <v>27</v>
      </c>
    </row>
    <row r="668" spans="1:19" hidden="1" x14ac:dyDescent="0.3">
      <c r="A668" s="14">
        <v>43916.708333333336</v>
      </c>
      <c r="B668" s="13" t="s">
        <v>23</v>
      </c>
      <c r="C668" s="2">
        <v>19</v>
      </c>
      <c r="D668" s="13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3" t="s">
        <v>27</v>
      </c>
      <c r="S668" s="13" t="s">
        <v>27</v>
      </c>
    </row>
    <row r="669" spans="1:19" hidden="1" x14ac:dyDescent="0.3">
      <c r="A669" s="14">
        <v>43916.708333333336</v>
      </c>
      <c r="B669" s="13" t="s">
        <v>23</v>
      </c>
      <c r="C669" s="2">
        <v>9</v>
      </c>
      <c r="D669" s="13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3" t="s">
        <v>27</v>
      </c>
      <c r="S669" s="13" t="s">
        <v>27</v>
      </c>
    </row>
    <row r="670" spans="1:19" hidden="1" x14ac:dyDescent="0.3">
      <c r="A670" s="14">
        <v>43916.708333333336</v>
      </c>
      <c r="B670" s="13" t="s">
        <v>23</v>
      </c>
      <c r="C670" s="2">
        <v>4</v>
      </c>
      <c r="D670" s="13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3" t="s">
        <v>27</v>
      </c>
      <c r="S670" s="13" t="s">
        <v>27</v>
      </c>
    </row>
    <row r="671" spans="1:19" hidden="1" x14ac:dyDescent="0.3">
      <c r="A671" s="14">
        <v>43916.708333333336</v>
      </c>
      <c r="B671" s="13" t="s">
        <v>23</v>
      </c>
      <c r="C671" s="2">
        <v>10</v>
      </c>
      <c r="D671" s="13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3" t="s">
        <v>27</v>
      </c>
      <c r="S671" s="13" t="s">
        <v>27</v>
      </c>
    </row>
    <row r="672" spans="1:19" hidden="1" x14ac:dyDescent="0.3">
      <c r="A672" s="14">
        <v>43916.708333333336</v>
      </c>
      <c r="B672" s="13" t="s">
        <v>23</v>
      </c>
      <c r="C672" s="2">
        <v>2</v>
      </c>
      <c r="D672" s="13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3" t="s">
        <v>27</v>
      </c>
      <c r="S672" s="13" t="s">
        <v>27</v>
      </c>
    </row>
    <row r="673" spans="1:19" hidden="1" x14ac:dyDescent="0.3">
      <c r="A673" s="14">
        <v>43916.708333333336</v>
      </c>
      <c r="B673" s="13" t="s">
        <v>23</v>
      </c>
      <c r="C673" s="2">
        <v>5</v>
      </c>
      <c r="D673" s="13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3" t="s">
        <v>27</v>
      </c>
      <c r="S673" s="13" t="s">
        <v>27</v>
      </c>
    </row>
    <row r="674" spans="1:19" hidden="1" x14ac:dyDescent="0.3">
      <c r="A674" s="14">
        <v>43917.708333333336</v>
      </c>
      <c r="B674" s="13" t="s">
        <v>23</v>
      </c>
      <c r="C674" s="2">
        <v>13</v>
      </c>
      <c r="D674" s="13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3" t="s">
        <v>27</v>
      </c>
      <c r="S674" s="13" t="s">
        <v>27</v>
      </c>
    </row>
    <row r="675" spans="1:19" hidden="1" x14ac:dyDescent="0.3">
      <c r="A675" s="14">
        <v>43917.708333333336</v>
      </c>
      <c r="B675" s="13" t="s">
        <v>23</v>
      </c>
      <c r="C675" s="2">
        <v>17</v>
      </c>
      <c r="D675" s="13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3" t="s">
        <v>27</v>
      </c>
      <c r="S675" s="13" t="s">
        <v>27</v>
      </c>
    </row>
    <row r="676" spans="1:19" hidden="1" x14ac:dyDescent="0.3">
      <c r="A676" s="14">
        <v>43917.708333333336</v>
      </c>
      <c r="B676" s="13" t="s">
        <v>23</v>
      </c>
      <c r="C676" s="2">
        <v>4</v>
      </c>
      <c r="D676" s="13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3" t="s">
        <v>27</v>
      </c>
      <c r="S676" s="13" t="s">
        <v>27</v>
      </c>
    </row>
    <row r="677" spans="1:19" hidden="1" x14ac:dyDescent="0.3">
      <c r="A677" s="14">
        <v>43917.708333333336</v>
      </c>
      <c r="B677" s="13" t="s">
        <v>23</v>
      </c>
      <c r="C677" s="2">
        <v>18</v>
      </c>
      <c r="D677" s="13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3" t="s">
        <v>27</v>
      </c>
      <c r="S677" s="13" t="s">
        <v>27</v>
      </c>
    </row>
    <row r="678" spans="1:19" hidden="1" x14ac:dyDescent="0.3">
      <c r="A678" s="14">
        <v>43917.708333333336</v>
      </c>
      <c r="B678" s="13" t="s">
        <v>23</v>
      </c>
      <c r="C678" s="2">
        <v>15</v>
      </c>
      <c r="D678" s="13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3" t="s">
        <v>27</v>
      </c>
      <c r="S678" s="13" t="s">
        <v>27</v>
      </c>
    </row>
    <row r="679" spans="1:19" hidden="1" x14ac:dyDescent="0.3">
      <c r="A679" s="14">
        <v>43917.708333333336</v>
      </c>
      <c r="B679" s="13" t="s">
        <v>23</v>
      </c>
      <c r="C679" s="2">
        <v>8</v>
      </c>
      <c r="D679" s="13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3" t="s">
        <v>27</v>
      </c>
      <c r="S679" s="13" t="s">
        <v>27</v>
      </c>
    </row>
    <row r="680" spans="1:19" hidden="1" x14ac:dyDescent="0.3">
      <c r="A680" s="14">
        <v>43917.708333333336</v>
      </c>
      <c r="B680" s="13" t="s">
        <v>23</v>
      </c>
      <c r="C680" s="2">
        <v>6</v>
      </c>
      <c r="D680" s="13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3" t="s">
        <v>27</v>
      </c>
      <c r="S680" s="13" t="s">
        <v>27</v>
      </c>
    </row>
    <row r="681" spans="1:19" hidden="1" x14ac:dyDescent="0.3">
      <c r="A681" s="14">
        <v>43917.708333333336</v>
      </c>
      <c r="B681" s="13" t="s">
        <v>23</v>
      </c>
      <c r="C681" s="2">
        <v>12</v>
      </c>
      <c r="D681" s="13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3" t="s">
        <v>27</v>
      </c>
      <c r="S681" s="13" t="s">
        <v>27</v>
      </c>
    </row>
    <row r="682" spans="1:19" hidden="1" x14ac:dyDescent="0.3">
      <c r="A682" s="14">
        <v>43917.708333333336</v>
      </c>
      <c r="B682" s="13" t="s">
        <v>23</v>
      </c>
      <c r="C682" s="2">
        <v>7</v>
      </c>
      <c r="D682" s="13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3" t="s">
        <v>27</v>
      </c>
      <c r="S682" s="13" t="s">
        <v>27</v>
      </c>
    </row>
    <row r="683" spans="1:19" x14ac:dyDescent="0.3">
      <c r="A683" s="14">
        <v>43917.708333333336</v>
      </c>
      <c r="B683" s="13" t="s">
        <v>23</v>
      </c>
      <c r="C683" s="2">
        <v>3</v>
      </c>
      <c r="D683" s="13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3" t="s">
        <v>27</v>
      </c>
      <c r="S683" s="13" t="s">
        <v>27</v>
      </c>
    </row>
    <row r="684" spans="1:19" hidden="1" x14ac:dyDescent="0.3">
      <c r="A684" s="14">
        <v>43917.708333333336</v>
      </c>
      <c r="B684" s="13" t="s">
        <v>23</v>
      </c>
      <c r="C684" s="2">
        <v>11</v>
      </c>
      <c r="D684" s="13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3" t="s">
        <v>27</v>
      </c>
      <c r="S684" s="13" t="s">
        <v>27</v>
      </c>
    </row>
    <row r="685" spans="1:19" hidden="1" x14ac:dyDescent="0.3">
      <c r="A685" s="14">
        <v>43917.708333333336</v>
      </c>
      <c r="B685" s="13" t="s">
        <v>23</v>
      </c>
      <c r="C685" s="2">
        <v>14</v>
      </c>
      <c r="D685" s="13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3" t="s">
        <v>27</v>
      </c>
      <c r="S685" s="13" t="s">
        <v>27</v>
      </c>
    </row>
    <row r="686" spans="1:19" hidden="1" x14ac:dyDescent="0.3">
      <c r="A686" s="14">
        <v>43917.708333333336</v>
      </c>
      <c r="B686" s="13" t="s">
        <v>23</v>
      </c>
      <c r="C686" s="2">
        <v>1</v>
      </c>
      <c r="D686" s="13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3" t="s">
        <v>27</v>
      </c>
      <c r="S686" s="13" t="s">
        <v>27</v>
      </c>
    </row>
    <row r="687" spans="1:19" hidden="1" x14ac:dyDescent="0.3">
      <c r="A687" s="14">
        <v>43917.708333333336</v>
      </c>
      <c r="B687" s="13" t="s">
        <v>23</v>
      </c>
      <c r="C687" s="2">
        <v>16</v>
      </c>
      <c r="D687" s="13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3" t="s">
        <v>27</v>
      </c>
      <c r="S687" s="13" t="s">
        <v>27</v>
      </c>
    </row>
    <row r="688" spans="1:19" hidden="1" x14ac:dyDescent="0.3">
      <c r="A688" s="14">
        <v>43917.708333333336</v>
      </c>
      <c r="B688" s="13" t="s">
        <v>23</v>
      </c>
      <c r="C688" s="2">
        <v>20</v>
      </c>
      <c r="D688" s="13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3" t="s">
        <v>27</v>
      </c>
      <c r="S688" s="13" t="s">
        <v>27</v>
      </c>
    </row>
    <row r="689" spans="1:19" hidden="1" x14ac:dyDescent="0.3">
      <c r="A689" s="14">
        <v>43917.708333333336</v>
      </c>
      <c r="B689" s="13" t="s">
        <v>23</v>
      </c>
      <c r="C689" s="2">
        <v>19</v>
      </c>
      <c r="D689" s="13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3" t="s">
        <v>27</v>
      </c>
      <c r="S689" s="13" t="s">
        <v>27</v>
      </c>
    </row>
    <row r="690" spans="1:19" hidden="1" x14ac:dyDescent="0.3">
      <c r="A690" s="14">
        <v>43917.708333333336</v>
      </c>
      <c r="B690" s="13" t="s">
        <v>23</v>
      </c>
      <c r="C690" s="2">
        <v>9</v>
      </c>
      <c r="D690" s="13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3" t="s">
        <v>27</v>
      </c>
      <c r="S690" s="13" t="s">
        <v>27</v>
      </c>
    </row>
    <row r="691" spans="1:19" hidden="1" x14ac:dyDescent="0.3">
      <c r="A691" s="14">
        <v>43917.708333333336</v>
      </c>
      <c r="B691" s="13" t="s">
        <v>23</v>
      </c>
      <c r="C691" s="2">
        <v>4</v>
      </c>
      <c r="D691" s="13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3" t="s">
        <v>27</v>
      </c>
      <c r="S691" s="13" t="s">
        <v>27</v>
      </c>
    </row>
    <row r="692" spans="1:19" hidden="1" x14ac:dyDescent="0.3">
      <c r="A692" s="14">
        <v>43917.708333333336</v>
      </c>
      <c r="B692" s="13" t="s">
        <v>23</v>
      </c>
      <c r="C692" s="2">
        <v>10</v>
      </c>
      <c r="D692" s="13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3" t="s">
        <v>27</v>
      </c>
      <c r="S692" s="13" t="s">
        <v>27</v>
      </c>
    </row>
    <row r="693" spans="1:19" hidden="1" x14ac:dyDescent="0.3">
      <c r="A693" s="14">
        <v>43917.708333333336</v>
      </c>
      <c r="B693" s="13" t="s">
        <v>23</v>
      </c>
      <c r="C693" s="2">
        <v>2</v>
      </c>
      <c r="D693" s="13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3" t="s">
        <v>27</v>
      </c>
      <c r="S693" s="13" t="s">
        <v>27</v>
      </c>
    </row>
    <row r="694" spans="1:19" hidden="1" x14ac:dyDescent="0.3">
      <c r="A694" s="14">
        <v>43917.708333333336</v>
      </c>
      <c r="B694" s="13" t="s">
        <v>23</v>
      </c>
      <c r="C694" s="2">
        <v>5</v>
      </c>
      <c r="D694" s="13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3" t="s">
        <v>27</v>
      </c>
      <c r="S694" s="13" t="s">
        <v>27</v>
      </c>
    </row>
    <row r="695" spans="1:19" hidden="1" x14ac:dyDescent="0.3">
      <c r="A695" s="14">
        <v>43918.708333333336</v>
      </c>
      <c r="B695" s="13" t="s">
        <v>23</v>
      </c>
      <c r="C695" s="2">
        <v>13</v>
      </c>
      <c r="D695" s="13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3" t="s">
        <v>27</v>
      </c>
      <c r="S695" s="13" t="s">
        <v>27</v>
      </c>
    </row>
    <row r="696" spans="1:19" hidden="1" x14ac:dyDescent="0.3">
      <c r="A696" s="14">
        <v>43918.708333333336</v>
      </c>
      <c r="B696" s="13" t="s">
        <v>23</v>
      </c>
      <c r="C696" s="2">
        <v>17</v>
      </c>
      <c r="D696" s="13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3" t="s">
        <v>27</v>
      </c>
      <c r="S696" s="13" t="s">
        <v>27</v>
      </c>
    </row>
    <row r="697" spans="1:19" hidden="1" x14ac:dyDescent="0.3">
      <c r="A697" s="14">
        <v>43918.708333333336</v>
      </c>
      <c r="B697" s="13" t="s">
        <v>23</v>
      </c>
      <c r="C697" s="2">
        <v>4</v>
      </c>
      <c r="D697" s="13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3" t="s">
        <v>27</v>
      </c>
      <c r="S697" s="13" t="s">
        <v>27</v>
      </c>
    </row>
    <row r="698" spans="1:19" hidden="1" x14ac:dyDescent="0.3">
      <c r="A698" s="14">
        <v>43918.708333333336</v>
      </c>
      <c r="B698" s="13" t="s">
        <v>23</v>
      </c>
      <c r="C698" s="2">
        <v>18</v>
      </c>
      <c r="D698" s="13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3" t="s">
        <v>27</v>
      </c>
      <c r="S698" s="13" t="s">
        <v>27</v>
      </c>
    </row>
    <row r="699" spans="1:19" hidden="1" x14ac:dyDescent="0.3">
      <c r="A699" s="14">
        <v>43918.708333333336</v>
      </c>
      <c r="B699" s="13" t="s">
        <v>23</v>
      </c>
      <c r="C699" s="2">
        <v>15</v>
      </c>
      <c r="D699" s="13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3" t="s">
        <v>27</v>
      </c>
      <c r="S699" s="13" t="s">
        <v>27</v>
      </c>
    </row>
    <row r="700" spans="1:19" hidden="1" x14ac:dyDescent="0.3">
      <c r="A700" s="14">
        <v>43918.708333333336</v>
      </c>
      <c r="B700" s="13" t="s">
        <v>23</v>
      </c>
      <c r="C700" s="2">
        <v>8</v>
      </c>
      <c r="D700" s="13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3" t="s">
        <v>27</v>
      </c>
      <c r="S700" s="13" t="s">
        <v>27</v>
      </c>
    </row>
    <row r="701" spans="1:19" hidden="1" x14ac:dyDescent="0.3">
      <c r="A701" s="14">
        <v>43918.708333333336</v>
      </c>
      <c r="B701" s="13" t="s">
        <v>23</v>
      </c>
      <c r="C701" s="2">
        <v>6</v>
      </c>
      <c r="D701" s="13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3" t="s">
        <v>27</v>
      </c>
      <c r="S701" s="13" t="s">
        <v>27</v>
      </c>
    </row>
    <row r="702" spans="1:19" hidden="1" x14ac:dyDescent="0.3">
      <c r="A702" s="14">
        <v>43918.708333333336</v>
      </c>
      <c r="B702" s="13" t="s">
        <v>23</v>
      </c>
      <c r="C702" s="2">
        <v>12</v>
      </c>
      <c r="D702" s="13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3" t="s">
        <v>27</v>
      </c>
      <c r="S702" s="13" t="s">
        <v>27</v>
      </c>
    </row>
    <row r="703" spans="1:19" hidden="1" x14ac:dyDescent="0.3">
      <c r="A703" s="14">
        <v>43918.708333333336</v>
      </c>
      <c r="B703" s="13" t="s">
        <v>23</v>
      </c>
      <c r="C703" s="2">
        <v>7</v>
      </c>
      <c r="D703" s="13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3" t="s">
        <v>27</v>
      </c>
      <c r="S703" s="13" t="s">
        <v>27</v>
      </c>
    </row>
    <row r="704" spans="1:19" x14ac:dyDescent="0.3">
      <c r="A704" s="14">
        <v>43918.708333333336</v>
      </c>
      <c r="B704" s="13" t="s">
        <v>23</v>
      </c>
      <c r="C704" s="2">
        <v>3</v>
      </c>
      <c r="D704" s="13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3" t="s">
        <v>27</v>
      </c>
      <c r="S704" s="13" t="s">
        <v>27</v>
      </c>
    </row>
    <row r="705" spans="1:19" hidden="1" x14ac:dyDescent="0.3">
      <c r="A705" s="14">
        <v>43918.708333333336</v>
      </c>
      <c r="B705" s="13" t="s">
        <v>23</v>
      </c>
      <c r="C705" s="2">
        <v>11</v>
      </c>
      <c r="D705" s="13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3" t="s">
        <v>27</v>
      </c>
      <c r="S705" s="13" t="s">
        <v>27</v>
      </c>
    </row>
    <row r="706" spans="1:19" hidden="1" x14ac:dyDescent="0.3">
      <c r="A706" s="14">
        <v>43918.708333333336</v>
      </c>
      <c r="B706" s="13" t="s">
        <v>23</v>
      </c>
      <c r="C706" s="2">
        <v>14</v>
      </c>
      <c r="D706" s="13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3" t="s">
        <v>27</v>
      </c>
      <c r="S706" s="13" t="s">
        <v>27</v>
      </c>
    </row>
    <row r="707" spans="1:19" hidden="1" x14ac:dyDescent="0.3">
      <c r="A707" s="14">
        <v>43918.708333333336</v>
      </c>
      <c r="B707" s="13" t="s">
        <v>23</v>
      </c>
      <c r="C707" s="2">
        <v>1</v>
      </c>
      <c r="D707" s="13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3" t="s">
        <v>27</v>
      </c>
      <c r="S707" s="13" t="s">
        <v>27</v>
      </c>
    </row>
    <row r="708" spans="1:19" hidden="1" x14ac:dyDescent="0.3">
      <c r="A708" s="14">
        <v>43918.708333333336</v>
      </c>
      <c r="B708" s="13" t="s">
        <v>23</v>
      </c>
      <c r="C708" s="2">
        <v>16</v>
      </c>
      <c r="D708" s="13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3" t="s">
        <v>27</v>
      </c>
      <c r="S708" s="13" t="s">
        <v>27</v>
      </c>
    </row>
    <row r="709" spans="1:19" hidden="1" x14ac:dyDescent="0.3">
      <c r="A709" s="14">
        <v>43918.708333333336</v>
      </c>
      <c r="B709" s="13" t="s">
        <v>23</v>
      </c>
      <c r="C709" s="2">
        <v>20</v>
      </c>
      <c r="D709" s="13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3" t="s">
        <v>27</v>
      </c>
      <c r="S709" s="13" t="s">
        <v>27</v>
      </c>
    </row>
    <row r="710" spans="1:19" hidden="1" x14ac:dyDescent="0.3">
      <c r="A710" s="14">
        <v>43918.708333333336</v>
      </c>
      <c r="B710" s="13" t="s">
        <v>23</v>
      </c>
      <c r="C710" s="2">
        <v>19</v>
      </c>
      <c r="D710" s="13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3" t="s">
        <v>27</v>
      </c>
      <c r="S710" s="13" t="s">
        <v>27</v>
      </c>
    </row>
    <row r="711" spans="1:19" hidden="1" x14ac:dyDescent="0.3">
      <c r="A711" s="14">
        <v>43918.708333333336</v>
      </c>
      <c r="B711" s="13" t="s">
        <v>23</v>
      </c>
      <c r="C711" s="2">
        <v>9</v>
      </c>
      <c r="D711" s="13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3" t="s">
        <v>27</v>
      </c>
      <c r="S711" s="13" t="s">
        <v>27</v>
      </c>
    </row>
    <row r="712" spans="1:19" hidden="1" x14ac:dyDescent="0.3">
      <c r="A712" s="14">
        <v>43918.708333333336</v>
      </c>
      <c r="B712" s="13" t="s">
        <v>23</v>
      </c>
      <c r="C712" s="2">
        <v>4</v>
      </c>
      <c r="D712" s="13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3" t="s">
        <v>27</v>
      </c>
      <c r="S712" s="13" t="s">
        <v>27</v>
      </c>
    </row>
    <row r="713" spans="1:19" hidden="1" x14ac:dyDescent="0.3">
      <c r="A713" s="14">
        <v>43918.708333333336</v>
      </c>
      <c r="B713" s="13" t="s">
        <v>23</v>
      </c>
      <c r="C713" s="2">
        <v>10</v>
      </c>
      <c r="D713" s="13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3" t="s">
        <v>27</v>
      </c>
      <c r="S713" s="13" t="s">
        <v>27</v>
      </c>
    </row>
    <row r="714" spans="1:19" hidden="1" x14ac:dyDescent="0.3">
      <c r="A714" s="14">
        <v>43918.708333333336</v>
      </c>
      <c r="B714" s="13" t="s">
        <v>23</v>
      </c>
      <c r="C714" s="2">
        <v>2</v>
      </c>
      <c r="D714" s="13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3" t="s">
        <v>27</v>
      </c>
      <c r="S714" s="13" t="s">
        <v>27</v>
      </c>
    </row>
    <row r="715" spans="1:19" hidden="1" x14ac:dyDescent="0.3">
      <c r="A715" s="14">
        <v>43918.708333333336</v>
      </c>
      <c r="B715" s="13" t="s">
        <v>23</v>
      </c>
      <c r="C715" s="2">
        <v>5</v>
      </c>
      <c r="D715" s="13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3" t="s">
        <v>27</v>
      </c>
      <c r="S715" s="13" t="s">
        <v>27</v>
      </c>
    </row>
    <row r="716" spans="1:19" hidden="1" x14ac:dyDescent="0.3">
      <c r="A716" s="14">
        <v>43919.708333333336</v>
      </c>
      <c r="B716" s="13" t="s">
        <v>23</v>
      </c>
      <c r="C716" s="2">
        <v>13</v>
      </c>
      <c r="D716" s="13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3" t="s">
        <v>27</v>
      </c>
      <c r="S716" s="13" t="s">
        <v>27</v>
      </c>
    </row>
    <row r="717" spans="1:19" hidden="1" x14ac:dyDescent="0.3">
      <c r="A717" s="14">
        <v>43919.708333333336</v>
      </c>
      <c r="B717" s="13" t="s">
        <v>23</v>
      </c>
      <c r="C717" s="2">
        <v>17</v>
      </c>
      <c r="D717" s="13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3" t="s">
        <v>27</v>
      </c>
      <c r="S717" s="13" t="s">
        <v>27</v>
      </c>
    </row>
    <row r="718" spans="1:19" hidden="1" x14ac:dyDescent="0.3">
      <c r="A718" s="14">
        <v>43919.708333333336</v>
      </c>
      <c r="B718" s="13" t="s">
        <v>23</v>
      </c>
      <c r="C718" s="2">
        <v>4</v>
      </c>
      <c r="D718" s="13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3" t="s">
        <v>27</v>
      </c>
      <c r="S718" s="13" t="s">
        <v>27</v>
      </c>
    </row>
    <row r="719" spans="1:19" hidden="1" x14ac:dyDescent="0.3">
      <c r="A719" s="14">
        <v>43919.708333333336</v>
      </c>
      <c r="B719" s="13" t="s">
        <v>23</v>
      </c>
      <c r="C719" s="2">
        <v>18</v>
      </c>
      <c r="D719" s="13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3" t="s">
        <v>27</v>
      </c>
      <c r="S719" s="13" t="s">
        <v>27</v>
      </c>
    </row>
    <row r="720" spans="1:19" hidden="1" x14ac:dyDescent="0.3">
      <c r="A720" s="14">
        <v>43919.708333333336</v>
      </c>
      <c r="B720" s="13" t="s">
        <v>23</v>
      </c>
      <c r="C720" s="2">
        <v>15</v>
      </c>
      <c r="D720" s="13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3" t="s">
        <v>27</v>
      </c>
      <c r="S720" s="13" t="s">
        <v>27</v>
      </c>
    </row>
    <row r="721" spans="1:19" hidden="1" x14ac:dyDescent="0.3">
      <c r="A721" s="14">
        <v>43919.708333333336</v>
      </c>
      <c r="B721" s="13" t="s">
        <v>23</v>
      </c>
      <c r="C721" s="2">
        <v>8</v>
      </c>
      <c r="D721" s="13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3" t="s">
        <v>99</v>
      </c>
      <c r="S721" s="13" t="s">
        <v>100</v>
      </c>
    </row>
    <row r="722" spans="1:19" hidden="1" x14ac:dyDescent="0.3">
      <c r="A722" s="14">
        <v>43919.708333333336</v>
      </c>
      <c r="B722" s="13" t="s">
        <v>23</v>
      </c>
      <c r="C722" s="2">
        <v>6</v>
      </c>
      <c r="D722" s="13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3" t="s">
        <v>27</v>
      </c>
      <c r="S722" s="13" t="s">
        <v>27</v>
      </c>
    </row>
    <row r="723" spans="1:19" hidden="1" x14ac:dyDescent="0.3">
      <c r="A723" s="14">
        <v>43919.708333333336</v>
      </c>
      <c r="B723" s="13" t="s">
        <v>23</v>
      </c>
      <c r="C723" s="2">
        <v>12</v>
      </c>
      <c r="D723" s="13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3" t="s">
        <v>27</v>
      </c>
      <c r="S723" s="13" t="s">
        <v>27</v>
      </c>
    </row>
    <row r="724" spans="1:19" hidden="1" x14ac:dyDescent="0.3">
      <c r="A724" s="14">
        <v>43919.708333333336</v>
      </c>
      <c r="B724" s="13" t="s">
        <v>23</v>
      </c>
      <c r="C724" s="2">
        <v>7</v>
      </c>
      <c r="D724" s="13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3" t="s">
        <v>27</v>
      </c>
      <c r="S724" s="13" t="s">
        <v>27</v>
      </c>
    </row>
    <row r="725" spans="1:19" x14ac:dyDescent="0.3">
      <c r="A725" s="14">
        <v>43919.708333333336</v>
      </c>
      <c r="B725" s="13" t="s">
        <v>23</v>
      </c>
      <c r="C725" s="2">
        <v>3</v>
      </c>
      <c r="D725" s="13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3" t="s">
        <v>27</v>
      </c>
      <c r="S725" s="13" t="s">
        <v>27</v>
      </c>
    </row>
    <row r="726" spans="1:19" hidden="1" x14ac:dyDescent="0.3">
      <c r="A726" s="14">
        <v>43919.708333333336</v>
      </c>
      <c r="B726" s="13" t="s">
        <v>23</v>
      </c>
      <c r="C726" s="2">
        <v>11</v>
      </c>
      <c r="D726" s="13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3" t="s">
        <v>27</v>
      </c>
      <c r="S726" s="13" t="s">
        <v>27</v>
      </c>
    </row>
    <row r="727" spans="1:19" hidden="1" x14ac:dyDescent="0.3">
      <c r="A727" s="14">
        <v>43919.708333333336</v>
      </c>
      <c r="B727" s="13" t="s">
        <v>23</v>
      </c>
      <c r="C727" s="2">
        <v>14</v>
      </c>
      <c r="D727" s="13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3" t="s">
        <v>27</v>
      </c>
      <c r="S727" s="13" t="s">
        <v>27</v>
      </c>
    </row>
    <row r="728" spans="1:19" hidden="1" x14ac:dyDescent="0.3">
      <c r="A728" s="14">
        <v>43919.708333333336</v>
      </c>
      <c r="B728" s="13" t="s">
        <v>23</v>
      </c>
      <c r="C728" s="2">
        <v>1</v>
      </c>
      <c r="D728" s="13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3" t="s">
        <v>27</v>
      </c>
      <c r="S728" s="13" t="s">
        <v>27</v>
      </c>
    </row>
    <row r="729" spans="1:19" hidden="1" x14ac:dyDescent="0.3">
      <c r="A729" s="14">
        <v>43919.708333333336</v>
      </c>
      <c r="B729" s="13" t="s">
        <v>23</v>
      </c>
      <c r="C729" s="2">
        <v>16</v>
      </c>
      <c r="D729" s="13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3" t="s">
        <v>27</v>
      </c>
      <c r="S729" s="13" t="s">
        <v>27</v>
      </c>
    </row>
    <row r="730" spans="1:19" hidden="1" x14ac:dyDescent="0.3">
      <c r="A730" s="14">
        <v>43919.708333333336</v>
      </c>
      <c r="B730" s="13" t="s">
        <v>23</v>
      </c>
      <c r="C730" s="2">
        <v>20</v>
      </c>
      <c r="D730" s="13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3" t="s">
        <v>27</v>
      </c>
      <c r="S730" s="13" t="s">
        <v>27</v>
      </c>
    </row>
    <row r="731" spans="1:19" hidden="1" x14ac:dyDescent="0.3">
      <c r="A731" s="14">
        <v>43919.708333333336</v>
      </c>
      <c r="B731" s="13" t="s">
        <v>23</v>
      </c>
      <c r="C731" s="2">
        <v>19</v>
      </c>
      <c r="D731" s="13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3" t="s">
        <v>27</v>
      </c>
      <c r="S731" s="13" t="s">
        <v>27</v>
      </c>
    </row>
    <row r="732" spans="1:19" hidden="1" x14ac:dyDescent="0.3">
      <c r="A732" s="14">
        <v>43919.708333333336</v>
      </c>
      <c r="B732" s="13" t="s">
        <v>23</v>
      </c>
      <c r="C732" s="2">
        <v>9</v>
      </c>
      <c r="D732" s="13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3" t="s">
        <v>27</v>
      </c>
      <c r="S732" s="13" t="s">
        <v>27</v>
      </c>
    </row>
    <row r="733" spans="1:19" hidden="1" x14ac:dyDescent="0.3">
      <c r="A733" s="14">
        <v>43919.708333333336</v>
      </c>
      <c r="B733" s="13" t="s">
        <v>23</v>
      </c>
      <c r="C733" s="2">
        <v>4</v>
      </c>
      <c r="D733" s="13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3" t="s">
        <v>27</v>
      </c>
      <c r="S733" s="13" t="s">
        <v>27</v>
      </c>
    </row>
    <row r="734" spans="1:19" hidden="1" x14ac:dyDescent="0.3">
      <c r="A734" s="14">
        <v>43919.708333333336</v>
      </c>
      <c r="B734" s="13" t="s">
        <v>23</v>
      </c>
      <c r="C734" s="2">
        <v>10</v>
      </c>
      <c r="D734" s="13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3" t="s">
        <v>27</v>
      </c>
      <c r="S734" s="13" t="s">
        <v>27</v>
      </c>
    </row>
    <row r="735" spans="1:19" hidden="1" x14ac:dyDescent="0.3">
      <c r="A735" s="14">
        <v>43919.708333333336</v>
      </c>
      <c r="B735" s="13" t="s">
        <v>23</v>
      </c>
      <c r="C735" s="2">
        <v>2</v>
      </c>
      <c r="D735" s="13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3" t="s">
        <v>27</v>
      </c>
      <c r="S735" s="13" t="s">
        <v>27</v>
      </c>
    </row>
    <row r="736" spans="1:19" hidden="1" x14ac:dyDescent="0.3">
      <c r="A736" s="14">
        <v>43919.708333333336</v>
      </c>
      <c r="B736" s="13" t="s">
        <v>23</v>
      </c>
      <c r="C736" s="2">
        <v>5</v>
      </c>
      <c r="D736" s="13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3" t="s">
        <v>27</v>
      </c>
      <c r="S736" s="13" t="s">
        <v>27</v>
      </c>
    </row>
    <row r="737" spans="1:19" hidden="1" x14ac:dyDescent="0.3">
      <c r="A737" s="14">
        <v>43920.708333333336</v>
      </c>
      <c r="B737" s="13" t="s">
        <v>23</v>
      </c>
      <c r="C737" s="2">
        <v>13</v>
      </c>
      <c r="D737" s="13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3" t="s">
        <v>27</v>
      </c>
      <c r="S737" s="13" t="s">
        <v>27</v>
      </c>
    </row>
    <row r="738" spans="1:19" hidden="1" x14ac:dyDescent="0.3">
      <c r="A738" s="14">
        <v>43920.708333333336</v>
      </c>
      <c r="B738" s="13" t="s">
        <v>23</v>
      </c>
      <c r="C738" s="2">
        <v>17</v>
      </c>
      <c r="D738" s="13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3" t="s">
        <v>27</v>
      </c>
      <c r="S738" s="13" t="s">
        <v>27</v>
      </c>
    </row>
    <row r="739" spans="1:19" hidden="1" x14ac:dyDescent="0.3">
      <c r="A739" s="14">
        <v>43920.708333333336</v>
      </c>
      <c r="B739" s="13" t="s">
        <v>23</v>
      </c>
      <c r="C739" s="2">
        <v>4</v>
      </c>
      <c r="D739" s="13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3" t="s">
        <v>27</v>
      </c>
      <c r="S739" s="13" t="s">
        <v>27</v>
      </c>
    </row>
    <row r="740" spans="1:19" hidden="1" x14ac:dyDescent="0.3">
      <c r="A740" s="14">
        <v>43920.708333333336</v>
      </c>
      <c r="B740" s="13" t="s">
        <v>23</v>
      </c>
      <c r="C740" s="2">
        <v>18</v>
      </c>
      <c r="D740" s="13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3" t="s">
        <v>27</v>
      </c>
      <c r="S740" s="13" t="s">
        <v>27</v>
      </c>
    </row>
    <row r="741" spans="1:19" hidden="1" x14ac:dyDescent="0.3">
      <c r="A741" s="14">
        <v>43920.708333333336</v>
      </c>
      <c r="B741" s="13" t="s">
        <v>23</v>
      </c>
      <c r="C741" s="2">
        <v>15</v>
      </c>
      <c r="D741" s="13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3" t="s">
        <v>27</v>
      </c>
      <c r="S741" s="13" t="s">
        <v>27</v>
      </c>
    </row>
    <row r="742" spans="1:19" hidden="1" x14ac:dyDescent="0.3">
      <c r="A742" s="14">
        <v>43920.708333333336</v>
      </c>
      <c r="B742" s="13" t="s">
        <v>23</v>
      </c>
      <c r="C742" s="2">
        <v>8</v>
      </c>
      <c r="D742" s="13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3" t="s">
        <v>27</v>
      </c>
      <c r="S742" s="13" t="s">
        <v>27</v>
      </c>
    </row>
    <row r="743" spans="1:19" hidden="1" x14ac:dyDescent="0.3">
      <c r="A743" s="14">
        <v>43920.708333333336</v>
      </c>
      <c r="B743" s="13" t="s">
        <v>23</v>
      </c>
      <c r="C743" s="2">
        <v>6</v>
      </c>
      <c r="D743" s="13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3" t="s">
        <v>27</v>
      </c>
      <c r="S743" s="13" t="s">
        <v>27</v>
      </c>
    </row>
    <row r="744" spans="1:19" hidden="1" x14ac:dyDescent="0.3">
      <c r="A744" s="14">
        <v>43920.708333333336</v>
      </c>
      <c r="B744" s="13" t="s">
        <v>23</v>
      </c>
      <c r="C744" s="2">
        <v>12</v>
      </c>
      <c r="D744" s="13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3" t="s">
        <v>27</v>
      </c>
      <c r="S744" s="13" t="s">
        <v>27</v>
      </c>
    </row>
    <row r="745" spans="1:19" hidden="1" x14ac:dyDescent="0.3">
      <c r="A745" s="14">
        <v>43920.708333333336</v>
      </c>
      <c r="B745" s="13" t="s">
        <v>23</v>
      </c>
      <c r="C745" s="2">
        <v>7</v>
      </c>
      <c r="D745" s="13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3" t="s">
        <v>27</v>
      </c>
      <c r="S745" s="13" t="s">
        <v>27</v>
      </c>
    </row>
    <row r="746" spans="1:19" x14ac:dyDescent="0.3">
      <c r="A746" s="14">
        <v>43920.708333333336</v>
      </c>
      <c r="B746" s="13" t="s">
        <v>23</v>
      </c>
      <c r="C746" s="2">
        <v>3</v>
      </c>
      <c r="D746" s="13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3" t="s">
        <v>27</v>
      </c>
      <c r="S746" s="13" t="s">
        <v>27</v>
      </c>
    </row>
    <row r="747" spans="1:19" hidden="1" x14ac:dyDescent="0.3">
      <c r="A747" s="14">
        <v>43920.708333333336</v>
      </c>
      <c r="B747" s="13" t="s">
        <v>23</v>
      </c>
      <c r="C747" s="2">
        <v>11</v>
      </c>
      <c r="D747" s="13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3" t="s">
        <v>27</v>
      </c>
      <c r="S747" s="13" t="s">
        <v>27</v>
      </c>
    </row>
    <row r="748" spans="1:19" hidden="1" x14ac:dyDescent="0.3">
      <c r="A748" s="14">
        <v>43920.708333333336</v>
      </c>
      <c r="B748" s="13" t="s">
        <v>23</v>
      </c>
      <c r="C748" s="2">
        <v>14</v>
      </c>
      <c r="D748" s="13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3" t="s">
        <v>27</v>
      </c>
      <c r="S748" s="13" t="s">
        <v>27</v>
      </c>
    </row>
    <row r="749" spans="1:19" hidden="1" x14ac:dyDescent="0.3">
      <c r="A749" s="14">
        <v>43920.708333333336</v>
      </c>
      <c r="B749" s="13" t="s">
        <v>23</v>
      </c>
      <c r="C749" s="2">
        <v>1</v>
      </c>
      <c r="D749" s="13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3" t="s">
        <v>27</v>
      </c>
      <c r="S749" s="13" t="s">
        <v>27</v>
      </c>
    </row>
    <row r="750" spans="1:19" hidden="1" x14ac:dyDescent="0.3">
      <c r="A750" s="14">
        <v>43920.708333333336</v>
      </c>
      <c r="B750" s="13" t="s">
        <v>23</v>
      </c>
      <c r="C750" s="2">
        <v>16</v>
      </c>
      <c r="D750" s="13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3" t="s">
        <v>27</v>
      </c>
      <c r="S750" s="13" t="s">
        <v>27</v>
      </c>
    </row>
    <row r="751" spans="1:19" hidden="1" x14ac:dyDescent="0.3">
      <c r="A751" s="14">
        <v>43920.708333333336</v>
      </c>
      <c r="B751" s="13" t="s">
        <v>23</v>
      </c>
      <c r="C751" s="2">
        <v>20</v>
      </c>
      <c r="D751" s="13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3" t="s">
        <v>27</v>
      </c>
      <c r="S751" s="13" t="s">
        <v>27</v>
      </c>
    </row>
    <row r="752" spans="1:19" hidden="1" x14ac:dyDescent="0.3">
      <c r="A752" s="14">
        <v>43920.708333333336</v>
      </c>
      <c r="B752" s="13" t="s">
        <v>23</v>
      </c>
      <c r="C752" s="2">
        <v>19</v>
      </c>
      <c r="D752" s="13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3" t="s">
        <v>27</v>
      </c>
      <c r="S752" s="13" t="s">
        <v>27</v>
      </c>
    </row>
    <row r="753" spans="1:19" hidden="1" x14ac:dyDescent="0.3">
      <c r="A753" s="14">
        <v>43920.708333333336</v>
      </c>
      <c r="B753" s="13" t="s">
        <v>23</v>
      </c>
      <c r="C753" s="2">
        <v>9</v>
      </c>
      <c r="D753" s="13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3" t="s">
        <v>27</v>
      </c>
      <c r="S753" s="13" t="s">
        <v>27</v>
      </c>
    </row>
    <row r="754" spans="1:19" hidden="1" x14ac:dyDescent="0.3">
      <c r="A754" s="14">
        <v>43920.708333333336</v>
      </c>
      <c r="B754" s="13" t="s">
        <v>23</v>
      </c>
      <c r="C754" s="2">
        <v>4</v>
      </c>
      <c r="D754" s="13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3" t="s">
        <v>27</v>
      </c>
      <c r="S754" s="13" t="s">
        <v>27</v>
      </c>
    </row>
    <row r="755" spans="1:19" hidden="1" x14ac:dyDescent="0.3">
      <c r="A755" s="14">
        <v>43920.708333333336</v>
      </c>
      <c r="B755" s="13" t="s">
        <v>23</v>
      </c>
      <c r="C755" s="2">
        <v>10</v>
      </c>
      <c r="D755" s="13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3" t="s">
        <v>27</v>
      </c>
      <c r="S755" s="13" t="s">
        <v>27</v>
      </c>
    </row>
    <row r="756" spans="1:19" hidden="1" x14ac:dyDescent="0.3">
      <c r="A756" s="14">
        <v>43920.708333333336</v>
      </c>
      <c r="B756" s="13" t="s">
        <v>23</v>
      </c>
      <c r="C756" s="2">
        <v>2</v>
      </c>
      <c r="D756" s="13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3" t="s">
        <v>27</v>
      </c>
      <c r="S756" s="13" t="s">
        <v>27</v>
      </c>
    </row>
    <row r="757" spans="1:19" hidden="1" x14ac:dyDescent="0.3">
      <c r="A757" s="14">
        <v>43920.708333333336</v>
      </c>
      <c r="B757" s="13" t="s">
        <v>23</v>
      </c>
      <c r="C757" s="2">
        <v>5</v>
      </c>
      <c r="D757" s="13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3" t="s">
        <v>27</v>
      </c>
      <c r="S757" s="13" t="s">
        <v>27</v>
      </c>
    </row>
    <row r="758" spans="1:19" hidden="1" x14ac:dyDescent="0.3">
      <c r="A758" s="14">
        <v>43921.708333333336</v>
      </c>
      <c r="B758" s="13" t="s">
        <v>23</v>
      </c>
      <c r="C758" s="2">
        <v>13</v>
      </c>
      <c r="D758" s="13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3" t="s">
        <v>27</v>
      </c>
      <c r="S758" s="13" t="s">
        <v>27</v>
      </c>
    </row>
    <row r="759" spans="1:19" hidden="1" x14ac:dyDescent="0.3">
      <c r="A759" s="14">
        <v>43921.708333333336</v>
      </c>
      <c r="B759" s="13" t="s">
        <v>23</v>
      </c>
      <c r="C759" s="2">
        <v>17</v>
      </c>
      <c r="D759" s="13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3" t="s">
        <v>27</v>
      </c>
      <c r="S759" s="13" t="s">
        <v>27</v>
      </c>
    </row>
    <row r="760" spans="1:19" hidden="1" x14ac:dyDescent="0.3">
      <c r="A760" s="14">
        <v>43921.708333333336</v>
      </c>
      <c r="B760" s="13" t="s">
        <v>23</v>
      </c>
      <c r="C760" s="2">
        <v>4</v>
      </c>
      <c r="D760" s="13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3" t="s">
        <v>27</v>
      </c>
      <c r="S760" s="13" t="s">
        <v>27</v>
      </c>
    </row>
    <row r="761" spans="1:19" hidden="1" x14ac:dyDescent="0.3">
      <c r="A761" s="14">
        <v>43921.708333333336</v>
      </c>
      <c r="B761" s="13" t="s">
        <v>23</v>
      </c>
      <c r="C761" s="2">
        <v>18</v>
      </c>
      <c r="D761" s="13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3" t="s">
        <v>27</v>
      </c>
      <c r="S761" s="13" t="s">
        <v>27</v>
      </c>
    </row>
    <row r="762" spans="1:19" hidden="1" x14ac:dyDescent="0.3">
      <c r="A762" s="14">
        <v>43921.708333333336</v>
      </c>
      <c r="B762" s="13" t="s">
        <v>23</v>
      </c>
      <c r="C762" s="2">
        <v>15</v>
      </c>
      <c r="D762" s="13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3" t="s">
        <v>27</v>
      </c>
      <c r="S762" s="13" t="s">
        <v>27</v>
      </c>
    </row>
    <row r="763" spans="1:19" hidden="1" x14ac:dyDescent="0.3">
      <c r="A763" s="14">
        <v>43921.708333333336</v>
      </c>
      <c r="B763" s="13" t="s">
        <v>23</v>
      </c>
      <c r="C763" s="2">
        <v>8</v>
      </c>
      <c r="D763" s="13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3" t="s">
        <v>27</v>
      </c>
      <c r="S763" s="13" t="s">
        <v>27</v>
      </c>
    </row>
    <row r="764" spans="1:19" hidden="1" x14ac:dyDescent="0.3">
      <c r="A764" s="14">
        <v>43921.708333333336</v>
      </c>
      <c r="B764" s="13" t="s">
        <v>23</v>
      </c>
      <c r="C764" s="2">
        <v>6</v>
      </c>
      <c r="D764" s="13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3" t="s">
        <v>27</v>
      </c>
      <c r="S764" s="13" t="s">
        <v>27</v>
      </c>
    </row>
    <row r="765" spans="1:19" hidden="1" x14ac:dyDescent="0.3">
      <c r="A765" s="14">
        <v>43921.708333333336</v>
      </c>
      <c r="B765" s="13" t="s">
        <v>23</v>
      </c>
      <c r="C765" s="2">
        <v>12</v>
      </c>
      <c r="D765" s="13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3" t="s">
        <v>27</v>
      </c>
      <c r="S765" s="13" t="s">
        <v>27</v>
      </c>
    </row>
    <row r="766" spans="1:19" hidden="1" x14ac:dyDescent="0.3">
      <c r="A766" s="14">
        <v>43921.708333333336</v>
      </c>
      <c r="B766" s="13" t="s">
        <v>23</v>
      </c>
      <c r="C766" s="2">
        <v>7</v>
      </c>
      <c r="D766" s="13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3" t="s">
        <v>27</v>
      </c>
      <c r="S766" s="13" t="s">
        <v>27</v>
      </c>
    </row>
    <row r="767" spans="1:19" x14ac:dyDescent="0.3">
      <c r="A767" s="14">
        <v>43921.708333333336</v>
      </c>
      <c r="B767" s="13" t="s">
        <v>23</v>
      </c>
      <c r="C767" s="2">
        <v>3</v>
      </c>
      <c r="D767" s="13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3" t="s">
        <v>27</v>
      </c>
      <c r="S767" s="13" t="s">
        <v>27</v>
      </c>
    </row>
    <row r="768" spans="1:19" hidden="1" x14ac:dyDescent="0.3">
      <c r="A768" s="14">
        <v>43921.708333333336</v>
      </c>
      <c r="B768" s="13" t="s">
        <v>23</v>
      </c>
      <c r="C768" s="2">
        <v>11</v>
      </c>
      <c r="D768" s="13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3" t="s">
        <v>27</v>
      </c>
      <c r="S768" s="13" t="s">
        <v>27</v>
      </c>
    </row>
    <row r="769" spans="1:19" hidden="1" x14ac:dyDescent="0.3">
      <c r="A769" s="14">
        <v>43921.708333333336</v>
      </c>
      <c r="B769" s="13" t="s">
        <v>23</v>
      </c>
      <c r="C769" s="2">
        <v>14</v>
      </c>
      <c r="D769" s="13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3" t="s">
        <v>27</v>
      </c>
      <c r="S769" s="13" t="s">
        <v>27</v>
      </c>
    </row>
    <row r="770" spans="1:19" hidden="1" x14ac:dyDescent="0.3">
      <c r="A770" s="14">
        <v>43921.708333333336</v>
      </c>
      <c r="B770" s="13" t="s">
        <v>23</v>
      </c>
      <c r="C770" s="2">
        <v>1</v>
      </c>
      <c r="D770" s="13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3" t="s">
        <v>27</v>
      </c>
      <c r="S770" s="13" t="s">
        <v>27</v>
      </c>
    </row>
    <row r="771" spans="1:19" hidden="1" x14ac:dyDescent="0.3">
      <c r="A771" s="14">
        <v>43921.708333333336</v>
      </c>
      <c r="B771" s="13" t="s">
        <v>23</v>
      </c>
      <c r="C771" s="2">
        <v>16</v>
      </c>
      <c r="D771" s="13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3" t="s">
        <v>27</v>
      </c>
      <c r="S771" s="13" t="s">
        <v>27</v>
      </c>
    </row>
    <row r="772" spans="1:19" hidden="1" x14ac:dyDescent="0.3">
      <c r="A772" s="14">
        <v>43921.708333333336</v>
      </c>
      <c r="B772" s="13" t="s">
        <v>23</v>
      </c>
      <c r="C772" s="2">
        <v>20</v>
      </c>
      <c r="D772" s="13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3" t="s">
        <v>27</v>
      </c>
      <c r="S772" s="13" t="s">
        <v>27</v>
      </c>
    </row>
    <row r="773" spans="1:19" hidden="1" x14ac:dyDescent="0.3">
      <c r="A773" s="14">
        <v>43921.708333333336</v>
      </c>
      <c r="B773" s="13" t="s">
        <v>23</v>
      </c>
      <c r="C773" s="2">
        <v>19</v>
      </c>
      <c r="D773" s="13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3" t="s">
        <v>27</v>
      </c>
      <c r="S773" s="13" t="s">
        <v>27</v>
      </c>
    </row>
    <row r="774" spans="1:19" hidden="1" x14ac:dyDescent="0.3">
      <c r="A774" s="14">
        <v>43921.708333333336</v>
      </c>
      <c r="B774" s="13" t="s">
        <v>23</v>
      </c>
      <c r="C774" s="2">
        <v>9</v>
      </c>
      <c r="D774" s="13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3" t="s">
        <v>27</v>
      </c>
      <c r="S774" s="13" t="s">
        <v>27</v>
      </c>
    </row>
    <row r="775" spans="1:19" hidden="1" x14ac:dyDescent="0.3">
      <c r="A775" s="14">
        <v>43921.708333333336</v>
      </c>
      <c r="B775" s="13" t="s">
        <v>23</v>
      </c>
      <c r="C775" s="2">
        <v>4</v>
      </c>
      <c r="D775" s="13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3" t="s">
        <v>27</v>
      </c>
      <c r="S775" s="13" t="s">
        <v>27</v>
      </c>
    </row>
    <row r="776" spans="1:19" hidden="1" x14ac:dyDescent="0.3">
      <c r="A776" s="14">
        <v>43921.708333333336</v>
      </c>
      <c r="B776" s="13" t="s">
        <v>23</v>
      </c>
      <c r="C776" s="2">
        <v>10</v>
      </c>
      <c r="D776" s="13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3" t="s">
        <v>27</v>
      </c>
      <c r="S776" s="13" t="s">
        <v>27</v>
      </c>
    </row>
    <row r="777" spans="1:19" hidden="1" x14ac:dyDescent="0.3">
      <c r="A777" s="14">
        <v>43921.708333333336</v>
      </c>
      <c r="B777" s="13" t="s">
        <v>23</v>
      </c>
      <c r="C777" s="2">
        <v>2</v>
      </c>
      <c r="D777" s="13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3" t="s">
        <v>27</v>
      </c>
      <c r="S777" s="13" t="s">
        <v>27</v>
      </c>
    </row>
    <row r="778" spans="1:19" hidden="1" x14ac:dyDescent="0.3">
      <c r="A778" s="14">
        <v>43921.708333333336</v>
      </c>
      <c r="B778" s="13" t="s">
        <v>23</v>
      </c>
      <c r="C778" s="2">
        <v>5</v>
      </c>
      <c r="D778" s="13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3" t="s">
        <v>27</v>
      </c>
      <c r="S778" s="13" t="s">
        <v>27</v>
      </c>
    </row>
    <row r="779" spans="1:19" hidden="1" x14ac:dyDescent="0.3">
      <c r="A779" s="14">
        <v>43922.708333333336</v>
      </c>
      <c r="B779" s="13" t="s">
        <v>23</v>
      </c>
      <c r="C779" s="2">
        <v>13</v>
      </c>
      <c r="D779" s="13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3" t="s">
        <v>27</v>
      </c>
      <c r="S779" s="13" t="s">
        <v>27</v>
      </c>
    </row>
    <row r="780" spans="1:19" hidden="1" x14ac:dyDescent="0.3">
      <c r="A780" s="14">
        <v>43922.708333333336</v>
      </c>
      <c r="B780" s="13" t="s">
        <v>23</v>
      </c>
      <c r="C780" s="2">
        <v>17</v>
      </c>
      <c r="D780" s="13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3" t="s">
        <v>27</v>
      </c>
      <c r="S780" s="13" t="s">
        <v>27</v>
      </c>
    </row>
    <row r="781" spans="1:19" hidden="1" x14ac:dyDescent="0.3">
      <c r="A781" s="14">
        <v>43922.708333333336</v>
      </c>
      <c r="B781" s="13" t="s">
        <v>23</v>
      </c>
      <c r="C781" s="2">
        <v>4</v>
      </c>
      <c r="D781" s="13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3" t="s">
        <v>27</v>
      </c>
      <c r="S781" s="13" t="s">
        <v>27</v>
      </c>
    </row>
    <row r="782" spans="1:19" hidden="1" x14ac:dyDescent="0.3">
      <c r="A782" s="14">
        <v>43922.708333333336</v>
      </c>
      <c r="B782" s="13" t="s">
        <v>23</v>
      </c>
      <c r="C782" s="2">
        <v>18</v>
      </c>
      <c r="D782" s="13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3" t="s">
        <v>27</v>
      </c>
      <c r="S782" s="13" t="s">
        <v>27</v>
      </c>
    </row>
    <row r="783" spans="1:19" hidden="1" x14ac:dyDescent="0.3">
      <c r="A783" s="14">
        <v>43922.708333333336</v>
      </c>
      <c r="B783" s="13" t="s">
        <v>23</v>
      </c>
      <c r="C783" s="2">
        <v>15</v>
      </c>
      <c r="D783" s="13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3" t="s">
        <v>27</v>
      </c>
      <c r="S783" s="13" t="s">
        <v>27</v>
      </c>
    </row>
    <row r="784" spans="1:19" hidden="1" x14ac:dyDescent="0.3">
      <c r="A784" s="14">
        <v>43922.708333333336</v>
      </c>
      <c r="B784" s="13" t="s">
        <v>23</v>
      </c>
      <c r="C784" s="2">
        <v>8</v>
      </c>
      <c r="D784" s="13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3" t="s">
        <v>27</v>
      </c>
      <c r="S784" s="13" t="s">
        <v>27</v>
      </c>
    </row>
    <row r="785" spans="1:19" hidden="1" x14ac:dyDescent="0.3">
      <c r="A785" s="14">
        <v>43922.708333333336</v>
      </c>
      <c r="B785" s="13" t="s">
        <v>23</v>
      </c>
      <c r="C785" s="2">
        <v>6</v>
      </c>
      <c r="D785" s="13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3" t="s">
        <v>27</v>
      </c>
      <c r="S785" s="13" t="s">
        <v>27</v>
      </c>
    </row>
    <row r="786" spans="1:19" hidden="1" x14ac:dyDescent="0.3">
      <c r="A786" s="14">
        <v>43922.708333333336</v>
      </c>
      <c r="B786" s="13" t="s">
        <v>23</v>
      </c>
      <c r="C786" s="2">
        <v>12</v>
      </c>
      <c r="D786" s="13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3" t="s">
        <v>27</v>
      </c>
      <c r="S786" s="13" t="s">
        <v>27</v>
      </c>
    </row>
    <row r="787" spans="1:19" hidden="1" x14ac:dyDescent="0.3">
      <c r="A787" s="14">
        <v>43922.708333333336</v>
      </c>
      <c r="B787" s="13" t="s">
        <v>23</v>
      </c>
      <c r="C787" s="2">
        <v>7</v>
      </c>
      <c r="D787" s="13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3" t="s">
        <v>27</v>
      </c>
      <c r="S787" s="13" t="s">
        <v>27</v>
      </c>
    </row>
    <row r="788" spans="1:19" x14ac:dyDescent="0.3">
      <c r="A788" s="14">
        <v>43922.708333333336</v>
      </c>
      <c r="B788" s="13" t="s">
        <v>23</v>
      </c>
      <c r="C788" s="2">
        <v>3</v>
      </c>
      <c r="D788" s="13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3" t="s">
        <v>27</v>
      </c>
      <c r="S788" s="13" t="s">
        <v>27</v>
      </c>
    </row>
    <row r="789" spans="1:19" hidden="1" x14ac:dyDescent="0.3">
      <c r="A789" s="14">
        <v>43922.708333333336</v>
      </c>
      <c r="B789" s="13" t="s">
        <v>23</v>
      </c>
      <c r="C789" s="2">
        <v>11</v>
      </c>
      <c r="D789" s="13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3" t="s">
        <v>27</v>
      </c>
      <c r="S789" s="13" t="s">
        <v>27</v>
      </c>
    </row>
    <row r="790" spans="1:19" hidden="1" x14ac:dyDescent="0.3">
      <c r="A790" s="14">
        <v>43922.708333333336</v>
      </c>
      <c r="B790" s="13" t="s">
        <v>23</v>
      </c>
      <c r="C790" s="2">
        <v>14</v>
      </c>
      <c r="D790" s="13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3" t="s">
        <v>27</v>
      </c>
      <c r="S790" s="13" t="s">
        <v>27</v>
      </c>
    </row>
    <row r="791" spans="1:19" hidden="1" x14ac:dyDescent="0.3">
      <c r="A791" s="14">
        <v>43922.708333333336</v>
      </c>
      <c r="B791" s="13" t="s">
        <v>23</v>
      </c>
      <c r="C791" s="2">
        <v>1</v>
      </c>
      <c r="D791" s="13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3" t="s">
        <v>27</v>
      </c>
      <c r="S791" s="13" t="s">
        <v>27</v>
      </c>
    </row>
    <row r="792" spans="1:19" hidden="1" x14ac:dyDescent="0.3">
      <c r="A792" s="14">
        <v>43922.708333333336</v>
      </c>
      <c r="B792" s="13" t="s">
        <v>23</v>
      </c>
      <c r="C792" s="2">
        <v>16</v>
      </c>
      <c r="D792" s="13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3" t="s">
        <v>27</v>
      </c>
      <c r="S792" s="13" t="s">
        <v>27</v>
      </c>
    </row>
    <row r="793" spans="1:19" hidden="1" x14ac:dyDescent="0.3">
      <c r="A793" s="14">
        <v>43922.708333333336</v>
      </c>
      <c r="B793" s="13" t="s">
        <v>23</v>
      </c>
      <c r="C793" s="2">
        <v>20</v>
      </c>
      <c r="D793" s="13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3" t="s">
        <v>27</v>
      </c>
      <c r="S793" s="13" t="s">
        <v>27</v>
      </c>
    </row>
    <row r="794" spans="1:19" hidden="1" x14ac:dyDescent="0.3">
      <c r="A794" s="14">
        <v>43922.708333333336</v>
      </c>
      <c r="B794" s="13" t="s">
        <v>23</v>
      </c>
      <c r="C794" s="2">
        <v>19</v>
      </c>
      <c r="D794" s="13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3" t="s">
        <v>27</v>
      </c>
      <c r="S794" s="13" t="s">
        <v>27</v>
      </c>
    </row>
    <row r="795" spans="1:19" hidden="1" x14ac:dyDescent="0.3">
      <c r="A795" s="14">
        <v>43922.708333333336</v>
      </c>
      <c r="B795" s="13" t="s">
        <v>23</v>
      </c>
      <c r="C795" s="2">
        <v>9</v>
      </c>
      <c r="D795" s="13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3" t="s">
        <v>27</v>
      </c>
      <c r="S795" s="13" t="s">
        <v>27</v>
      </c>
    </row>
    <row r="796" spans="1:19" hidden="1" x14ac:dyDescent="0.3">
      <c r="A796" s="14">
        <v>43922.708333333336</v>
      </c>
      <c r="B796" s="13" t="s">
        <v>23</v>
      </c>
      <c r="C796" s="2">
        <v>4</v>
      </c>
      <c r="D796" s="13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3" t="s">
        <v>27</v>
      </c>
      <c r="S796" s="13" t="s">
        <v>27</v>
      </c>
    </row>
    <row r="797" spans="1:19" hidden="1" x14ac:dyDescent="0.3">
      <c r="A797" s="14">
        <v>43922.708333333336</v>
      </c>
      <c r="B797" s="13" t="s">
        <v>23</v>
      </c>
      <c r="C797" s="2">
        <v>10</v>
      </c>
      <c r="D797" s="13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3" t="s">
        <v>27</v>
      </c>
      <c r="S797" s="13" t="s">
        <v>27</v>
      </c>
    </row>
    <row r="798" spans="1:19" hidden="1" x14ac:dyDescent="0.3">
      <c r="A798" s="14">
        <v>43922.708333333336</v>
      </c>
      <c r="B798" s="13" t="s">
        <v>23</v>
      </c>
      <c r="C798" s="2">
        <v>2</v>
      </c>
      <c r="D798" s="13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3" t="s">
        <v>27</v>
      </c>
      <c r="S798" s="13" t="s">
        <v>27</v>
      </c>
    </row>
    <row r="799" spans="1:19" hidden="1" x14ac:dyDescent="0.3">
      <c r="A799" s="14">
        <v>43922.708333333336</v>
      </c>
      <c r="B799" s="13" t="s">
        <v>23</v>
      </c>
      <c r="C799" s="2">
        <v>5</v>
      </c>
      <c r="D799" s="13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3" t="s">
        <v>27</v>
      </c>
      <c r="S799" s="13" t="s">
        <v>27</v>
      </c>
    </row>
    <row r="800" spans="1:19" hidden="1" x14ac:dyDescent="0.3">
      <c r="A800" s="14">
        <v>43923.708333333336</v>
      </c>
      <c r="B800" s="13" t="s">
        <v>23</v>
      </c>
      <c r="C800" s="2">
        <v>13</v>
      </c>
      <c r="D800" s="13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3" t="s">
        <v>27</v>
      </c>
      <c r="S800" s="13" t="s">
        <v>27</v>
      </c>
    </row>
    <row r="801" spans="1:19" hidden="1" x14ac:dyDescent="0.3">
      <c r="A801" s="14">
        <v>43923.708333333336</v>
      </c>
      <c r="B801" s="13" t="s">
        <v>23</v>
      </c>
      <c r="C801" s="2">
        <v>17</v>
      </c>
      <c r="D801" s="13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3" t="s">
        <v>27</v>
      </c>
      <c r="S801" s="13" t="s">
        <v>27</v>
      </c>
    </row>
    <row r="802" spans="1:19" hidden="1" x14ac:dyDescent="0.3">
      <c r="A802" s="14">
        <v>43923.708333333336</v>
      </c>
      <c r="B802" s="13" t="s">
        <v>23</v>
      </c>
      <c r="C802" s="2">
        <v>4</v>
      </c>
      <c r="D802" s="13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3" t="s">
        <v>27</v>
      </c>
      <c r="S802" s="13" t="s">
        <v>27</v>
      </c>
    </row>
    <row r="803" spans="1:19" hidden="1" x14ac:dyDescent="0.3">
      <c r="A803" s="14">
        <v>43923.708333333336</v>
      </c>
      <c r="B803" s="13" t="s">
        <v>23</v>
      </c>
      <c r="C803" s="2">
        <v>18</v>
      </c>
      <c r="D803" s="13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3" t="s">
        <v>27</v>
      </c>
      <c r="S803" s="13" t="s">
        <v>27</v>
      </c>
    </row>
    <row r="804" spans="1:19" hidden="1" x14ac:dyDescent="0.3">
      <c r="A804" s="14">
        <v>43923.708333333336</v>
      </c>
      <c r="B804" s="13" t="s">
        <v>23</v>
      </c>
      <c r="C804" s="2">
        <v>15</v>
      </c>
      <c r="D804" s="13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3" t="s">
        <v>27</v>
      </c>
      <c r="S804" s="13" t="s">
        <v>27</v>
      </c>
    </row>
    <row r="805" spans="1:19" hidden="1" x14ac:dyDescent="0.3">
      <c r="A805" s="14">
        <v>43923.708333333336</v>
      </c>
      <c r="B805" s="13" t="s">
        <v>23</v>
      </c>
      <c r="C805" s="2">
        <v>8</v>
      </c>
      <c r="D805" s="13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3" t="s">
        <v>27</v>
      </c>
      <c r="S805" s="13" t="s">
        <v>27</v>
      </c>
    </row>
    <row r="806" spans="1:19" hidden="1" x14ac:dyDescent="0.3">
      <c r="A806" s="14">
        <v>43923.708333333336</v>
      </c>
      <c r="B806" s="13" t="s">
        <v>23</v>
      </c>
      <c r="C806" s="2">
        <v>6</v>
      </c>
      <c r="D806" s="13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3" t="s">
        <v>27</v>
      </c>
      <c r="S806" s="13" t="s">
        <v>27</v>
      </c>
    </row>
    <row r="807" spans="1:19" hidden="1" x14ac:dyDescent="0.3">
      <c r="A807" s="14">
        <v>43923.708333333336</v>
      </c>
      <c r="B807" s="13" t="s">
        <v>23</v>
      </c>
      <c r="C807" s="2">
        <v>12</v>
      </c>
      <c r="D807" s="13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3" t="s">
        <v>27</v>
      </c>
      <c r="S807" s="13" t="s">
        <v>27</v>
      </c>
    </row>
    <row r="808" spans="1:19" hidden="1" x14ac:dyDescent="0.3">
      <c r="A808" s="14">
        <v>43923.708333333336</v>
      </c>
      <c r="B808" s="13" t="s">
        <v>23</v>
      </c>
      <c r="C808" s="2">
        <v>7</v>
      </c>
      <c r="D808" s="13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3" t="s">
        <v>27</v>
      </c>
      <c r="S808" s="13" t="s">
        <v>27</v>
      </c>
    </row>
    <row r="809" spans="1:19" x14ac:dyDescent="0.3">
      <c r="A809" s="14">
        <v>43923.708333333336</v>
      </c>
      <c r="B809" s="13" t="s">
        <v>23</v>
      </c>
      <c r="C809" s="2">
        <v>3</v>
      </c>
      <c r="D809" s="13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3" t="s">
        <v>27</v>
      </c>
      <c r="S809" s="13" t="s">
        <v>27</v>
      </c>
    </row>
    <row r="810" spans="1:19" hidden="1" x14ac:dyDescent="0.3">
      <c r="A810" s="14">
        <v>43923.708333333336</v>
      </c>
      <c r="B810" s="13" t="s">
        <v>23</v>
      </c>
      <c r="C810" s="2">
        <v>11</v>
      </c>
      <c r="D810" s="13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3" t="s">
        <v>27</v>
      </c>
      <c r="S810" s="13" t="s">
        <v>27</v>
      </c>
    </row>
    <row r="811" spans="1:19" hidden="1" x14ac:dyDescent="0.3">
      <c r="A811" s="14">
        <v>43923.708333333336</v>
      </c>
      <c r="B811" s="13" t="s">
        <v>23</v>
      </c>
      <c r="C811" s="2">
        <v>14</v>
      </c>
      <c r="D811" s="13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3" t="s">
        <v>27</v>
      </c>
      <c r="S811" s="13" t="s">
        <v>27</v>
      </c>
    </row>
    <row r="812" spans="1:19" hidden="1" x14ac:dyDescent="0.3">
      <c r="A812" s="14">
        <v>43923.708333333336</v>
      </c>
      <c r="B812" s="13" t="s">
        <v>23</v>
      </c>
      <c r="C812" s="2">
        <v>1</v>
      </c>
      <c r="D812" s="13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3" t="s">
        <v>27</v>
      </c>
      <c r="S812" s="13" t="s">
        <v>27</v>
      </c>
    </row>
    <row r="813" spans="1:19" hidden="1" x14ac:dyDescent="0.3">
      <c r="A813" s="14">
        <v>43923.708333333336</v>
      </c>
      <c r="B813" s="13" t="s">
        <v>23</v>
      </c>
      <c r="C813" s="2">
        <v>16</v>
      </c>
      <c r="D813" s="13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3" t="s">
        <v>27</v>
      </c>
      <c r="S813" s="13" t="s">
        <v>27</v>
      </c>
    </row>
    <row r="814" spans="1:19" hidden="1" x14ac:dyDescent="0.3">
      <c r="A814" s="14">
        <v>43923.708333333336</v>
      </c>
      <c r="B814" s="13" t="s">
        <v>23</v>
      </c>
      <c r="C814" s="2">
        <v>20</v>
      </c>
      <c r="D814" s="13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3" t="s">
        <v>27</v>
      </c>
      <c r="S814" s="13" t="s">
        <v>27</v>
      </c>
    </row>
    <row r="815" spans="1:19" hidden="1" x14ac:dyDescent="0.3">
      <c r="A815" s="14">
        <v>43923.708333333336</v>
      </c>
      <c r="B815" s="13" t="s">
        <v>23</v>
      </c>
      <c r="C815" s="2">
        <v>19</v>
      </c>
      <c r="D815" s="13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3" t="s">
        <v>27</v>
      </c>
      <c r="S815" s="13" t="s">
        <v>27</v>
      </c>
    </row>
    <row r="816" spans="1:19" hidden="1" x14ac:dyDescent="0.3">
      <c r="A816" s="14">
        <v>43923.708333333336</v>
      </c>
      <c r="B816" s="13" t="s">
        <v>23</v>
      </c>
      <c r="C816" s="2">
        <v>9</v>
      </c>
      <c r="D816" s="13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3" t="s">
        <v>27</v>
      </c>
      <c r="S816" s="13" t="s">
        <v>27</v>
      </c>
    </row>
    <row r="817" spans="1:19" hidden="1" x14ac:dyDescent="0.3">
      <c r="A817" s="14">
        <v>43923.708333333336</v>
      </c>
      <c r="B817" s="13" t="s">
        <v>23</v>
      </c>
      <c r="C817" s="2">
        <v>4</v>
      </c>
      <c r="D817" s="13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3" t="s">
        <v>27</v>
      </c>
      <c r="S817" s="13" t="s">
        <v>27</v>
      </c>
    </row>
    <row r="818" spans="1:19" hidden="1" x14ac:dyDescent="0.3">
      <c r="A818" s="14">
        <v>43923.708333333336</v>
      </c>
      <c r="B818" s="13" t="s">
        <v>23</v>
      </c>
      <c r="C818" s="2">
        <v>10</v>
      </c>
      <c r="D818" s="13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3" t="s">
        <v>27</v>
      </c>
      <c r="S818" s="13" t="s">
        <v>27</v>
      </c>
    </row>
    <row r="819" spans="1:19" hidden="1" x14ac:dyDescent="0.3">
      <c r="A819" s="14">
        <v>43923.708333333336</v>
      </c>
      <c r="B819" s="13" t="s">
        <v>23</v>
      </c>
      <c r="C819" s="2">
        <v>2</v>
      </c>
      <c r="D819" s="13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3" t="s">
        <v>27</v>
      </c>
      <c r="S819" s="13" t="s">
        <v>27</v>
      </c>
    </row>
    <row r="820" spans="1:19" hidden="1" x14ac:dyDescent="0.3">
      <c r="A820" s="14">
        <v>43923.708333333336</v>
      </c>
      <c r="B820" s="13" t="s">
        <v>23</v>
      </c>
      <c r="C820" s="2">
        <v>5</v>
      </c>
      <c r="D820" s="13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3" t="s">
        <v>27</v>
      </c>
      <c r="S820" s="13" t="s">
        <v>27</v>
      </c>
    </row>
    <row r="821" spans="1:19" hidden="1" x14ac:dyDescent="0.3">
      <c r="A821" s="14">
        <v>43924.708333333336</v>
      </c>
      <c r="B821" s="13" t="s">
        <v>23</v>
      </c>
      <c r="C821" s="2">
        <v>13</v>
      </c>
      <c r="D821" s="13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3" t="s">
        <v>27</v>
      </c>
      <c r="S821" s="13" t="s">
        <v>27</v>
      </c>
    </row>
    <row r="822" spans="1:19" hidden="1" x14ac:dyDescent="0.3">
      <c r="A822" s="14">
        <v>43924.708333333336</v>
      </c>
      <c r="B822" s="13" t="s">
        <v>23</v>
      </c>
      <c r="C822" s="2">
        <v>17</v>
      </c>
      <c r="D822" s="13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3" t="s">
        <v>27</v>
      </c>
      <c r="S822" s="13" t="s">
        <v>27</v>
      </c>
    </row>
    <row r="823" spans="1:19" hidden="1" x14ac:dyDescent="0.3">
      <c r="A823" s="14">
        <v>43924.708333333336</v>
      </c>
      <c r="B823" s="13" t="s">
        <v>23</v>
      </c>
      <c r="C823" s="2">
        <v>4</v>
      </c>
      <c r="D823" s="13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3" t="s">
        <v>27</v>
      </c>
      <c r="S823" s="13" t="s">
        <v>27</v>
      </c>
    </row>
    <row r="824" spans="1:19" hidden="1" x14ac:dyDescent="0.3">
      <c r="A824" s="14">
        <v>43924.708333333336</v>
      </c>
      <c r="B824" s="13" t="s">
        <v>23</v>
      </c>
      <c r="C824" s="2">
        <v>18</v>
      </c>
      <c r="D824" s="13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3" t="s">
        <v>27</v>
      </c>
      <c r="S824" s="13" t="s">
        <v>27</v>
      </c>
    </row>
    <row r="825" spans="1:19" hidden="1" x14ac:dyDescent="0.3">
      <c r="A825" s="14">
        <v>43924.708333333336</v>
      </c>
      <c r="B825" s="13" t="s">
        <v>23</v>
      </c>
      <c r="C825" s="2">
        <v>15</v>
      </c>
      <c r="D825" s="13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3" t="s">
        <v>27</v>
      </c>
      <c r="S825" s="13" t="s">
        <v>27</v>
      </c>
    </row>
    <row r="826" spans="1:19" hidden="1" x14ac:dyDescent="0.3">
      <c r="A826" s="14">
        <v>43924.708333333336</v>
      </c>
      <c r="B826" s="13" t="s">
        <v>23</v>
      </c>
      <c r="C826" s="2">
        <v>8</v>
      </c>
      <c r="D826" s="13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3" t="s">
        <v>27</v>
      </c>
      <c r="S826" s="13" t="s">
        <v>27</v>
      </c>
    </row>
    <row r="827" spans="1:19" hidden="1" x14ac:dyDescent="0.3">
      <c r="A827" s="14">
        <v>43924.708333333336</v>
      </c>
      <c r="B827" s="13" t="s">
        <v>23</v>
      </c>
      <c r="C827" s="2">
        <v>6</v>
      </c>
      <c r="D827" s="13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3" t="s">
        <v>27</v>
      </c>
      <c r="S827" s="13" t="s">
        <v>27</v>
      </c>
    </row>
    <row r="828" spans="1:19" hidden="1" x14ac:dyDescent="0.3">
      <c r="A828" s="14">
        <v>43924.708333333336</v>
      </c>
      <c r="B828" s="13" t="s">
        <v>23</v>
      </c>
      <c r="C828" s="2">
        <v>12</v>
      </c>
      <c r="D828" s="13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3" t="s">
        <v>27</v>
      </c>
      <c r="S828" s="13" t="s">
        <v>27</v>
      </c>
    </row>
    <row r="829" spans="1:19" hidden="1" x14ac:dyDescent="0.3">
      <c r="A829" s="14">
        <v>43924.708333333336</v>
      </c>
      <c r="B829" s="13" t="s">
        <v>23</v>
      </c>
      <c r="C829" s="2">
        <v>7</v>
      </c>
      <c r="D829" s="13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3" t="s">
        <v>27</v>
      </c>
      <c r="S829" s="13" t="s">
        <v>27</v>
      </c>
    </row>
    <row r="830" spans="1:19" x14ac:dyDescent="0.3">
      <c r="A830" s="14">
        <v>43924.708333333336</v>
      </c>
      <c r="B830" s="13" t="s">
        <v>23</v>
      </c>
      <c r="C830" s="2">
        <v>3</v>
      </c>
      <c r="D830" s="13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3" t="s">
        <v>27</v>
      </c>
      <c r="S830" s="13" t="s">
        <v>27</v>
      </c>
    </row>
    <row r="831" spans="1:19" hidden="1" x14ac:dyDescent="0.3">
      <c r="A831" s="14">
        <v>43924.708333333336</v>
      </c>
      <c r="B831" s="13" t="s">
        <v>23</v>
      </c>
      <c r="C831" s="2">
        <v>11</v>
      </c>
      <c r="D831" s="13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3" t="s">
        <v>27</v>
      </c>
      <c r="S831" s="13" t="s">
        <v>27</v>
      </c>
    </row>
    <row r="832" spans="1:19" hidden="1" x14ac:dyDescent="0.3">
      <c r="A832" s="14">
        <v>43924.708333333336</v>
      </c>
      <c r="B832" s="13" t="s">
        <v>23</v>
      </c>
      <c r="C832" s="2">
        <v>14</v>
      </c>
      <c r="D832" s="13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3" t="s">
        <v>27</v>
      </c>
      <c r="S832" s="13" t="s">
        <v>27</v>
      </c>
    </row>
    <row r="833" spans="1:19" hidden="1" x14ac:dyDescent="0.3">
      <c r="A833" s="14">
        <v>43924.708333333336</v>
      </c>
      <c r="B833" s="13" t="s">
        <v>23</v>
      </c>
      <c r="C833" s="2">
        <v>1</v>
      </c>
      <c r="D833" s="13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3" t="s">
        <v>27</v>
      </c>
      <c r="S833" s="13" t="s">
        <v>27</v>
      </c>
    </row>
    <row r="834" spans="1:19" hidden="1" x14ac:dyDescent="0.3">
      <c r="A834" s="14">
        <v>43924.708333333336</v>
      </c>
      <c r="B834" s="13" t="s">
        <v>23</v>
      </c>
      <c r="C834" s="2">
        <v>16</v>
      </c>
      <c r="D834" s="13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3" t="s">
        <v>27</v>
      </c>
      <c r="S834" s="13" t="s">
        <v>27</v>
      </c>
    </row>
    <row r="835" spans="1:19" hidden="1" x14ac:dyDescent="0.3">
      <c r="A835" s="14">
        <v>43924.708333333336</v>
      </c>
      <c r="B835" s="13" t="s">
        <v>23</v>
      </c>
      <c r="C835" s="2">
        <v>20</v>
      </c>
      <c r="D835" s="13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3" t="s">
        <v>27</v>
      </c>
      <c r="S835" s="13" t="s">
        <v>27</v>
      </c>
    </row>
    <row r="836" spans="1:19" hidden="1" x14ac:dyDescent="0.3">
      <c r="A836" s="14">
        <v>43924.708333333336</v>
      </c>
      <c r="B836" s="13" t="s">
        <v>23</v>
      </c>
      <c r="C836" s="2">
        <v>19</v>
      </c>
      <c r="D836" s="13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3" t="s">
        <v>27</v>
      </c>
      <c r="S836" s="13" t="s">
        <v>27</v>
      </c>
    </row>
    <row r="837" spans="1:19" hidden="1" x14ac:dyDescent="0.3">
      <c r="A837" s="14">
        <v>43924.708333333336</v>
      </c>
      <c r="B837" s="13" t="s">
        <v>23</v>
      </c>
      <c r="C837" s="2">
        <v>9</v>
      </c>
      <c r="D837" s="13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3" t="s">
        <v>27</v>
      </c>
      <c r="S837" s="13" t="s">
        <v>27</v>
      </c>
    </row>
    <row r="838" spans="1:19" hidden="1" x14ac:dyDescent="0.3">
      <c r="A838" s="14">
        <v>43924.708333333336</v>
      </c>
      <c r="B838" s="13" t="s">
        <v>23</v>
      </c>
      <c r="C838" s="2">
        <v>4</v>
      </c>
      <c r="D838" s="13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3" t="s">
        <v>27</v>
      </c>
      <c r="S838" s="13" t="s">
        <v>27</v>
      </c>
    </row>
    <row r="839" spans="1:19" hidden="1" x14ac:dyDescent="0.3">
      <c r="A839" s="14">
        <v>43924.708333333336</v>
      </c>
      <c r="B839" s="13" t="s">
        <v>23</v>
      </c>
      <c r="C839" s="2">
        <v>10</v>
      </c>
      <c r="D839" s="13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3" t="s">
        <v>27</v>
      </c>
      <c r="S839" s="13" t="s">
        <v>27</v>
      </c>
    </row>
    <row r="840" spans="1:19" hidden="1" x14ac:dyDescent="0.3">
      <c r="A840" s="14">
        <v>43924.708333333336</v>
      </c>
      <c r="B840" s="13" t="s">
        <v>23</v>
      </c>
      <c r="C840" s="2">
        <v>2</v>
      </c>
      <c r="D840" s="13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3" t="s">
        <v>27</v>
      </c>
      <c r="S840" s="13" t="s">
        <v>27</v>
      </c>
    </row>
    <row r="841" spans="1:19" hidden="1" x14ac:dyDescent="0.3">
      <c r="A841" s="14">
        <v>43924.708333333336</v>
      </c>
      <c r="B841" s="13" t="s">
        <v>23</v>
      </c>
      <c r="C841" s="2">
        <v>5</v>
      </c>
      <c r="D841" s="13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3" t="s">
        <v>27</v>
      </c>
      <c r="S841" s="13" t="s">
        <v>27</v>
      </c>
    </row>
    <row r="842" spans="1:19" hidden="1" x14ac:dyDescent="0.3">
      <c r="A842" s="14">
        <v>43925.708333333336</v>
      </c>
      <c r="B842" s="13" t="s">
        <v>23</v>
      </c>
      <c r="C842" s="2">
        <v>13</v>
      </c>
      <c r="D842" s="13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3" t="s">
        <v>27</v>
      </c>
      <c r="S842" s="13" t="s">
        <v>27</v>
      </c>
    </row>
    <row r="843" spans="1:19" hidden="1" x14ac:dyDescent="0.3">
      <c r="A843" s="14">
        <v>43925.708333333336</v>
      </c>
      <c r="B843" s="13" t="s">
        <v>23</v>
      </c>
      <c r="C843" s="2">
        <v>17</v>
      </c>
      <c r="D843" s="13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3" t="s">
        <v>27</v>
      </c>
      <c r="S843" s="13" t="s">
        <v>27</v>
      </c>
    </row>
    <row r="844" spans="1:19" hidden="1" x14ac:dyDescent="0.3">
      <c r="A844" s="14">
        <v>43925.708333333336</v>
      </c>
      <c r="B844" s="13" t="s">
        <v>23</v>
      </c>
      <c r="C844" s="2">
        <v>4</v>
      </c>
      <c r="D844" s="13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3" t="s">
        <v>27</v>
      </c>
      <c r="S844" s="13" t="s">
        <v>27</v>
      </c>
    </row>
    <row r="845" spans="1:19" hidden="1" x14ac:dyDescent="0.3">
      <c r="A845" s="14">
        <v>43925.708333333336</v>
      </c>
      <c r="B845" s="13" t="s">
        <v>23</v>
      </c>
      <c r="C845" s="2">
        <v>18</v>
      </c>
      <c r="D845" s="13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3" t="s">
        <v>27</v>
      </c>
      <c r="S845" s="13" t="s">
        <v>27</v>
      </c>
    </row>
    <row r="846" spans="1:19" hidden="1" x14ac:dyDescent="0.3">
      <c r="A846" s="14">
        <v>43925.708333333336</v>
      </c>
      <c r="B846" s="13" t="s">
        <v>23</v>
      </c>
      <c r="C846" s="2">
        <v>15</v>
      </c>
      <c r="D846" s="13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3" t="s">
        <v>27</v>
      </c>
      <c r="S846" s="13" t="s">
        <v>27</v>
      </c>
    </row>
    <row r="847" spans="1:19" hidden="1" x14ac:dyDescent="0.3">
      <c r="A847" s="14">
        <v>43925.708333333336</v>
      </c>
      <c r="B847" s="13" t="s">
        <v>23</v>
      </c>
      <c r="C847" s="2">
        <v>8</v>
      </c>
      <c r="D847" s="13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3" t="s">
        <v>27</v>
      </c>
      <c r="S847" s="13" t="s">
        <v>27</v>
      </c>
    </row>
    <row r="848" spans="1:19" hidden="1" x14ac:dyDescent="0.3">
      <c r="A848" s="14">
        <v>43925.708333333336</v>
      </c>
      <c r="B848" s="13" t="s">
        <v>23</v>
      </c>
      <c r="C848" s="2">
        <v>6</v>
      </c>
      <c r="D848" s="13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3" t="s">
        <v>27</v>
      </c>
      <c r="S848" s="13" t="s">
        <v>27</v>
      </c>
    </row>
    <row r="849" spans="1:19" hidden="1" x14ac:dyDescent="0.3">
      <c r="A849" s="14">
        <v>43925.708333333336</v>
      </c>
      <c r="B849" s="13" t="s">
        <v>23</v>
      </c>
      <c r="C849" s="2">
        <v>12</v>
      </c>
      <c r="D849" s="13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3" t="s">
        <v>27</v>
      </c>
      <c r="S849" s="13" t="s">
        <v>27</v>
      </c>
    </row>
    <row r="850" spans="1:19" hidden="1" x14ac:dyDescent="0.3">
      <c r="A850" s="14">
        <v>43925.708333333336</v>
      </c>
      <c r="B850" s="13" t="s">
        <v>23</v>
      </c>
      <c r="C850" s="2">
        <v>7</v>
      </c>
      <c r="D850" s="13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3" t="s">
        <v>27</v>
      </c>
      <c r="S850" s="13" t="s">
        <v>27</v>
      </c>
    </row>
    <row r="851" spans="1:19" x14ac:dyDescent="0.3">
      <c r="A851" s="14">
        <v>43925.708333333336</v>
      </c>
      <c r="B851" s="13" t="s">
        <v>23</v>
      </c>
      <c r="C851" s="2">
        <v>3</v>
      </c>
      <c r="D851" s="13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3" t="s">
        <v>27</v>
      </c>
      <c r="S851" s="13" t="s">
        <v>27</v>
      </c>
    </row>
    <row r="852" spans="1:19" hidden="1" x14ac:dyDescent="0.3">
      <c r="A852" s="14">
        <v>43925.708333333336</v>
      </c>
      <c r="B852" s="13" t="s">
        <v>23</v>
      </c>
      <c r="C852" s="2">
        <v>11</v>
      </c>
      <c r="D852" s="13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3" t="s">
        <v>27</v>
      </c>
      <c r="S852" s="13" t="s">
        <v>27</v>
      </c>
    </row>
    <row r="853" spans="1:19" hidden="1" x14ac:dyDescent="0.3">
      <c r="A853" s="14">
        <v>43925.708333333336</v>
      </c>
      <c r="B853" s="13" t="s">
        <v>23</v>
      </c>
      <c r="C853" s="2">
        <v>14</v>
      </c>
      <c r="D853" s="13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3" t="s">
        <v>27</v>
      </c>
      <c r="S853" s="13" t="s">
        <v>27</v>
      </c>
    </row>
    <row r="854" spans="1:19" hidden="1" x14ac:dyDescent="0.3">
      <c r="A854" s="14">
        <v>43925.708333333336</v>
      </c>
      <c r="B854" s="13" t="s">
        <v>23</v>
      </c>
      <c r="C854" s="2">
        <v>1</v>
      </c>
      <c r="D854" s="13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3" t="s">
        <v>27</v>
      </c>
      <c r="S854" s="13" t="s">
        <v>27</v>
      </c>
    </row>
    <row r="855" spans="1:19" hidden="1" x14ac:dyDescent="0.3">
      <c r="A855" s="14">
        <v>43925.708333333336</v>
      </c>
      <c r="B855" s="13" t="s">
        <v>23</v>
      </c>
      <c r="C855" s="2">
        <v>16</v>
      </c>
      <c r="D855" s="13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3" t="s">
        <v>27</v>
      </c>
      <c r="S855" s="13" t="s">
        <v>27</v>
      </c>
    </row>
    <row r="856" spans="1:19" hidden="1" x14ac:dyDescent="0.3">
      <c r="A856" s="14">
        <v>43925.708333333336</v>
      </c>
      <c r="B856" s="13" t="s">
        <v>23</v>
      </c>
      <c r="C856" s="2">
        <v>20</v>
      </c>
      <c r="D856" s="13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3" t="s">
        <v>27</v>
      </c>
      <c r="S856" s="13" t="s">
        <v>27</v>
      </c>
    </row>
    <row r="857" spans="1:19" hidden="1" x14ac:dyDescent="0.3">
      <c r="A857" s="14">
        <v>43925.708333333336</v>
      </c>
      <c r="B857" s="13" t="s">
        <v>23</v>
      </c>
      <c r="C857" s="2">
        <v>19</v>
      </c>
      <c r="D857" s="13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3" t="s">
        <v>27</v>
      </c>
      <c r="S857" s="13" t="s">
        <v>27</v>
      </c>
    </row>
    <row r="858" spans="1:19" hidden="1" x14ac:dyDescent="0.3">
      <c r="A858" s="14">
        <v>43925.708333333336</v>
      </c>
      <c r="B858" s="13" t="s">
        <v>23</v>
      </c>
      <c r="C858" s="2">
        <v>9</v>
      </c>
      <c r="D858" s="13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3" t="s">
        <v>27</v>
      </c>
      <c r="S858" s="13" t="s">
        <v>27</v>
      </c>
    </row>
    <row r="859" spans="1:19" hidden="1" x14ac:dyDescent="0.3">
      <c r="A859" s="14">
        <v>43925.708333333336</v>
      </c>
      <c r="B859" s="13" t="s">
        <v>23</v>
      </c>
      <c r="C859" s="2">
        <v>4</v>
      </c>
      <c r="D859" s="13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3" t="s">
        <v>27</v>
      </c>
      <c r="S859" s="13" t="s">
        <v>27</v>
      </c>
    </row>
    <row r="860" spans="1:19" hidden="1" x14ac:dyDescent="0.3">
      <c r="A860" s="14">
        <v>43925.708333333336</v>
      </c>
      <c r="B860" s="13" t="s">
        <v>23</v>
      </c>
      <c r="C860" s="2">
        <v>10</v>
      </c>
      <c r="D860" s="13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3" t="s">
        <v>27</v>
      </c>
      <c r="S860" s="13" t="s">
        <v>27</v>
      </c>
    </row>
    <row r="861" spans="1:19" hidden="1" x14ac:dyDescent="0.3">
      <c r="A861" s="14">
        <v>43925.708333333336</v>
      </c>
      <c r="B861" s="13" t="s">
        <v>23</v>
      </c>
      <c r="C861" s="2">
        <v>2</v>
      </c>
      <c r="D861" s="13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3" t="s">
        <v>27</v>
      </c>
      <c r="S861" s="13" t="s">
        <v>27</v>
      </c>
    </row>
    <row r="862" spans="1:19" hidden="1" x14ac:dyDescent="0.3">
      <c r="A862" s="14">
        <v>43925.708333333336</v>
      </c>
      <c r="B862" s="13" t="s">
        <v>23</v>
      </c>
      <c r="C862" s="2">
        <v>5</v>
      </c>
      <c r="D862" s="13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3" t="s">
        <v>27</v>
      </c>
      <c r="S862" s="13" t="s">
        <v>27</v>
      </c>
    </row>
    <row r="863" spans="1:19" hidden="1" x14ac:dyDescent="0.3">
      <c r="A863" s="14">
        <v>43926.708333333336</v>
      </c>
      <c r="B863" s="13" t="s">
        <v>23</v>
      </c>
      <c r="C863" s="2">
        <v>13</v>
      </c>
      <c r="D863" s="13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3" t="s">
        <v>27</v>
      </c>
      <c r="S863" s="13" t="s">
        <v>27</v>
      </c>
    </row>
    <row r="864" spans="1:19" hidden="1" x14ac:dyDescent="0.3">
      <c r="A864" s="14">
        <v>43926.708333333336</v>
      </c>
      <c r="B864" s="13" t="s">
        <v>23</v>
      </c>
      <c r="C864" s="2">
        <v>17</v>
      </c>
      <c r="D864" s="13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3" t="s">
        <v>27</v>
      </c>
      <c r="S864" s="13" t="s">
        <v>27</v>
      </c>
    </row>
    <row r="865" spans="1:19" hidden="1" x14ac:dyDescent="0.3">
      <c r="A865" s="14">
        <v>43926.708333333336</v>
      </c>
      <c r="B865" s="13" t="s">
        <v>23</v>
      </c>
      <c r="C865" s="2">
        <v>4</v>
      </c>
      <c r="D865" s="13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3" t="s">
        <v>27</v>
      </c>
      <c r="S865" s="13" t="s">
        <v>27</v>
      </c>
    </row>
    <row r="866" spans="1:19" hidden="1" x14ac:dyDescent="0.3">
      <c r="A866" s="14">
        <v>43926.708333333336</v>
      </c>
      <c r="B866" s="13" t="s">
        <v>23</v>
      </c>
      <c r="C866" s="2">
        <v>18</v>
      </c>
      <c r="D866" s="13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3" t="s">
        <v>27</v>
      </c>
      <c r="S866" s="13" t="s">
        <v>27</v>
      </c>
    </row>
    <row r="867" spans="1:19" hidden="1" x14ac:dyDescent="0.3">
      <c r="A867" s="14">
        <v>43926.708333333336</v>
      </c>
      <c r="B867" s="13" t="s">
        <v>23</v>
      </c>
      <c r="C867" s="2">
        <v>15</v>
      </c>
      <c r="D867" s="13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3" t="s">
        <v>27</v>
      </c>
      <c r="S867" s="13" t="s">
        <v>27</v>
      </c>
    </row>
    <row r="868" spans="1:19" hidden="1" x14ac:dyDescent="0.3">
      <c r="A868" s="14">
        <v>43926.708333333336</v>
      </c>
      <c r="B868" s="13" t="s">
        <v>23</v>
      </c>
      <c r="C868" s="2">
        <v>8</v>
      </c>
      <c r="D868" s="13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3" t="s">
        <v>27</v>
      </c>
      <c r="S868" s="13" t="s">
        <v>27</v>
      </c>
    </row>
    <row r="869" spans="1:19" hidden="1" x14ac:dyDescent="0.3">
      <c r="A869" s="14">
        <v>43926.708333333336</v>
      </c>
      <c r="B869" s="13" t="s">
        <v>23</v>
      </c>
      <c r="C869" s="2">
        <v>6</v>
      </c>
      <c r="D869" s="13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3" t="s">
        <v>27</v>
      </c>
      <c r="S869" s="13" t="s">
        <v>27</v>
      </c>
    </row>
    <row r="870" spans="1:19" hidden="1" x14ac:dyDescent="0.3">
      <c r="A870" s="14">
        <v>43926.708333333336</v>
      </c>
      <c r="B870" s="13" t="s">
        <v>23</v>
      </c>
      <c r="C870" s="2">
        <v>12</v>
      </c>
      <c r="D870" s="13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3" t="s">
        <v>27</v>
      </c>
      <c r="S870" s="13" t="s">
        <v>27</v>
      </c>
    </row>
    <row r="871" spans="1:19" hidden="1" x14ac:dyDescent="0.3">
      <c r="A871" s="14">
        <v>43926.708333333336</v>
      </c>
      <c r="B871" s="13" t="s">
        <v>23</v>
      </c>
      <c r="C871" s="2">
        <v>7</v>
      </c>
      <c r="D871" s="13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3" t="s">
        <v>27</v>
      </c>
      <c r="S871" s="13" t="s">
        <v>27</v>
      </c>
    </row>
    <row r="872" spans="1:19" x14ac:dyDescent="0.3">
      <c r="A872" s="14">
        <v>43926.708333333336</v>
      </c>
      <c r="B872" s="13" t="s">
        <v>23</v>
      </c>
      <c r="C872" s="2">
        <v>3</v>
      </c>
      <c r="D872" s="13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3" t="s">
        <v>27</v>
      </c>
      <c r="S872" s="13" t="s">
        <v>27</v>
      </c>
    </row>
    <row r="873" spans="1:19" hidden="1" x14ac:dyDescent="0.3">
      <c r="A873" s="14">
        <v>43926.708333333336</v>
      </c>
      <c r="B873" s="13" t="s">
        <v>23</v>
      </c>
      <c r="C873" s="2">
        <v>11</v>
      </c>
      <c r="D873" s="13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3" t="s">
        <v>27</v>
      </c>
      <c r="S873" s="13" t="s">
        <v>27</v>
      </c>
    </row>
    <row r="874" spans="1:19" hidden="1" x14ac:dyDescent="0.3">
      <c r="A874" s="14">
        <v>43926.708333333336</v>
      </c>
      <c r="B874" s="13" t="s">
        <v>23</v>
      </c>
      <c r="C874" s="2">
        <v>14</v>
      </c>
      <c r="D874" s="13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3" t="s">
        <v>27</v>
      </c>
      <c r="S874" s="13" t="s">
        <v>27</v>
      </c>
    </row>
    <row r="875" spans="1:19" hidden="1" x14ac:dyDescent="0.3">
      <c r="A875" s="14">
        <v>43926.708333333336</v>
      </c>
      <c r="B875" s="13" t="s">
        <v>23</v>
      </c>
      <c r="C875" s="2">
        <v>1</v>
      </c>
      <c r="D875" s="13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3" t="s">
        <v>27</v>
      </c>
      <c r="S875" s="13" t="s">
        <v>27</v>
      </c>
    </row>
    <row r="876" spans="1:19" hidden="1" x14ac:dyDescent="0.3">
      <c r="A876" s="14">
        <v>43926.708333333336</v>
      </c>
      <c r="B876" s="13" t="s">
        <v>23</v>
      </c>
      <c r="C876" s="2">
        <v>16</v>
      </c>
      <c r="D876" s="13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3" t="s">
        <v>27</v>
      </c>
      <c r="S876" s="13" t="s">
        <v>27</v>
      </c>
    </row>
    <row r="877" spans="1:19" hidden="1" x14ac:dyDescent="0.3">
      <c r="A877" s="14">
        <v>43926.708333333336</v>
      </c>
      <c r="B877" s="13" t="s">
        <v>23</v>
      </c>
      <c r="C877" s="2">
        <v>20</v>
      </c>
      <c r="D877" s="13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3" t="s">
        <v>27</v>
      </c>
      <c r="S877" s="13" t="s">
        <v>27</v>
      </c>
    </row>
    <row r="878" spans="1:19" hidden="1" x14ac:dyDescent="0.3">
      <c r="A878" s="14">
        <v>43926.708333333336</v>
      </c>
      <c r="B878" s="13" t="s">
        <v>23</v>
      </c>
      <c r="C878" s="2">
        <v>19</v>
      </c>
      <c r="D878" s="13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3" t="s">
        <v>27</v>
      </c>
      <c r="S878" s="13" t="s">
        <v>27</v>
      </c>
    </row>
    <row r="879" spans="1:19" hidden="1" x14ac:dyDescent="0.3">
      <c r="A879" s="14">
        <v>43926.708333333336</v>
      </c>
      <c r="B879" s="13" t="s">
        <v>23</v>
      </c>
      <c r="C879" s="2">
        <v>9</v>
      </c>
      <c r="D879" s="13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3" t="s">
        <v>27</v>
      </c>
      <c r="S879" s="13" t="s">
        <v>27</v>
      </c>
    </row>
    <row r="880" spans="1:19" hidden="1" x14ac:dyDescent="0.3">
      <c r="A880" s="14">
        <v>43926.708333333336</v>
      </c>
      <c r="B880" s="13" t="s">
        <v>23</v>
      </c>
      <c r="C880" s="2">
        <v>4</v>
      </c>
      <c r="D880" s="13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3" t="s">
        <v>27</v>
      </c>
      <c r="S880" s="13" t="s">
        <v>27</v>
      </c>
    </row>
    <row r="881" spans="1:19" hidden="1" x14ac:dyDescent="0.3">
      <c r="A881" s="14">
        <v>43926.708333333336</v>
      </c>
      <c r="B881" s="13" t="s">
        <v>23</v>
      </c>
      <c r="C881" s="2">
        <v>10</v>
      </c>
      <c r="D881" s="13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3" t="s">
        <v>27</v>
      </c>
      <c r="S881" s="13" t="s">
        <v>27</v>
      </c>
    </row>
    <row r="882" spans="1:19" hidden="1" x14ac:dyDescent="0.3">
      <c r="A882" s="14">
        <v>43926.708333333336</v>
      </c>
      <c r="B882" s="13" t="s">
        <v>23</v>
      </c>
      <c r="C882" s="2">
        <v>2</v>
      </c>
      <c r="D882" s="13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3" t="s">
        <v>27</v>
      </c>
      <c r="S882" s="13" t="s">
        <v>27</v>
      </c>
    </row>
    <row r="883" spans="1:19" hidden="1" x14ac:dyDescent="0.3">
      <c r="A883" s="14">
        <v>43926.708333333336</v>
      </c>
      <c r="B883" s="13" t="s">
        <v>23</v>
      </c>
      <c r="C883" s="2">
        <v>5</v>
      </c>
      <c r="D883" s="13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3" t="s">
        <v>27</v>
      </c>
      <c r="S883" s="13" t="s">
        <v>27</v>
      </c>
    </row>
    <row r="884" spans="1:19" hidden="1" x14ac:dyDescent="0.3">
      <c r="A884" s="14">
        <v>43927.708333333336</v>
      </c>
      <c r="B884" s="13" t="s">
        <v>23</v>
      </c>
      <c r="C884" s="2">
        <v>13</v>
      </c>
      <c r="D884" s="13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3" t="s">
        <v>27</v>
      </c>
      <c r="S884" s="13" t="s">
        <v>27</v>
      </c>
    </row>
    <row r="885" spans="1:19" hidden="1" x14ac:dyDescent="0.3">
      <c r="A885" s="14">
        <v>43927.708333333336</v>
      </c>
      <c r="B885" s="13" t="s">
        <v>23</v>
      </c>
      <c r="C885" s="2">
        <v>17</v>
      </c>
      <c r="D885" s="13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3" t="s">
        <v>27</v>
      </c>
      <c r="S885" s="13" t="s">
        <v>27</v>
      </c>
    </row>
    <row r="886" spans="1:19" hidden="1" x14ac:dyDescent="0.3">
      <c r="A886" s="14">
        <v>43927.708333333336</v>
      </c>
      <c r="B886" s="13" t="s">
        <v>23</v>
      </c>
      <c r="C886" s="2">
        <v>4</v>
      </c>
      <c r="D886" s="13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3" t="s">
        <v>27</v>
      </c>
      <c r="S886" s="13" t="s">
        <v>27</v>
      </c>
    </row>
    <row r="887" spans="1:19" hidden="1" x14ac:dyDescent="0.3">
      <c r="A887" s="14">
        <v>43927.708333333336</v>
      </c>
      <c r="B887" s="13" t="s">
        <v>23</v>
      </c>
      <c r="C887" s="2">
        <v>18</v>
      </c>
      <c r="D887" s="13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3" t="s">
        <v>27</v>
      </c>
      <c r="S887" s="13" t="s">
        <v>27</v>
      </c>
    </row>
    <row r="888" spans="1:19" hidden="1" x14ac:dyDescent="0.3">
      <c r="A888" s="14">
        <v>43927.708333333336</v>
      </c>
      <c r="B888" s="13" t="s">
        <v>23</v>
      </c>
      <c r="C888" s="2">
        <v>15</v>
      </c>
      <c r="D888" s="13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3" t="s">
        <v>27</v>
      </c>
      <c r="S888" s="13" t="s">
        <v>27</v>
      </c>
    </row>
    <row r="889" spans="1:19" hidden="1" x14ac:dyDescent="0.3">
      <c r="A889" s="14">
        <v>43927.708333333336</v>
      </c>
      <c r="B889" s="13" t="s">
        <v>23</v>
      </c>
      <c r="C889" s="2">
        <v>8</v>
      </c>
      <c r="D889" s="13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3" t="s">
        <v>27</v>
      </c>
      <c r="S889" s="13" t="s">
        <v>27</v>
      </c>
    </row>
    <row r="890" spans="1:19" hidden="1" x14ac:dyDescent="0.3">
      <c r="A890" s="14">
        <v>43927.708333333336</v>
      </c>
      <c r="B890" s="13" t="s">
        <v>23</v>
      </c>
      <c r="C890" s="2">
        <v>6</v>
      </c>
      <c r="D890" s="13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3" t="s">
        <v>27</v>
      </c>
      <c r="S890" s="13" t="s">
        <v>27</v>
      </c>
    </row>
    <row r="891" spans="1:19" hidden="1" x14ac:dyDescent="0.3">
      <c r="A891" s="14">
        <v>43927.708333333336</v>
      </c>
      <c r="B891" s="13" t="s">
        <v>23</v>
      </c>
      <c r="C891" s="2">
        <v>12</v>
      </c>
      <c r="D891" s="13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3" t="s">
        <v>27</v>
      </c>
      <c r="S891" s="13" t="s">
        <v>27</v>
      </c>
    </row>
    <row r="892" spans="1:19" hidden="1" x14ac:dyDescent="0.3">
      <c r="A892" s="14">
        <v>43927.708333333336</v>
      </c>
      <c r="B892" s="13" t="s">
        <v>23</v>
      </c>
      <c r="C892" s="2">
        <v>7</v>
      </c>
      <c r="D892" s="13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3" t="s">
        <v>27</v>
      </c>
      <c r="S892" s="13" t="s">
        <v>27</v>
      </c>
    </row>
    <row r="893" spans="1:19" x14ac:dyDescent="0.3">
      <c r="A893" s="14">
        <v>43927.708333333336</v>
      </c>
      <c r="B893" s="13" t="s">
        <v>23</v>
      </c>
      <c r="C893" s="2">
        <v>3</v>
      </c>
      <c r="D893" s="13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3" t="s">
        <v>27</v>
      </c>
      <c r="S893" s="13" t="s">
        <v>27</v>
      </c>
    </row>
    <row r="894" spans="1:19" hidden="1" x14ac:dyDescent="0.3">
      <c r="A894" s="14">
        <v>43927.708333333336</v>
      </c>
      <c r="B894" s="13" t="s">
        <v>23</v>
      </c>
      <c r="C894" s="2">
        <v>11</v>
      </c>
      <c r="D894" s="13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3" t="s">
        <v>27</v>
      </c>
      <c r="S894" s="13" t="s">
        <v>27</v>
      </c>
    </row>
    <row r="895" spans="1:19" hidden="1" x14ac:dyDescent="0.3">
      <c r="A895" s="14">
        <v>43927.708333333336</v>
      </c>
      <c r="B895" s="13" t="s">
        <v>23</v>
      </c>
      <c r="C895" s="2">
        <v>14</v>
      </c>
      <c r="D895" s="13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3" t="s">
        <v>27</v>
      </c>
      <c r="S895" s="13" t="s">
        <v>27</v>
      </c>
    </row>
    <row r="896" spans="1:19" hidden="1" x14ac:dyDescent="0.3">
      <c r="A896" s="14">
        <v>43927.708333333336</v>
      </c>
      <c r="B896" s="13" t="s">
        <v>23</v>
      </c>
      <c r="C896" s="2">
        <v>1</v>
      </c>
      <c r="D896" s="13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3" t="s">
        <v>27</v>
      </c>
      <c r="S896" s="13" t="s">
        <v>27</v>
      </c>
    </row>
    <row r="897" spans="1:19" hidden="1" x14ac:dyDescent="0.3">
      <c r="A897" s="14">
        <v>43927.708333333336</v>
      </c>
      <c r="B897" s="13" t="s">
        <v>23</v>
      </c>
      <c r="C897" s="2">
        <v>16</v>
      </c>
      <c r="D897" s="13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3" t="s">
        <v>27</v>
      </c>
      <c r="S897" s="13" t="s">
        <v>27</v>
      </c>
    </row>
    <row r="898" spans="1:19" hidden="1" x14ac:dyDescent="0.3">
      <c r="A898" s="14">
        <v>43927.708333333336</v>
      </c>
      <c r="B898" s="13" t="s">
        <v>23</v>
      </c>
      <c r="C898" s="2">
        <v>20</v>
      </c>
      <c r="D898" s="13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3" t="s">
        <v>27</v>
      </c>
      <c r="S898" s="13" t="s">
        <v>27</v>
      </c>
    </row>
    <row r="899" spans="1:19" hidden="1" x14ac:dyDescent="0.3">
      <c r="A899" s="14">
        <v>43927.708333333336</v>
      </c>
      <c r="B899" s="13" t="s">
        <v>23</v>
      </c>
      <c r="C899" s="2">
        <v>19</v>
      </c>
      <c r="D899" s="13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3" t="s">
        <v>27</v>
      </c>
      <c r="S899" s="13" t="s">
        <v>27</v>
      </c>
    </row>
    <row r="900" spans="1:19" hidden="1" x14ac:dyDescent="0.3">
      <c r="A900" s="14">
        <v>43927.708333333336</v>
      </c>
      <c r="B900" s="13" t="s">
        <v>23</v>
      </c>
      <c r="C900" s="2">
        <v>9</v>
      </c>
      <c r="D900" s="13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3" t="s">
        <v>27</v>
      </c>
      <c r="S900" s="13" t="s">
        <v>27</v>
      </c>
    </row>
    <row r="901" spans="1:19" hidden="1" x14ac:dyDescent="0.3">
      <c r="A901" s="14">
        <v>43927.708333333336</v>
      </c>
      <c r="B901" s="13" t="s">
        <v>23</v>
      </c>
      <c r="C901" s="2">
        <v>4</v>
      </c>
      <c r="D901" s="13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3" t="s">
        <v>27</v>
      </c>
      <c r="S901" s="13" t="s">
        <v>27</v>
      </c>
    </row>
    <row r="902" spans="1:19" hidden="1" x14ac:dyDescent="0.3">
      <c r="A902" s="14">
        <v>43927.708333333336</v>
      </c>
      <c r="B902" s="13" t="s">
        <v>23</v>
      </c>
      <c r="C902" s="2">
        <v>10</v>
      </c>
      <c r="D902" s="13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3" t="s">
        <v>27</v>
      </c>
      <c r="S902" s="13" t="s">
        <v>27</v>
      </c>
    </row>
    <row r="903" spans="1:19" hidden="1" x14ac:dyDescent="0.3">
      <c r="A903" s="14">
        <v>43927.708333333336</v>
      </c>
      <c r="B903" s="13" t="s">
        <v>23</v>
      </c>
      <c r="C903" s="2">
        <v>2</v>
      </c>
      <c r="D903" s="13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3" t="s">
        <v>27</v>
      </c>
      <c r="S903" s="13" t="s">
        <v>27</v>
      </c>
    </row>
    <row r="904" spans="1:19" hidden="1" x14ac:dyDescent="0.3">
      <c r="A904" s="14">
        <v>43927.708333333336</v>
      </c>
      <c r="B904" s="13" t="s">
        <v>23</v>
      </c>
      <c r="C904" s="2">
        <v>5</v>
      </c>
      <c r="D904" s="13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3" t="s">
        <v>27</v>
      </c>
      <c r="S904" s="13" t="s">
        <v>27</v>
      </c>
    </row>
    <row r="905" spans="1:19" hidden="1" x14ac:dyDescent="0.3">
      <c r="A905" s="14">
        <v>43928.708333333336</v>
      </c>
      <c r="B905" s="13" t="s">
        <v>23</v>
      </c>
      <c r="C905" s="2">
        <v>13</v>
      </c>
      <c r="D905" s="13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3" t="s">
        <v>27</v>
      </c>
      <c r="S905" s="13" t="s">
        <v>27</v>
      </c>
    </row>
    <row r="906" spans="1:19" hidden="1" x14ac:dyDescent="0.3">
      <c r="A906" s="14">
        <v>43928.708333333336</v>
      </c>
      <c r="B906" s="13" t="s">
        <v>23</v>
      </c>
      <c r="C906" s="2">
        <v>17</v>
      </c>
      <c r="D906" s="13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3" t="s">
        <v>27</v>
      </c>
      <c r="S906" s="13" t="s">
        <v>27</v>
      </c>
    </row>
    <row r="907" spans="1:19" hidden="1" x14ac:dyDescent="0.3">
      <c r="A907" s="14">
        <v>43928.708333333336</v>
      </c>
      <c r="B907" s="13" t="s">
        <v>23</v>
      </c>
      <c r="C907" s="2">
        <v>4</v>
      </c>
      <c r="D907" s="13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3" t="s">
        <v>27</v>
      </c>
      <c r="S907" s="13" t="s">
        <v>27</v>
      </c>
    </row>
    <row r="908" spans="1:19" hidden="1" x14ac:dyDescent="0.3">
      <c r="A908" s="14">
        <v>43928.708333333336</v>
      </c>
      <c r="B908" s="13" t="s">
        <v>23</v>
      </c>
      <c r="C908" s="2">
        <v>18</v>
      </c>
      <c r="D908" s="13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3" t="s">
        <v>27</v>
      </c>
      <c r="S908" s="13" t="s">
        <v>27</v>
      </c>
    </row>
    <row r="909" spans="1:19" hidden="1" x14ac:dyDescent="0.3">
      <c r="A909" s="14">
        <v>43928.708333333336</v>
      </c>
      <c r="B909" s="13" t="s">
        <v>23</v>
      </c>
      <c r="C909" s="2">
        <v>15</v>
      </c>
      <c r="D909" s="13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3" t="s">
        <v>27</v>
      </c>
      <c r="S909" s="13" t="s">
        <v>27</v>
      </c>
    </row>
    <row r="910" spans="1:19" hidden="1" x14ac:dyDescent="0.3">
      <c r="A910" s="14">
        <v>43928.708333333336</v>
      </c>
      <c r="B910" s="13" t="s">
        <v>23</v>
      </c>
      <c r="C910" s="2">
        <v>8</v>
      </c>
      <c r="D910" s="13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3" t="s">
        <v>27</v>
      </c>
      <c r="S910" s="13" t="s">
        <v>27</v>
      </c>
    </row>
    <row r="911" spans="1:19" hidden="1" x14ac:dyDescent="0.3">
      <c r="A911" s="14">
        <v>43928.708333333336</v>
      </c>
      <c r="B911" s="13" t="s">
        <v>23</v>
      </c>
      <c r="C911" s="2">
        <v>6</v>
      </c>
      <c r="D911" s="13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3" t="s">
        <v>27</v>
      </c>
      <c r="S911" s="13" t="s">
        <v>27</v>
      </c>
    </row>
    <row r="912" spans="1:19" hidden="1" x14ac:dyDescent="0.3">
      <c r="A912" s="14">
        <v>43928.708333333336</v>
      </c>
      <c r="B912" s="13" t="s">
        <v>23</v>
      </c>
      <c r="C912" s="2">
        <v>12</v>
      </c>
      <c r="D912" s="13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3" t="s">
        <v>27</v>
      </c>
      <c r="S912" s="13" t="s">
        <v>27</v>
      </c>
    </row>
    <row r="913" spans="1:19" hidden="1" x14ac:dyDescent="0.3">
      <c r="A913" s="14">
        <v>43928.708333333336</v>
      </c>
      <c r="B913" s="13" t="s">
        <v>23</v>
      </c>
      <c r="C913" s="2">
        <v>7</v>
      </c>
      <c r="D913" s="13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3" t="s">
        <v>27</v>
      </c>
      <c r="S913" s="13" t="s">
        <v>27</v>
      </c>
    </row>
    <row r="914" spans="1:19" x14ac:dyDescent="0.3">
      <c r="A914" s="14">
        <v>43928.708333333336</v>
      </c>
      <c r="B914" s="13" t="s">
        <v>23</v>
      </c>
      <c r="C914" s="2">
        <v>3</v>
      </c>
      <c r="D914" s="13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3" t="s">
        <v>27</v>
      </c>
      <c r="S914" s="13" t="s">
        <v>27</v>
      </c>
    </row>
    <row r="915" spans="1:19" hidden="1" x14ac:dyDescent="0.3">
      <c r="A915" s="14">
        <v>43928.708333333336</v>
      </c>
      <c r="B915" s="13" t="s">
        <v>23</v>
      </c>
      <c r="C915" s="2">
        <v>11</v>
      </c>
      <c r="D915" s="13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3" t="s">
        <v>27</v>
      </c>
      <c r="S915" s="13" t="s">
        <v>27</v>
      </c>
    </row>
    <row r="916" spans="1:19" hidden="1" x14ac:dyDescent="0.3">
      <c r="A916" s="14">
        <v>43928.708333333336</v>
      </c>
      <c r="B916" s="13" t="s">
        <v>23</v>
      </c>
      <c r="C916" s="2">
        <v>14</v>
      </c>
      <c r="D916" s="13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3" t="s">
        <v>27</v>
      </c>
      <c r="S916" s="13" t="s">
        <v>27</v>
      </c>
    </row>
    <row r="917" spans="1:19" hidden="1" x14ac:dyDescent="0.3">
      <c r="A917" s="14">
        <v>43928.708333333336</v>
      </c>
      <c r="B917" s="13" t="s">
        <v>23</v>
      </c>
      <c r="C917" s="2">
        <v>1</v>
      </c>
      <c r="D917" s="13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3" t="s">
        <v>27</v>
      </c>
      <c r="S917" s="13" t="s">
        <v>27</v>
      </c>
    </row>
    <row r="918" spans="1:19" hidden="1" x14ac:dyDescent="0.3">
      <c r="A918" s="14">
        <v>43928.708333333336</v>
      </c>
      <c r="B918" s="13" t="s">
        <v>23</v>
      </c>
      <c r="C918" s="2">
        <v>16</v>
      </c>
      <c r="D918" s="13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3" t="s">
        <v>27</v>
      </c>
      <c r="S918" s="13" t="s">
        <v>27</v>
      </c>
    </row>
    <row r="919" spans="1:19" hidden="1" x14ac:dyDescent="0.3">
      <c r="A919" s="14">
        <v>43928.708333333336</v>
      </c>
      <c r="B919" s="13" t="s">
        <v>23</v>
      </c>
      <c r="C919" s="2">
        <v>20</v>
      </c>
      <c r="D919" s="13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3" t="s">
        <v>27</v>
      </c>
      <c r="S919" s="13" t="s">
        <v>27</v>
      </c>
    </row>
    <row r="920" spans="1:19" hidden="1" x14ac:dyDescent="0.3">
      <c r="A920" s="14">
        <v>43928.708333333336</v>
      </c>
      <c r="B920" s="13" t="s">
        <v>23</v>
      </c>
      <c r="C920" s="2">
        <v>19</v>
      </c>
      <c r="D920" s="13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3" t="s">
        <v>27</v>
      </c>
      <c r="S920" s="13" t="s">
        <v>27</v>
      </c>
    </row>
    <row r="921" spans="1:19" hidden="1" x14ac:dyDescent="0.3">
      <c r="A921" s="14">
        <v>43928.708333333336</v>
      </c>
      <c r="B921" s="13" t="s">
        <v>23</v>
      </c>
      <c r="C921" s="2">
        <v>9</v>
      </c>
      <c r="D921" s="13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3" t="s">
        <v>27</v>
      </c>
      <c r="S921" s="13" t="s">
        <v>27</v>
      </c>
    </row>
    <row r="922" spans="1:19" hidden="1" x14ac:dyDescent="0.3">
      <c r="A922" s="14">
        <v>43928.708333333336</v>
      </c>
      <c r="B922" s="13" t="s">
        <v>23</v>
      </c>
      <c r="C922" s="2">
        <v>4</v>
      </c>
      <c r="D922" s="13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3" t="s">
        <v>27</v>
      </c>
      <c r="S922" s="13" t="s">
        <v>27</v>
      </c>
    </row>
    <row r="923" spans="1:19" hidden="1" x14ac:dyDescent="0.3">
      <c r="A923" s="14">
        <v>43928.708333333336</v>
      </c>
      <c r="B923" s="13" t="s">
        <v>23</v>
      </c>
      <c r="C923" s="2">
        <v>10</v>
      </c>
      <c r="D923" s="13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3" t="s">
        <v>27</v>
      </c>
      <c r="S923" s="13" t="s">
        <v>27</v>
      </c>
    </row>
    <row r="924" spans="1:19" hidden="1" x14ac:dyDescent="0.3">
      <c r="A924" s="14">
        <v>43928.708333333336</v>
      </c>
      <c r="B924" s="13" t="s">
        <v>23</v>
      </c>
      <c r="C924" s="2">
        <v>2</v>
      </c>
      <c r="D924" s="13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3" t="s">
        <v>27</v>
      </c>
      <c r="S924" s="13" t="s">
        <v>27</v>
      </c>
    </row>
    <row r="925" spans="1:19" hidden="1" x14ac:dyDescent="0.3">
      <c r="A925" s="14">
        <v>43928.708333333336</v>
      </c>
      <c r="B925" s="13" t="s">
        <v>23</v>
      </c>
      <c r="C925" s="2">
        <v>5</v>
      </c>
      <c r="D925" s="13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3" t="s">
        <v>27</v>
      </c>
      <c r="S925" s="13" t="s">
        <v>27</v>
      </c>
    </row>
    <row r="926" spans="1:19" hidden="1" x14ac:dyDescent="0.3">
      <c r="A926" s="14">
        <v>43929.708333333336</v>
      </c>
      <c r="B926" s="13" t="s">
        <v>23</v>
      </c>
      <c r="C926" s="2">
        <v>13</v>
      </c>
      <c r="D926" s="13" t="s">
        <v>44</v>
      </c>
      <c r="E926" s="2">
        <v>4235122196</v>
      </c>
      <c r="F926" s="2">
        <v>1339843823</v>
      </c>
      <c r="G926" s="2">
        <v>331</v>
      </c>
      <c r="H926" s="2">
        <v>62</v>
      </c>
      <c r="I926" s="2">
        <v>393</v>
      </c>
      <c r="J926" s="2">
        <v>1141</v>
      </c>
      <c r="K926" s="2">
        <v>1534</v>
      </c>
      <c r="L926" s="2">
        <v>43</v>
      </c>
      <c r="M926" s="2">
        <v>60</v>
      </c>
      <c r="N926" s="2">
        <v>146</v>
      </c>
      <c r="O926" s="2">
        <v>179</v>
      </c>
      <c r="P926" s="2">
        <v>1859</v>
      </c>
      <c r="Q926" s="2">
        <v>15846</v>
      </c>
      <c r="R926" s="13" t="s">
        <v>27</v>
      </c>
      <c r="S926" s="13" t="s">
        <v>27</v>
      </c>
    </row>
    <row r="927" spans="1:19" hidden="1" x14ac:dyDescent="0.3">
      <c r="A927" s="14">
        <v>43929.708333333336</v>
      </c>
      <c r="B927" s="13" t="s">
        <v>23</v>
      </c>
      <c r="C927" s="2">
        <v>17</v>
      </c>
      <c r="D927" s="13" t="s">
        <v>45</v>
      </c>
      <c r="E927" s="2">
        <v>4063947052</v>
      </c>
      <c r="F927" s="2">
        <v>1580514834</v>
      </c>
      <c r="G927" s="2">
        <v>48</v>
      </c>
      <c r="H927" s="2">
        <v>17</v>
      </c>
      <c r="I927" s="2">
        <v>65</v>
      </c>
      <c r="J927" s="2">
        <v>205</v>
      </c>
      <c r="K927" s="2">
        <v>270</v>
      </c>
      <c r="L927" s="2">
        <v>5</v>
      </c>
      <c r="M927" s="2">
        <v>6</v>
      </c>
      <c r="N927" s="2">
        <v>13</v>
      </c>
      <c r="O927" s="2">
        <v>14</v>
      </c>
      <c r="P927" s="2">
        <v>297</v>
      </c>
      <c r="Q927" s="2">
        <v>3296</v>
      </c>
      <c r="R927" s="13" t="s">
        <v>27</v>
      </c>
      <c r="S927" s="13" t="s">
        <v>27</v>
      </c>
    </row>
    <row r="928" spans="1:19" hidden="1" x14ac:dyDescent="0.3">
      <c r="A928" s="14">
        <v>43929.708333333336</v>
      </c>
      <c r="B928" s="13" t="s">
        <v>23</v>
      </c>
      <c r="C928" s="2">
        <v>4</v>
      </c>
      <c r="D928" s="13" t="s">
        <v>46</v>
      </c>
      <c r="E928" s="2">
        <v>4649933453</v>
      </c>
      <c r="F928" s="2">
        <v>1135662422</v>
      </c>
      <c r="G928" s="2">
        <v>268</v>
      </c>
      <c r="H928" s="2">
        <v>65</v>
      </c>
      <c r="I928" s="2">
        <v>333</v>
      </c>
      <c r="J928" s="2">
        <v>948</v>
      </c>
      <c r="K928" s="2">
        <v>1281</v>
      </c>
      <c r="L928" s="2">
        <v>-20</v>
      </c>
      <c r="M928" s="2">
        <v>24</v>
      </c>
      <c r="N928" s="2">
        <v>371</v>
      </c>
      <c r="O928" s="2">
        <v>183</v>
      </c>
      <c r="P928" s="2">
        <v>1835</v>
      </c>
      <c r="Q928" s="2">
        <v>18865</v>
      </c>
      <c r="R928" s="13" t="s">
        <v>27</v>
      </c>
      <c r="S928" s="13" t="s">
        <v>27</v>
      </c>
    </row>
    <row r="929" spans="1:19" hidden="1" x14ac:dyDescent="0.3">
      <c r="A929" s="14">
        <v>43929.708333333336</v>
      </c>
      <c r="B929" s="13" t="s">
        <v>23</v>
      </c>
      <c r="C929" s="2">
        <v>18</v>
      </c>
      <c r="D929" s="13" t="s">
        <v>47</v>
      </c>
      <c r="E929" s="2">
        <v>3890597598</v>
      </c>
      <c r="F929" s="2">
        <v>1659440194</v>
      </c>
      <c r="G929" s="2">
        <v>170</v>
      </c>
      <c r="H929" s="2">
        <v>15</v>
      </c>
      <c r="I929" s="2">
        <v>185</v>
      </c>
      <c r="J929" s="2">
        <v>570</v>
      </c>
      <c r="K929" s="2">
        <v>755</v>
      </c>
      <c r="L929" s="2">
        <v>22</v>
      </c>
      <c r="M929" s="2">
        <v>26</v>
      </c>
      <c r="N929" s="2">
        <v>44</v>
      </c>
      <c r="O929" s="2">
        <v>60</v>
      </c>
      <c r="P929" s="2">
        <v>859</v>
      </c>
      <c r="Q929" s="2">
        <v>14977</v>
      </c>
      <c r="R929" s="13" t="s">
        <v>27</v>
      </c>
      <c r="S929" s="13" t="s">
        <v>27</v>
      </c>
    </row>
    <row r="930" spans="1:19" hidden="1" x14ac:dyDescent="0.3">
      <c r="A930" s="14">
        <v>43929.708333333336</v>
      </c>
      <c r="B930" s="13" t="s">
        <v>23</v>
      </c>
      <c r="C930" s="2">
        <v>15</v>
      </c>
      <c r="D930" s="13" t="s">
        <v>48</v>
      </c>
      <c r="E930" s="2">
        <v>4083956555</v>
      </c>
      <c r="F930" s="2">
        <v>1425084984</v>
      </c>
      <c r="G930" s="2">
        <v>608</v>
      </c>
      <c r="H930" s="2">
        <v>97</v>
      </c>
      <c r="I930" s="2">
        <v>705</v>
      </c>
      <c r="J930" s="2">
        <v>2154</v>
      </c>
      <c r="K930" s="2">
        <v>2859</v>
      </c>
      <c r="L930" s="2">
        <v>94</v>
      </c>
      <c r="M930" s="2">
        <v>120</v>
      </c>
      <c r="N930" s="2">
        <v>188</v>
      </c>
      <c r="O930" s="2">
        <v>221</v>
      </c>
      <c r="P930" s="2">
        <v>3268</v>
      </c>
      <c r="Q930" s="2">
        <v>27784</v>
      </c>
      <c r="R930" s="13" t="s">
        <v>27</v>
      </c>
      <c r="S930" s="13" t="s">
        <v>27</v>
      </c>
    </row>
    <row r="931" spans="1:19" hidden="1" x14ac:dyDescent="0.3">
      <c r="A931" s="14">
        <v>43929.708333333336</v>
      </c>
      <c r="B931" s="13" t="s">
        <v>23</v>
      </c>
      <c r="C931" s="2">
        <v>8</v>
      </c>
      <c r="D931" s="13" t="s">
        <v>98</v>
      </c>
      <c r="E931" s="2">
        <v>4449436681</v>
      </c>
      <c r="F931" s="2">
        <v>113417208</v>
      </c>
      <c r="G931" s="2">
        <v>3769</v>
      </c>
      <c r="H931" s="2">
        <v>361</v>
      </c>
      <c r="I931" s="2">
        <v>4130</v>
      </c>
      <c r="J931" s="2">
        <v>8980</v>
      </c>
      <c r="K931" s="2">
        <v>13110</v>
      </c>
      <c r="L931" s="2">
        <v>62</v>
      </c>
      <c r="M931" s="2">
        <v>409</v>
      </c>
      <c r="N931" s="2">
        <v>2890</v>
      </c>
      <c r="O931" s="2">
        <v>2234</v>
      </c>
      <c r="P931" s="2">
        <v>18234</v>
      </c>
      <c r="Q931" s="2">
        <v>78367</v>
      </c>
      <c r="R931" s="13" t="s">
        <v>27</v>
      </c>
      <c r="S931" s="13" t="s">
        <v>27</v>
      </c>
    </row>
    <row r="932" spans="1:19" hidden="1" x14ac:dyDescent="0.3">
      <c r="A932" s="14">
        <v>43929.708333333336</v>
      </c>
      <c r="B932" s="13" t="s">
        <v>23</v>
      </c>
      <c r="C932" s="2">
        <v>6</v>
      </c>
      <c r="D932" s="13" t="s">
        <v>49</v>
      </c>
      <c r="E932" s="2">
        <v>456494354</v>
      </c>
      <c r="F932" s="2">
        <v>1376813649</v>
      </c>
      <c r="G932" s="2">
        <v>162</v>
      </c>
      <c r="H932" s="2">
        <v>41</v>
      </c>
      <c r="I932" s="2">
        <v>203</v>
      </c>
      <c r="J932" s="2">
        <v>1212</v>
      </c>
      <c r="K932" s="2">
        <v>1415</v>
      </c>
      <c r="L932" s="2">
        <v>36</v>
      </c>
      <c r="M932" s="2">
        <v>65</v>
      </c>
      <c r="N932" s="2">
        <v>634</v>
      </c>
      <c r="O932" s="2">
        <v>169</v>
      </c>
      <c r="P932" s="2">
        <v>2218</v>
      </c>
      <c r="Q932" s="2">
        <v>24798</v>
      </c>
      <c r="R932" s="13" t="s">
        <v>27</v>
      </c>
      <c r="S932" s="13" t="s">
        <v>27</v>
      </c>
    </row>
    <row r="933" spans="1:19" hidden="1" x14ac:dyDescent="0.3">
      <c r="A933" s="14">
        <v>43929.708333333336</v>
      </c>
      <c r="B933" s="13" t="s">
        <v>23</v>
      </c>
      <c r="C933" s="2">
        <v>12</v>
      </c>
      <c r="D933" s="13" t="s">
        <v>50</v>
      </c>
      <c r="E933" s="2">
        <v>4189277044</v>
      </c>
      <c r="F933" s="2">
        <v>1248366722</v>
      </c>
      <c r="G933" s="2">
        <v>1241</v>
      </c>
      <c r="H933" s="2">
        <v>196</v>
      </c>
      <c r="I933" s="2">
        <v>1437</v>
      </c>
      <c r="J933" s="2">
        <v>2011</v>
      </c>
      <c r="K933" s="2">
        <v>3448</v>
      </c>
      <c r="L933" s="2">
        <v>83</v>
      </c>
      <c r="M933" s="2">
        <v>117</v>
      </c>
      <c r="N933" s="2">
        <v>574</v>
      </c>
      <c r="O933" s="2">
        <v>244</v>
      </c>
      <c r="P933" s="2">
        <v>4266</v>
      </c>
      <c r="Q933" s="2">
        <v>55113</v>
      </c>
      <c r="R933" s="13" t="s">
        <v>27</v>
      </c>
      <c r="S933" s="13" t="s">
        <v>27</v>
      </c>
    </row>
    <row r="934" spans="1:19" hidden="1" x14ac:dyDescent="0.3">
      <c r="A934" s="14">
        <v>43929.708333333336</v>
      </c>
      <c r="B934" s="13" t="s">
        <v>23</v>
      </c>
      <c r="C934" s="2">
        <v>7</v>
      </c>
      <c r="D934" s="13" t="s">
        <v>51</v>
      </c>
      <c r="E934" s="2">
        <v>4441149315</v>
      </c>
      <c r="F934" s="2">
        <v>89326992</v>
      </c>
      <c r="G934" s="2">
        <v>1109</v>
      </c>
      <c r="H934" s="2">
        <v>153</v>
      </c>
      <c r="I934" s="2">
        <v>1262</v>
      </c>
      <c r="J934" s="2">
        <v>1983</v>
      </c>
      <c r="K934" s="2">
        <v>3245</v>
      </c>
      <c r="L934" s="2">
        <v>33</v>
      </c>
      <c r="M934" s="2">
        <v>149</v>
      </c>
      <c r="N934" s="2">
        <v>1007</v>
      </c>
      <c r="O934" s="2">
        <v>654</v>
      </c>
      <c r="P934" s="2">
        <v>4906</v>
      </c>
      <c r="Q934" s="2">
        <v>17521</v>
      </c>
      <c r="R934" s="13" t="s">
        <v>27</v>
      </c>
      <c r="S934" s="13" t="s">
        <v>27</v>
      </c>
    </row>
    <row r="935" spans="1:19" x14ac:dyDescent="0.3">
      <c r="A935" s="14">
        <v>43929.708333333336</v>
      </c>
      <c r="B935" s="13" t="s">
        <v>23</v>
      </c>
      <c r="C935" s="2">
        <v>3</v>
      </c>
      <c r="D935" s="13" t="s">
        <v>52</v>
      </c>
      <c r="E935" s="2">
        <v>4546679409</v>
      </c>
      <c r="F935" s="2">
        <v>9190347404</v>
      </c>
      <c r="G935" s="2">
        <v>11719</v>
      </c>
      <c r="H935" s="2">
        <v>1257</v>
      </c>
      <c r="I935" s="2">
        <v>12976</v>
      </c>
      <c r="J935" s="2">
        <v>15569</v>
      </c>
      <c r="K935" s="2">
        <v>28545</v>
      </c>
      <c r="L935" s="2">
        <v>202</v>
      </c>
      <c r="M935" s="2">
        <v>1089</v>
      </c>
      <c r="N935" s="2">
        <v>15147</v>
      </c>
      <c r="O935" s="2">
        <v>9722</v>
      </c>
      <c r="P935" s="2">
        <v>53414</v>
      </c>
      <c r="Q935" s="2">
        <v>167557</v>
      </c>
      <c r="R935" s="13" t="s">
        <v>27</v>
      </c>
      <c r="S935" s="13" t="s">
        <v>27</v>
      </c>
    </row>
    <row r="936" spans="1:19" hidden="1" x14ac:dyDescent="0.3">
      <c r="A936" s="14">
        <v>43929.708333333336</v>
      </c>
      <c r="B936" s="13" t="s">
        <v>23</v>
      </c>
      <c r="C936" s="2">
        <v>11</v>
      </c>
      <c r="D936" s="13" t="s">
        <v>53</v>
      </c>
      <c r="E936" s="2">
        <v>4361675973</v>
      </c>
      <c r="F936" s="2">
        <v>135188753</v>
      </c>
      <c r="G936" s="2">
        <v>974</v>
      </c>
      <c r="H936" s="2">
        <v>133</v>
      </c>
      <c r="I936" s="2">
        <v>1107</v>
      </c>
      <c r="J936" s="2">
        <v>2455</v>
      </c>
      <c r="K936" s="2">
        <v>3562</v>
      </c>
      <c r="L936" s="2">
        <v>-176</v>
      </c>
      <c r="M936" s="2">
        <v>149</v>
      </c>
      <c r="N936" s="2">
        <v>645</v>
      </c>
      <c r="O936" s="2">
        <v>652</v>
      </c>
      <c r="P936" s="2">
        <v>4859</v>
      </c>
      <c r="Q936" s="2">
        <v>17532</v>
      </c>
      <c r="R936" s="13" t="s">
        <v>27</v>
      </c>
      <c r="S936" s="13" t="s">
        <v>27</v>
      </c>
    </row>
    <row r="937" spans="1:19" hidden="1" x14ac:dyDescent="0.3">
      <c r="A937" s="14">
        <v>43929.708333333336</v>
      </c>
      <c r="B937" s="13" t="s">
        <v>23</v>
      </c>
      <c r="C937" s="2">
        <v>14</v>
      </c>
      <c r="D937" s="13" t="s">
        <v>54</v>
      </c>
      <c r="E937" s="2">
        <v>4155774754</v>
      </c>
      <c r="F937" s="2">
        <v>1465916051</v>
      </c>
      <c r="G937" s="2">
        <v>30</v>
      </c>
      <c r="H937" s="2">
        <v>4</v>
      </c>
      <c r="I937" s="2">
        <v>34</v>
      </c>
      <c r="J937" s="2">
        <v>147</v>
      </c>
      <c r="K937" s="2">
        <v>181</v>
      </c>
      <c r="L937" s="2">
        <v>-4</v>
      </c>
      <c r="M937" s="2">
        <v>2</v>
      </c>
      <c r="N937" s="2">
        <v>32</v>
      </c>
      <c r="O937" s="2">
        <v>13</v>
      </c>
      <c r="P937" s="2">
        <v>226</v>
      </c>
      <c r="Q937" s="2">
        <v>2002</v>
      </c>
      <c r="R937" s="13" t="s">
        <v>27</v>
      </c>
      <c r="S937" s="13" t="s">
        <v>27</v>
      </c>
    </row>
    <row r="938" spans="1:19" hidden="1" x14ac:dyDescent="0.3">
      <c r="A938" s="14">
        <v>43929.708333333336</v>
      </c>
      <c r="B938" s="13" t="s">
        <v>23</v>
      </c>
      <c r="C938" s="2">
        <v>1</v>
      </c>
      <c r="D938" s="13" t="s">
        <v>55</v>
      </c>
      <c r="E938" s="2">
        <v>450732745</v>
      </c>
      <c r="F938" s="2">
        <v>7680687483</v>
      </c>
      <c r="G938" s="2">
        <v>3493</v>
      </c>
      <c r="H938" s="2">
        <v>423</v>
      </c>
      <c r="I938" s="2">
        <v>3916</v>
      </c>
      <c r="J938" s="2">
        <v>7073</v>
      </c>
      <c r="K938" s="2">
        <v>10989</v>
      </c>
      <c r="L938" s="2">
        <v>285</v>
      </c>
      <c r="M938" s="2">
        <v>540</v>
      </c>
      <c r="N938" s="2">
        <v>1516</v>
      </c>
      <c r="O938" s="2">
        <v>1378</v>
      </c>
      <c r="P938" s="2">
        <v>13883</v>
      </c>
      <c r="Q938" s="2">
        <v>48495</v>
      </c>
      <c r="R938" s="13" t="s">
        <v>27</v>
      </c>
      <c r="S938" s="13" t="s">
        <v>27</v>
      </c>
    </row>
    <row r="939" spans="1:19" hidden="1" x14ac:dyDescent="0.3">
      <c r="A939" s="14">
        <v>43929.708333333336</v>
      </c>
      <c r="B939" s="13" t="s">
        <v>23</v>
      </c>
      <c r="C939" s="2">
        <v>16</v>
      </c>
      <c r="D939" s="13" t="s">
        <v>56</v>
      </c>
      <c r="E939" s="2">
        <v>4112559576</v>
      </c>
      <c r="F939" s="2">
        <v>1686736689</v>
      </c>
      <c r="G939" s="2">
        <v>639</v>
      </c>
      <c r="H939" s="2">
        <v>90</v>
      </c>
      <c r="I939" s="2">
        <v>729</v>
      </c>
      <c r="J939" s="2">
        <v>1509</v>
      </c>
      <c r="K939" s="2">
        <v>2238</v>
      </c>
      <c r="L939" s="2">
        <v>101</v>
      </c>
      <c r="M939" s="2">
        <v>120</v>
      </c>
      <c r="N939" s="2">
        <v>177</v>
      </c>
      <c r="O939" s="2">
        <v>219</v>
      </c>
      <c r="P939" s="2">
        <v>2634</v>
      </c>
      <c r="Q939" s="2">
        <v>24493</v>
      </c>
      <c r="R939" s="13" t="s">
        <v>27</v>
      </c>
      <c r="S939" s="13" t="s">
        <v>27</v>
      </c>
    </row>
    <row r="940" spans="1:19" hidden="1" x14ac:dyDescent="0.3">
      <c r="A940" s="14">
        <v>43929.708333333336</v>
      </c>
      <c r="B940" s="13" t="s">
        <v>23</v>
      </c>
      <c r="C940" s="2">
        <v>20</v>
      </c>
      <c r="D940" s="13" t="s">
        <v>57</v>
      </c>
      <c r="E940" s="2">
        <v>3921531192</v>
      </c>
      <c r="F940" s="2">
        <v>9110616306</v>
      </c>
      <c r="G940" s="2">
        <v>112</v>
      </c>
      <c r="H940" s="2">
        <v>31</v>
      </c>
      <c r="I940" s="2">
        <v>143</v>
      </c>
      <c r="J940" s="2">
        <v>697</v>
      </c>
      <c r="K940" s="2">
        <v>840</v>
      </c>
      <c r="L940" s="2">
        <v>19</v>
      </c>
      <c r="M940" s="2">
        <v>40</v>
      </c>
      <c r="N940" s="2">
        <v>76</v>
      </c>
      <c r="O940" s="2">
        <v>59</v>
      </c>
      <c r="P940" s="2">
        <v>975</v>
      </c>
      <c r="Q940" s="2">
        <v>8493</v>
      </c>
      <c r="R940" s="13" t="s">
        <v>27</v>
      </c>
      <c r="S940" s="13" t="s">
        <v>27</v>
      </c>
    </row>
    <row r="941" spans="1:19" hidden="1" x14ac:dyDescent="0.3">
      <c r="A941" s="14">
        <v>43929.708333333336</v>
      </c>
      <c r="B941" s="13" t="s">
        <v>23</v>
      </c>
      <c r="C941" s="2">
        <v>19</v>
      </c>
      <c r="D941" s="13" t="s">
        <v>58</v>
      </c>
      <c r="E941" s="2">
        <v>3811569725</v>
      </c>
      <c r="F941" s="2">
        <v>133623567</v>
      </c>
      <c r="G941" s="2">
        <v>563</v>
      </c>
      <c r="H941" s="2">
        <v>65</v>
      </c>
      <c r="I941" s="2">
        <v>628</v>
      </c>
      <c r="J941" s="2">
        <v>1265</v>
      </c>
      <c r="K941" s="2">
        <v>1893</v>
      </c>
      <c r="L941" s="2">
        <v>34</v>
      </c>
      <c r="M941" s="2">
        <v>62</v>
      </c>
      <c r="N941" s="2">
        <v>133</v>
      </c>
      <c r="O941" s="2">
        <v>133</v>
      </c>
      <c r="P941" s="2">
        <v>2159</v>
      </c>
      <c r="Q941" s="2">
        <v>27438</v>
      </c>
      <c r="R941" s="13" t="s">
        <v>27</v>
      </c>
      <c r="S941" s="13" t="s">
        <v>27</v>
      </c>
    </row>
    <row r="942" spans="1:19" hidden="1" x14ac:dyDescent="0.3">
      <c r="A942" s="14">
        <v>43929.708333333336</v>
      </c>
      <c r="B942" s="13" t="s">
        <v>23</v>
      </c>
      <c r="C942" s="2">
        <v>9</v>
      </c>
      <c r="D942" s="13" t="s">
        <v>59</v>
      </c>
      <c r="E942" s="2">
        <v>4376923077</v>
      </c>
      <c r="F942" s="2">
        <v>1125588885</v>
      </c>
      <c r="G942" s="2">
        <v>1066</v>
      </c>
      <c r="H942" s="2">
        <v>260</v>
      </c>
      <c r="I942" s="2">
        <v>1326</v>
      </c>
      <c r="J942" s="2">
        <v>4231</v>
      </c>
      <c r="K942" s="2">
        <v>5557</v>
      </c>
      <c r="L942" s="2">
        <v>130</v>
      </c>
      <c r="M942" s="2">
        <v>206</v>
      </c>
      <c r="N942" s="2">
        <v>430</v>
      </c>
      <c r="O942" s="2">
        <v>392</v>
      </c>
      <c r="P942" s="2">
        <v>6379</v>
      </c>
      <c r="Q942" s="2">
        <v>60985</v>
      </c>
      <c r="R942" s="13" t="s">
        <v>27</v>
      </c>
      <c r="S942" s="13" t="s">
        <v>27</v>
      </c>
    </row>
    <row r="943" spans="1:19" hidden="1" x14ac:dyDescent="0.3">
      <c r="A943" s="14">
        <v>43929.708333333336</v>
      </c>
      <c r="B943" s="13" t="s">
        <v>23</v>
      </c>
      <c r="C943" s="2">
        <v>4</v>
      </c>
      <c r="D943" s="13" t="s">
        <v>60</v>
      </c>
      <c r="E943" s="2">
        <v>4606893511</v>
      </c>
      <c r="F943" s="2">
        <v>1112123097</v>
      </c>
      <c r="G943" s="2">
        <v>354</v>
      </c>
      <c r="H943" s="2">
        <v>77</v>
      </c>
      <c r="I943" s="2">
        <v>431</v>
      </c>
      <c r="J943" s="2">
        <v>1509</v>
      </c>
      <c r="K943" s="2">
        <v>1940</v>
      </c>
      <c r="L943" s="2">
        <v>50</v>
      </c>
      <c r="M943" s="2">
        <v>126</v>
      </c>
      <c r="N943" s="2">
        <v>407</v>
      </c>
      <c r="O943" s="2">
        <v>255</v>
      </c>
      <c r="P943" s="2">
        <v>2602</v>
      </c>
      <c r="Q943" s="2">
        <v>13258</v>
      </c>
      <c r="R943" s="13" t="s">
        <v>27</v>
      </c>
      <c r="S943" s="13" t="s">
        <v>27</v>
      </c>
    </row>
    <row r="944" spans="1:19" hidden="1" x14ac:dyDescent="0.3">
      <c r="A944" s="14">
        <v>43929.708333333336</v>
      </c>
      <c r="B944" s="13" t="s">
        <v>23</v>
      </c>
      <c r="C944" s="2">
        <v>10</v>
      </c>
      <c r="D944" s="13" t="s">
        <v>61</v>
      </c>
      <c r="E944" s="2">
        <v>4310675841</v>
      </c>
      <c r="F944" s="2">
        <v>1238824698</v>
      </c>
      <c r="G944" s="2">
        <v>155</v>
      </c>
      <c r="H944" s="2">
        <v>41</v>
      </c>
      <c r="I944" s="2">
        <v>196</v>
      </c>
      <c r="J944" s="2">
        <v>627</v>
      </c>
      <c r="K944" s="2">
        <v>823</v>
      </c>
      <c r="L944" s="2">
        <v>-23</v>
      </c>
      <c r="M944" s="2">
        <v>26</v>
      </c>
      <c r="N944" s="2">
        <v>416</v>
      </c>
      <c r="O944" s="2">
        <v>50</v>
      </c>
      <c r="P944" s="2">
        <v>1289</v>
      </c>
      <c r="Q944" s="2">
        <v>14105</v>
      </c>
      <c r="R944" s="13" t="s">
        <v>27</v>
      </c>
      <c r="S944" s="13" t="s">
        <v>27</v>
      </c>
    </row>
    <row r="945" spans="1:19" hidden="1" x14ac:dyDescent="0.3">
      <c r="A945" s="14">
        <v>43929.708333333336</v>
      </c>
      <c r="B945" s="13" t="s">
        <v>23</v>
      </c>
      <c r="C945" s="2">
        <v>2</v>
      </c>
      <c r="D945" s="13" t="s">
        <v>62</v>
      </c>
      <c r="E945" s="2">
        <v>4573750286</v>
      </c>
      <c r="F945" s="2">
        <v>7320149366</v>
      </c>
      <c r="G945" s="2">
        <v>120</v>
      </c>
      <c r="H945" s="2">
        <v>20</v>
      </c>
      <c r="I945" s="2">
        <v>140</v>
      </c>
      <c r="J945" s="2">
        <v>466</v>
      </c>
      <c r="K945" s="2">
        <v>606</v>
      </c>
      <c r="L945" s="2">
        <v>13</v>
      </c>
      <c r="M945" s="2">
        <v>15</v>
      </c>
      <c r="N945" s="2">
        <v>142</v>
      </c>
      <c r="O945" s="2">
        <v>102</v>
      </c>
      <c r="P945" s="2">
        <v>850</v>
      </c>
      <c r="Q945" s="2">
        <v>2953</v>
      </c>
      <c r="R945" s="13" t="s">
        <v>27</v>
      </c>
      <c r="S945" s="13" t="s">
        <v>27</v>
      </c>
    </row>
    <row r="946" spans="1:19" hidden="1" x14ac:dyDescent="0.3">
      <c r="A946" s="14">
        <v>43929.708333333336</v>
      </c>
      <c r="B946" s="13" t="s">
        <v>23</v>
      </c>
      <c r="C946" s="2">
        <v>5</v>
      </c>
      <c r="D946" s="13" t="s">
        <v>63</v>
      </c>
      <c r="E946" s="2">
        <v>4543490485</v>
      </c>
      <c r="F946" s="2">
        <v>1233845213</v>
      </c>
      <c r="G946" s="2">
        <v>1554</v>
      </c>
      <c r="H946" s="2">
        <v>285</v>
      </c>
      <c r="I946" s="2">
        <v>1839</v>
      </c>
      <c r="J946" s="2">
        <v>8332</v>
      </c>
      <c r="K946" s="2">
        <v>10171</v>
      </c>
      <c r="L946" s="2">
        <v>206</v>
      </c>
      <c r="M946" s="2">
        <v>485</v>
      </c>
      <c r="N946" s="2">
        <v>1503</v>
      </c>
      <c r="O946" s="2">
        <v>736</v>
      </c>
      <c r="P946" s="2">
        <v>12410</v>
      </c>
      <c r="Q946" s="2">
        <v>163247</v>
      </c>
      <c r="R946" s="13" t="s">
        <v>27</v>
      </c>
      <c r="S946" s="13" t="s">
        <v>27</v>
      </c>
    </row>
    <row r="947" spans="1:19" hidden="1" x14ac:dyDescent="0.3">
      <c r="A947" s="14">
        <v>43930.708333333336</v>
      </c>
      <c r="B947" s="13" t="s">
        <v>23</v>
      </c>
      <c r="C947" s="2">
        <v>13</v>
      </c>
      <c r="D947" s="13" t="s">
        <v>44</v>
      </c>
      <c r="E947" s="2">
        <v>4235122196</v>
      </c>
      <c r="F947" s="2">
        <v>1339843823</v>
      </c>
      <c r="G947" s="2">
        <v>306</v>
      </c>
      <c r="H947" s="2">
        <v>57</v>
      </c>
      <c r="I947" s="2">
        <v>363</v>
      </c>
      <c r="J947" s="2">
        <v>1203</v>
      </c>
      <c r="K947" s="2">
        <v>1566</v>
      </c>
      <c r="L947" s="2">
        <v>32</v>
      </c>
      <c r="M947" s="2">
        <v>72</v>
      </c>
      <c r="N947" s="2">
        <v>171</v>
      </c>
      <c r="O947" s="2">
        <v>194</v>
      </c>
      <c r="P947" s="2">
        <v>1931</v>
      </c>
      <c r="Q947" s="2">
        <v>16847</v>
      </c>
      <c r="R947" s="13" t="s">
        <v>27</v>
      </c>
      <c r="S947" s="13" t="s">
        <v>27</v>
      </c>
    </row>
    <row r="948" spans="1:19" hidden="1" x14ac:dyDescent="0.3">
      <c r="A948" s="14">
        <v>43930.708333333336</v>
      </c>
      <c r="B948" s="13" t="s">
        <v>23</v>
      </c>
      <c r="C948" s="2">
        <v>17</v>
      </c>
      <c r="D948" s="13" t="s">
        <v>45</v>
      </c>
      <c r="E948" s="2">
        <v>4063947052</v>
      </c>
      <c r="F948" s="2">
        <v>1580514834</v>
      </c>
      <c r="G948" s="2">
        <v>50</v>
      </c>
      <c r="H948" s="2">
        <v>17</v>
      </c>
      <c r="I948" s="2">
        <v>67</v>
      </c>
      <c r="J948" s="2">
        <v>208</v>
      </c>
      <c r="K948" s="2">
        <v>275</v>
      </c>
      <c r="L948" s="2">
        <v>5</v>
      </c>
      <c r="M948" s="2">
        <v>6</v>
      </c>
      <c r="N948" s="2">
        <v>13</v>
      </c>
      <c r="O948" s="2">
        <v>15</v>
      </c>
      <c r="P948" s="2">
        <v>303</v>
      </c>
      <c r="Q948" s="2">
        <v>3474</v>
      </c>
      <c r="R948" s="13" t="s">
        <v>27</v>
      </c>
      <c r="S948" s="13" t="s">
        <v>27</v>
      </c>
    </row>
    <row r="949" spans="1:19" hidden="1" x14ac:dyDescent="0.3">
      <c r="A949" s="14">
        <v>43930.708333333336</v>
      </c>
      <c r="B949" s="13" t="s">
        <v>23</v>
      </c>
      <c r="C949" s="2">
        <v>4</v>
      </c>
      <c r="D949" s="13" t="s">
        <v>46</v>
      </c>
      <c r="E949" s="2">
        <v>4649933453</v>
      </c>
      <c r="F949" s="2">
        <v>1135662422</v>
      </c>
      <c r="G949" s="2">
        <v>263</v>
      </c>
      <c r="H949" s="2">
        <v>64</v>
      </c>
      <c r="I949" s="2">
        <v>327</v>
      </c>
      <c r="J949" s="2">
        <v>988</v>
      </c>
      <c r="K949" s="2">
        <v>1315</v>
      </c>
      <c r="L949" s="2">
        <v>34</v>
      </c>
      <c r="M949" s="2">
        <v>68</v>
      </c>
      <c r="N949" s="2">
        <v>401</v>
      </c>
      <c r="O949" s="2">
        <v>187</v>
      </c>
      <c r="P949" s="2">
        <v>1903</v>
      </c>
      <c r="Q949" s="2">
        <v>19875</v>
      </c>
      <c r="R949" s="13" t="s">
        <v>27</v>
      </c>
      <c r="S949" s="13" t="s">
        <v>27</v>
      </c>
    </row>
    <row r="950" spans="1:19" hidden="1" x14ac:dyDescent="0.3">
      <c r="A950" s="14">
        <v>43930.708333333336</v>
      </c>
      <c r="B950" s="13" t="s">
        <v>23</v>
      </c>
      <c r="C950" s="2">
        <v>18</v>
      </c>
      <c r="D950" s="13" t="s">
        <v>47</v>
      </c>
      <c r="E950" s="2">
        <v>3890597598</v>
      </c>
      <c r="F950" s="2">
        <v>1659440194</v>
      </c>
      <c r="G950" s="2">
        <v>168</v>
      </c>
      <c r="H950" s="2">
        <v>15</v>
      </c>
      <c r="I950" s="2">
        <v>183</v>
      </c>
      <c r="J950" s="2">
        <v>582</v>
      </c>
      <c r="K950" s="2">
        <v>765</v>
      </c>
      <c r="L950" s="2">
        <v>10</v>
      </c>
      <c r="M950" s="2">
        <v>15</v>
      </c>
      <c r="N950" s="2">
        <v>48</v>
      </c>
      <c r="O950" s="2">
        <v>61</v>
      </c>
      <c r="P950" s="2">
        <v>874</v>
      </c>
      <c r="Q950" s="2">
        <v>15698</v>
      </c>
      <c r="R950" s="13" t="s">
        <v>27</v>
      </c>
      <c r="S950" s="13" t="s">
        <v>27</v>
      </c>
    </row>
    <row r="951" spans="1:19" hidden="1" x14ac:dyDescent="0.3">
      <c r="A951" s="14">
        <v>43930.708333333336</v>
      </c>
      <c r="B951" s="13" t="s">
        <v>23</v>
      </c>
      <c r="C951" s="2">
        <v>15</v>
      </c>
      <c r="D951" s="13" t="s">
        <v>48</v>
      </c>
      <c r="E951" s="2">
        <v>4083956555</v>
      </c>
      <c r="F951" s="2">
        <v>1425084984</v>
      </c>
      <c r="G951" s="2">
        <v>604</v>
      </c>
      <c r="H951" s="2">
        <v>94</v>
      </c>
      <c r="I951" s="2">
        <v>698</v>
      </c>
      <c r="J951" s="2">
        <v>2175</v>
      </c>
      <c r="K951" s="2">
        <v>2873</v>
      </c>
      <c r="L951" s="2">
        <v>14</v>
      </c>
      <c r="M951" s="2">
        <v>76</v>
      </c>
      <c r="N951" s="2">
        <v>244</v>
      </c>
      <c r="O951" s="2">
        <v>227</v>
      </c>
      <c r="P951" s="2">
        <v>3344</v>
      </c>
      <c r="Q951" s="2">
        <v>29664</v>
      </c>
      <c r="R951" s="13" t="s">
        <v>27</v>
      </c>
      <c r="S951" s="13" t="s">
        <v>27</v>
      </c>
    </row>
    <row r="952" spans="1:19" hidden="1" x14ac:dyDescent="0.3">
      <c r="A952" s="14">
        <v>43930.708333333336</v>
      </c>
      <c r="B952" s="13" t="s">
        <v>23</v>
      </c>
      <c r="C952" s="2">
        <v>8</v>
      </c>
      <c r="D952" s="13" t="s">
        <v>98</v>
      </c>
      <c r="E952" s="2">
        <v>4449436681</v>
      </c>
      <c r="F952" s="2">
        <v>113417208</v>
      </c>
      <c r="G952" s="2">
        <v>3722</v>
      </c>
      <c r="H952" s="2">
        <v>355</v>
      </c>
      <c r="I952" s="2">
        <v>4077</v>
      </c>
      <c r="J952" s="2">
        <v>9181</v>
      </c>
      <c r="K952" s="2">
        <v>13258</v>
      </c>
      <c r="L952" s="2">
        <v>148</v>
      </c>
      <c r="M952" s="2">
        <v>443</v>
      </c>
      <c r="N952" s="2">
        <v>3103</v>
      </c>
      <c r="O952" s="2">
        <v>2316</v>
      </c>
      <c r="P952" s="2">
        <v>18677</v>
      </c>
      <c r="Q952" s="2">
        <v>81715</v>
      </c>
      <c r="R952" s="13" t="s">
        <v>27</v>
      </c>
      <c r="S952" s="13" t="s">
        <v>27</v>
      </c>
    </row>
    <row r="953" spans="1:19" hidden="1" x14ac:dyDescent="0.3">
      <c r="A953" s="14">
        <v>43930.708333333336</v>
      </c>
      <c r="B953" s="13" t="s">
        <v>23</v>
      </c>
      <c r="C953" s="2">
        <v>6</v>
      </c>
      <c r="D953" s="13" t="s">
        <v>49</v>
      </c>
      <c r="E953" s="2">
        <v>456494354</v>
      </c>
      <c r="F953" s="2">
        <v>1376813649</v>
      </c>
      <c r="G953" s="2">
        <v>167</v>
      </c>
      <c r="H953" s="2">
        <v>37</v>
      </c>
      <c r="I953" s="2">
        <v>204</v>
      </c>
      <c r="J953" s="2">
        <v>1186</v>
      </c>
      <c r="K953" s="2">
        <v>1390</v>
      </c>
      <c r="L953" s="2">
        <v>-25</v>
      </c>
      <c r="M953" s="2">
        <v>81</v>
      </c>
      <c r="N953" s="2">
        <v>738</v>
      </c>
      <c r="O953" s="2">
        <v>171</v>
      </c>
      <c r="P953" s="2">
        <v>2299</v>
      </c>
      <c r="Q953" s="2">
        <v>26205</v>
      </c>
      <c r="R953" s="13" t="s">
        <v>27</v>
      </c>
      <c r="S953" s="13" t="s">
        <v>27</v>
      </c>
    </row>
    <row r="954" spans="1:19" hidden="1" x14ac:dyDescent="0.3">
      <c r="A954" s="14">
        <v>43930.708333333336</v>
      </c>
      <c r="B954" s="13" t="s">
        <v>23</v>
      </c>
      <c r="C954" s="2">
        <v>12</v>
      </c>
      <c r="D954" s="13" t="s">
        <v>50</v>
      </c>
      <c r="E954" s="2">
        <v>4189277044</v>
      </c>
      <c r="F954" s="2">
        <v>1248366722</v>
      </c>
      <c r="G954" s="2">
        <v>1244</v>
      </c>
      <c r="H954" s="2">
        <v>198</v>
      </c>
      <c r="I954" s="2">
        <v>1442</v>
      </c>
      <c r="J954" s="2">
        <v>2090</v>
      </c>
      <c r="K954" s="2">
        <v>3532</v>
      </c>
      <c r="L954" s="2">
        <v>84</v>
      </c>
      <c r="M954" s="2">
        <v>163</v>
      </c>
      <c r="N954" s="2">
        <v>644</v>
      </c>
      <c r="O954" s="2">
        <v>253</v>
      </c>
      <c r="P954" s="2">
        <v>4429</v>
      </c>
      <c r="Q954" s="2">
        <v>58107</v>
      </c>
      <c r="R954" s="13" t="s">
        <v>27</v>
      </c>
      <c r="S954" s="13" t="s">
        <v>27</v>
      </c>
    </row>
    <row r="955" spans="1:19" hidden="1" x14ac:dyDescent="0.3">
      <c r="A955" s="14">
        <v>43930.708333333336</v>
      </c>
      <c r="B955" s="13" t="s">
        <v>23</v>
      </c>
      <c r="C955" s="2">
        <v>7</v>
      </c>
      <c r="D955" s="13" t="s">
        <v>51</v>
      </c>
      <c r="E955" s="2">
        <v>4441149315</v>
      </c>
      <c r="F955" s="2">
        <v>89326992</v>
      </c>
      <c r="G955" s="2">
        <v>1103</v>
      </c>
      <c r="H955" s="2">
        <v>154</v>
      </c>
      <c r="I955" s="2">
        <v>1257</v>
      </c>
      <c r="J955" s="2">
        <v>1996</v>
      </c>
      <c r="K955" s="2">
        <v>3253</v>
      </c>
      <c r="L955" s="2">
        <v>8</v>
      </c>
      <c r="M955" s="2">
        <v>114</v>
      </c>
      <c r="N955" s="2">
        <v>1085</v>
      </c>
      <c r="O955" s="2">
        <v>682</v>
      </c>
      <c r="P955" s="2">
        <v>5020</v>
      </c>
      <c r="Q955" s="2">
        <v>18446</v>
      </c>
      <c r="R955" s="13" t="s">
        <v>27</v>
      </c>
      <c r="S955" s="13" t="s">
        <v>27</v>
      </c>
    </row>
    <row r="956" spans="1:19" x14ac:dyDescent="0.3">
      <c r="A956" s="14">
        <v>43930.708333333336</v>
      </c>
      <c r="B956" s="13" t="s">
        <v>23</v>
      </c>
      <c r="C956" s="2">
        <v>3</v>
      </c>
      <c r="D956" s="13" t="s">
        <v>52</v>
      </c>
      <c r="E956" s="2">
        <v>4546679409</v>
      </c>
      <c r="F956" s="2">
        <v>9190347404</v>
      </c>
      <c r="G956" s="2">
        <v>11796</v>
      </c>
      <c r="H956" s="2">
        <v>1236</v>
      </c>
      <c r="I956" s="2">
        <v>13032</v>
      </c>
      <c r="J956" s="2">
        <v>16042</v>
      </c>
      <c r="K956" s="2">
        <v>29074</v>
      </c>
      <c r="L956" s="2">
        <v>529</v>
      </c>
      <c r="M956" s="2">
        <v>1388</v>
      </c>
      <c r="N956" s="2">
        <v>15706</v>
      </c>
      <c r="O956" s="2">
        <v>10022</v>
      </c>
      <c r="P956" s="2">
        <v>54802</v>
      </c>
      <c r="Q956" s="2">
        <v>176953</v>
      </c>
      <c r="R956" s="13" t="s">
        <v>27</v>
      </c>
      <c r="S956" s="13" t="s">
        <v>27</v>
      </c>
    </row>
    <row r="957" spans="1:19" hidden="1" x14ac:dyDescent="0.3">
      <c r="A957" s="14">
        <v>43930.708333333336</v>
      </c>
      <c r="B957" s="13" t="s">
        <v>23</v>
      </c>
      <c r="C957" s="2">
        <v>11</v>
      </c>
      <c r="D957" s="13" t="s">
        <v>53</v>
      </c>
      <c r="E957" s="2">
        <v>4361675973</v>
      </c>
      <c r="F957" s="2">
        <v>135188753</v>
      </c>
      <c r="G957" s="2">
        <v>945</v>
      </c>
      <c r="H957" s="2">
        <v>133</v>
      </c>
      <c r="I957" s="2">
        <v>1078</v>
      </c>
      <c r="J957" s="2">
        <v>2323</v>
      </c>
      <c r="K957" s="2">
        <v>3401</v>
      </c>
      <c r="L957" s="2">
        <v>-161</v>
      </c>
      <c r="M957" s="2">
        <v>96</v>
      </c>
      <c r="N957" s="2">
        <v>885</v>
      </c>
      <c r="O957" s="2">
        <v>669</v>
      </c>
      <c r="P957" s="2">
        <v>4955</v>
      </c>
      <c r="Q957" s="2">
        <v>18194</v>
      </c>
      <c r="R957" s="13" t="s">
        <v>27</v>
      </c>
      <c r="S957" s="13" t="s">
        <v>27</v>
      </c>
    </row>
    <row r="958" spans="1:19" hidden="1" x14ac:dyDescent="0.3">
      <c r="A958" s="14">
        <v>43930.708333333336</v>
      </c>
      <c r="B958" s="13" t="s">
        <v>23</v>
      </c>
      <c r="C958" s="2">
        <v>14</v>
      </c>
      <c r="D958" s="13" t="s">
        <v>54</v>
      </c>
      <c r="E958" s="2">
        <v>4155774754</v>
      </c>
      <c r="F958" s="2">
        <v>1465916051</v>
      </c>
      <c r="G958" s="2">
        <v>30</v>
      </c>
      <c r="H958" s="2">
        <v>4</v>
      </c>
      <c r="I958" s="2">
        <v>34</v>
      </c>
      <c r="J958" s="2">
        <v>155</v>
      </c>
      <c r="K958" s="2">
        <v>189</v>
      </c>
      <c r="L958" s="2">
        <v>8</v>
      </c>
      <c r="M958" s="2">
        <v>8</v>
      </c>
      <c r="N958" s="2">
        <v>32</v>
      </c>
      <c r="O958" s="2">
        <v>13</v>
      </c>
      <c r="P958" s="2">
        <v>234</v>
      </c>
      <c r="Q958" s="2">
        <v>2069</v>
      </c>
      <c r="R958" s="13" t="s">
        <v>27</v>
      </c>
      <c r="S958" s="13" t="s">
        <v>27</v>
      </c>
    </row>
    <row r="959" spans="1:19" hidden="1" x14ac:dyDescent="0.3">
      <c r="A959" s="14">
        <v>43930.708333333336</v>
      </c>
      <c r="B959" s="13" t="s">
        <v>23</v>
      </c>
      <c r="C959" s="2">
        <v>1</v>
      </c>
      <c r="D959" s="13" t="s">
        <v>55</v>
      </c>
      <c r="E959" s="2">
        <v>450732745</v>
      </c>
      <c r="F959" s="2">
        <v>7680687483</v>
      </c>
      <c r="G959" s="2">
        <v>3514</v>
      </c>
      <c r="H959" s="2">
        <v>412</v>
      </c>
      <c r="I959" s="2">
        <v>3926</v>
      </c>
      <c r="J959" s="2">
        <v>7410</v>
      </c>
      <c r="K959" s="2">
        <v>11336</v>
      </c>
      <c r="L959" s="2">
        <v>347</v>
      </c>
      <c r="M959" s="2">
        <v>639</v>
      </c>
      <c r="N959" s="2">
        <v>1732</v>
      </c>
      <c r="O959" s="2">
        <v>1454</v>
      </c>
      <c r="P959" s="2">
        <v>14522</v>
      </c>
      <c r="Q959" s="2">
        <v>52807</v>
      </c>
      <c r="R959" s="13" t="s">
        <v>27</v>
      </c>
      <c r="S959" s="13" t="s">
        <v>27</v>
      </c>
    </row>
    <row r="960" spans="1:19" hidden="1" x14ac:dyDescent="0.3">
      <c r="A960" s="14">
        <v>43930.708333333336</v>
      </c>
      <c r="B960" s="13" t="s">
        <v>23</v>
      </c>
      <c r="C960" s="2">
        <v>16</v>
      </c>
      <c r="D960" s="13" t="s">
        <v>56</v>
      </c>
      <c r="E960" s="2">
        <v>4112559576</v>
      </c>
      <c r="F960" s="2">
        <v>1686736689</v>
      </c>
      <c r="G960" s="2">
        <v>630</v>
      </c>
      <c r="H960" s="2">
        <v>86</v>
      </c>
      <c r="I960" s="2">
        <v>716</v>
      </c>
      <c r="J960" s="2">
        <v>1585</v>
      </c>
      <c r="K960" s="2">
        <v>2301</v>
      </c>
      <c r="L960" s="2">
        <v>63</v>
      </c>
      <c r="M960" s="2">
        <v>82</v>
      </c>
      <c r="N960" s="2">
        <v>190</v>
      </c>
      <c r="O960" s="2">
        <v>225</v>
      </c>
      <c r="P960" s="2">
        <v>2716</v>
      </c>
      <c r="Q960" s="2">
        <v>26088</v>
      </c>
      <c r="R960" s="13" t="s">
        <v>27</v>
      </c>
      <c r="S960" s="13" t="s">
        <v>27</v>
      </c>
    </row>
    <row r="961" spans="1:19" hidden="1" x14ac:dyDescent="0.3">
      <c r="A961" s="14">
        <v>43930.708333333336</v>
      </c>
      <c r="B961" s="13" t="s">
        <v>23</v>
      </c>
      <c r="C961" s="2">
        <v>20</v>
      </c>
      <c r="D961" s="13" t="s">
        <v>57</v>
      </c>
      <c r="E961" s="2">
        <v>3921531192</v>
      </c>
      <c r="F961" s="2">
        <v>9110616306</v>
      </c>
      <c r="G961" s="2">
        <v>106</v>
      </c>
      <c r="H961" s="2">
        <v>25</v>
      </c>
      <c r="I961" s="2">
        <v>131</v>
      </c>
      <c r="J961" s="2">
        <v>745</v>
      </c>
      <c r="K961" s="2">
        <v>876</v>
      </c>
      <c r="L961" s="2">
        <v>36</v>
      </c>
      <c r="M961" s="2">
        <v>51</v>
      </c>
      <c r="N961" s="2">
        <v>86</v>
      </c>
      <c r="O961" s="2">
        <v>64</v>
      </c>
      <c r="P961" s="2">
        <v>1026</v>
      </c>
      <c r="Q961" s="2">
        <v>8918</v>
      </c>
      <c r="R961" s="13" t="s">
        <v>27</v>
      </c>
      <c r="S961" s="13" t="s">
        <v>27</v>
      </c>
    </row>
    <row r="962" spans="1:19" hidden="1" x14ac:dyDescent="0.3">
      <c r="A962" s="14">
        <v>43930.708333333336</v>
      </c>
      <c r="B962" s="13" t="s">
        <v>23</v>
      </c>
      <c r="C962" s="2">
        <v>19</v>
      </c>
      <c r="D962" s="13" t="s">
        <v>58</v>
      </c>
      <c r="E962" s="2">
        <v>3811569725</v>
      </c>
      <c r="F962" s="2">
        <v>133623567</v>
      </c>
      <c r="G962" s="2">
        <v>566</v>
      </c>
      <c r="H962" s="2">
        <v>63</v>
      </c>
      <c r="I962" s="2">
        <v>629</v>
      </c>
      <c r="J962" s="2">
        <v>1313</v>
      </c>
      <c r="K962" s="2">
        <v>1942</v>
      </c>
      <c r="L962" s="2">
        <v>49</v>
      </c>
      <c r="M962" s="2">
        <v>73</v>
      </c>
      <c r="N962" s="2">
        <v>152</v>
      </c>
      <c r="O962" s="2">
        <v>138</v>
      </c>
      <c r="P962" s="2">
        <v>2232</v>
      </c>
      <c r="Q962" s="2">
        <v>28742</v>
      </c>
      <c r="R962" s="13" t="s">
        <v>27</v>
      </c>
      <c r="S962" s="13" t="s">
        <v>27</v>
      </c>
    </row>
    <row r="963" spans="1:19" hidden="1" x14ac:dyDescent="0.3">
      <c r="A963" s="14">
        <v>43930.708333333336</v>
      </c>
      <c r="B963" s="13" t="s">
        <v>23</v>
      </c>
      <c r="C963" s="2">
        <v>9</v>
      </c>
      <c r="D963" s="13" t="s">
        <v>59</v>
      </c>
      <c r="E963" s="2">
        <v>4376923077</v>
      </c>
      <c r="F963" s="2">
        <v>1125588885</v>
      </c>
      <c r="G963" s="2">
        <v>1038</v>
      </c>
      <c r="H963" s="2">
        <v>256</v>
      </c>
      <c r="I963" s="2">
        <v>1294</v>
      </c>
      <c r="J963" s="2">
        <v>4409</v>
      </c>
      <c r="K963" s="2">
        <v>5703</v>
      </c>
      <c r="L963" s="2">
        <v>146</v>
      </c>
      <c r="M963" s="2">
        <v>173</v>
      </c>
      <c r="N963" s="2">
        <v>441</v>
      </c>
      <c r="O963" s="2">
        <v>408</v>
      </c>
      <c r="P963" s="2">
        <v>6552</v>
      </c>
      <c r="Q963" s="2">
        <v>65461</v>
      </c>
      <c r="R963" s="13" t="s">
        <v>27</v>
      </c>
      <c r="S963" s="13" t="s">
        <v>27</v>
      </c>
    </row>
    <row r="964" spans="1:19" hidden="1" x14ac:dyDescent="0.3">
      <c r="A964" s="14">
        <v>43930.708333333336</v>
      </c>
      <c r="B964" s="13" t="s">
        <v>23</v>
      </c>
      <c r="C964" s="2">
        <v>4</v>
      </c>
      <c r="D964" s="13" t="s">
        <v>60</v>
      </c>
      <c r="E964" s="2">
        <v>4606893511</v>
      </c>
      <c r="F964" s="2">
        <v>1112123097</v>
      </c>
      <c r="G964" s="2">
        <v>345</v>
      </c>
      <c r="H964" s="2">
        <v>69</v>
      </c>
      <c r="I964" s="2">
        <v>414</v>
      </c>
      <c r="J964" s="2">
        <v>1564</v>
      </c>
      <c r="K964" s="2">
        <v>1978</v>
      </c>
      <c r="L964" s="2">
        <v>38</v>
      </c>
      <c r="M964" s="2">
        <v>106</v>
      </c>
      <c r="N964" s="2">
        <v>462</v>
      </c>
      <c r="O964" s="2">
        <v>268</v>
      </c>
      <c r="P964" s="2">
        <v>2708</v>
      </c>
      <c r="Q964" s="2">
        <v>14338</v>
      </c>
      <c r="R964" s="13" t="s">
        <v>27</v>
      </c>
      <c r="S964" s="13" t="s">
        <v>27</v>
      </c>
    </row>
    <row r="965" spans="1:19" hidden="1" x14ac:dyDescent="0.3">
      <c r="A965" s="14">
        <v>43930.708333333336</v>
      </c>
      <c r="B965" s="13" t="s">
        <v>23</v>
      </c>
      <c r="C965" s="2">
        <v>10</v>
      </c>
      <c r="D965" s="13" t="s">
        <v>61</v>
      </c>
      <c r="E965" s="2">
        <v>4310675841</v>
      </c>
      <c r="F965" s="2">
        <v>1238824698</v>
      </c>
      <c r="G965" s="2">
        <v>154</v>
      </c>
      <c r="H965" s="2">
        <v>38</v>
      </c>
      <c r="I965" s="2">
        <v>192</v>
      </c>
      <c r="J965" s="2">
        <v>600</v>
      </c>
      <c r="K965" s="2">
        <v>792</v>
      </c>
      <c r="L965" s="2">
        <v>-31</v>
      </c>
      <c r="M965" s="2">
        <v>9</v>
      </c>
      <c r="N965" s="2">
        <v>455</v>
      </c>
      <c r="O965" s="2">
        <v>51</v>
      </c>
      <c r="P965" s="2">
        <v>1298</v>
      </c>
      <c r="Q965" s="2">
        <v>15170</v>
      </c>
      <c r="R965" s="13" t="s">
        <v>27</v>
      </c>
      <c r="S965" s="13" t="s">
        <v>27</v>
      </c>
    </row>
    <row r="966" spans="1:19" hidden="1" x14ac:dyDescent="0.3">
      <c r="A966" s="14">
        <v>43930.708333333336</v>
      </c>
      <c r="B966" s="13" t="s">
        <v>23</v>
      </c>
      <c r="C966" s="2">
        <v>2</v>
      </c>
      <c r="D966" s="13" t="s">
        <v>62</v>
      </c>
      <c r="E966" s="2">
        <v>4573750286</v>
      </c>
      <c r="F966" s="2">
        <v>7320149366</v>
      </c>
      <c r="G966" s="2">
        <v>118</v>
      </c>
      <c r="H966" s="2">
        <v>18</v>
      </c>
      <c r="I966" s="2">
        <v>136</v>
      </c>
      <c r="J966" s="2">
        <v>473</v>
      </c>
      <c r="K966" s="2">
        <v>609</v>
      </c>
      <c r="L966" s="2">
        <v>3</v>
      </c>
      <c r="M966" s="2">
        <v>18</v>
      </c>
      <c r="N966" s="2">
        <v>154</v>
      </c>
      <c r="O966" s="2">
        <v>105</v>
      </c>
      <c r="P966" s="2">
        <v>868</v>
      </c>
      <c r="Q966" s="2">
        <v>3142</v>
      </c>
      <c r="R966" s="13" t="s">
        <v>27</v>
      </c>
      <c r="S966" s="13" t="s">
        <v>27</v>
      </c>
    </row>
    <row r="967" spans="1:19" hidden="1" x14ac:dyDescent="0.3">
      <c r="A967" s="14">
        <v>43930.708333333336</v>
      </c>
      <c r="B967" s="13" t="s">
        <v>23</v>
      </c>
      <c r="C967" s="2">
        <v>5</v>
      </c>
      <c r="D967" s="13" t="s">
        <v>63</v>
      </c>
      <c r="E967" s="2">
        <v>4543490485</v>
      </c>
      <c r="F967" s="2">
        <v>1233845213</v>
      </c>
      <c r="G967" s="2">
        <v>1530</v>
      </c>
      <c r="H967" s="2">
        <v>274</v>
      </c>
      <c r="I967" s="2">
        <v>1804</v>
      </c>
      <c r="J967" s="2">
        <v>8645</v>
      </c>
      <c r="K967" s="2">
        <v>10449</v>
      </c>
      <c r="L967" s="2">
        <v>278</v>
      </c>
      <c r="M967" s="2">
        <v>523</v>
      </c>
      <c r="N967" s="2">
        <v>1728</v>
      </c>
      <c r="O967" s="2">
        <v>756</v>
      </c>
      <c r="P967" s="2">
        <v>12933</v>
      </c>
      <c r="Q967" s="2">
        <v>171456</v>
      </c>
      <c r="R967" s="13" t="s">
        <v>27</v>
      </c>
      <c r="S967" s="13" t="s">
        <v>27</v>
      </c>
    </row>
    <row r="968" spans="1:19" hidden="1" x14ac:dyDescent="0.3">
      <c r="A968" s="14">
        <v>43931.708333333336</v>
      </c>
      <c r="B968" s="13" t="s">
        <v>23</v>
      </c>
      <c r="C968" s="2">
        <v>13</v>
      </c>
      <c r="D968" s="13" t="s">
        <v>44</v>
      </c>
      <c r="E968" s="2">
        <v>4235122196</v>
      </c>
      <c r="F968" s="2">
        <v>1339843823</v>
      </c>
      <c r="G968" s="2">
        <v>305</v>
      </c>
      <c r="H968" s="2">
        <v>53</v>
      </c>
      <c r="I968" s="2">
        <v>358</v>
      </c>
      <c r="J968" s="2">
        <v>1277</v>
      </c>
      <c r="K968" s="2">
        <v>1635</v>
      </c>
      <c r="L968" s="2">
        <v>69</v>
      </c>
      <c r="M968" s="2">
        <v>83</v>
      </c>
      <c r="N968" s="2">
        <v>181</v>
      </c>
      <c r="O968" s="2">
        <v>198</v>
      </c>
      <c r="P968" s="2">
        <v>2014</v>
      </c>
      <c r="Q968" s="2">
        <v>18088</v>
      </c>
      <c r="R968" s="13" t="s">
        <v>27</v>
      </c>
      <c r="S968" s="13" t="s">
        <v>27</v>
      </c>
    </row>
    <row r="969" spans="1:19" hidden="1" x14ac:dyDescent="0.3">
      <c r="A969" s="14">
        <v>43931.708333333336</v>
      </c>
      <c r="B969" s="13" t="s">
        <v>23</v>
      </c>
      <c r="C969" s="2">
        <v>17</v>
      </c>
      <c r="D969" s="13" t="s">
        <v>45</v>
      </c>
      <c r="E969" s="2">
        <v>4063947052</v>
      </c>
      <c r="F969" s="2">
        <v>1580514834</v>
      </c>
      <c r="G969" s="2">
        <v>59</v>
      </c>
      <c r="H969" s="2">
        <v>15</v>
      </c>
      <c r="I969" s="2">
        <v>74</v>
      </c>
      <c r="J969" s="2">
        <v>205</v>
      </c>
      <c r="K969" s="2">
        <v>279</v>
      </c>
      <c r="L969" s="2">
        <v>4</v>
      </c>
      <c r="M969" s="2">
        <v>5</v>
      </c>
      <c r="N969" s="2">
        <v>14</v>
      </c>
      <c r="O969" s="2">
        <v>15</v>
      </c>
      <c r="P969" s="2">
        <v>308</v>
      </c>
      <c r="Q969" s="2">
        <v>3696</v>
      </c>
      <c r="R969" s="13" t="s">
        <v>27</v>
      </c>
      <c r="S969" s="13" t="s">
        <v>27</v>
      </c>
    </row>
    <row r="970" spans="1:19" hidden="1" x14ac:dyDescent="0.3">
      <c r="A970" s="14">
        <v>43931.708333333336</v>
      </c>
      <c r="B970" s="13" t="s">
        <v>23</v>
      </c>
      <c r="C970" s="2">
        <v>4</v>
      </c>
      <c r="D970" s="13" t="s">
        <v>46</v>
      </c>
      <c r="E970" s="2">
        <v>4649933453</v>
      </c>
      <c r="F970" s="2">
        <v>1135662422</v>
      </c>
      <c r="G970" s="2">
        <v>258</v>
      </c>
      <c r="H970" s="2">
        <v>58</v>
      </c>
      <c r="I970" s="2">
        <v>316</v>
      </c>
      <c r="J970" s="2">
        <v>1001</v>
      </c>
      <c r="K970" s="2">
        <v>1317</v>
      </c>
      <c r="L970" s="2">
        <v>2</v>
      </c>
      <c r="M970" s="2">
        <v>52</v>
      </c>
      <c r="N970" s="2">
        <v>447</v>
      </c>
      <c r="O970" s="2">
        <v>191</v>
      </c>
      <c r="P970" s="2">
        <v>1955</v>
      </c>
      <c r="Q970" s="2">
        <v>20866</v>
      </c>
      <c r="R970" s="13" t="s">
        <v>27</v>
      </c>
      <c r="S970" s="13" t="s">
        <v>27</v>
      </c>
    </row>
    <row r="971" spans="1:19" hidden="1" x14ac:dyDescent="0.3">
      <c r="A971" s="14">
        <v>43931.708333333336</v>
      </c>
      <c r="B971" s="13" t="s">
        <v>23</v>
      </c>
      <c r="C971" s="2">
        <v>18</v>
      </c>
      <c r="D971" s="13" t="s">
        <v>47</v>
      </c>
      <c r="E971" s="2">
        <v>3890597598</v>
      </c>
      <c r="F971" s="2">
        <v>1659440194</v>
      </c>
      <c r="G971" s="2">
        <v>168</v>
      </c>
      <c r="H971" s="2">
        <v>14</v>
      </c>
      <c r="I971" s="2">
        <v>182</v>
      </c>
      <c r="J971" s="2">
        <v>604</v>
      </c>
      <c r="K971" s="2">
        <v>786</v>
      </c>
      <c r="L971" s="2">
        <v>21</v>
      </c>
      <c r="M971" s="2">
        <v>27</v>
      </c>
      <c r="N971" s="2">
        <v>50</v>
      </c>
      <c r="O971" s="2">
        <v>65</v>
      </c>
      <c r="P971" s="2">
        <v>901</v>
      </c>
      <c r="Q971" s="2">
        <v>16637</v>
      </c>
      <c r="R971" s="13" t="s">
        <v>27</v>
      </c>
      <c r="S971" s="13" t="s">
        <v>27</v>
      </c>
    </row>
    <row r="972" spans="1:19" hidden="1" x14ac:dyDescent="0.3">
      <c r="A972" s="14">
        <v>43931.708333333336</v>
      </c>
      <c r="B972" s="13" t="s">
        <v>23</v>
      </c>
      <c r="C972" s="2">
        <v>15</v>
      </c>
      <c r="D972" s="13" t="s">
        <v>48</v>
      </c>
      <c r="E972" s="2">
        <v>4083956555</v>
      </c>
      <c r="F972" s="2">
        <v>1425084984</v>
      </c>
      <c r="G972" s="2">
        <v>600</v>
      </c>
      <c r="H972" s="2">
        <v>90</v>
      </c>
      <c r="I972" s="2">
        <v>690</v>
      </c>
      <c r="J972" s="2">
        <v>2273</v>
      </c>
      <c r="K972" s="2">
        <v>2963</v>
      </c>
      <c r="L972" s="2">
        <v>90</v>
      </c>
      <c r="M972" s="2">
        <v>98</v>
      </c>
      <c r="N972" s="2">
        <v>248</v>
      </c>
      <c r="O972" s="2">
        <v>231</v>
      </c>
      <c r="P972" s="2">
        <v>3442</v>
      </c>
      <c r="Q972" s="2">
        <v>31745</v>
      </c>
      <c r="R972" s="13" t="s">
        <v>27</v>
      </c>
      <c r="S972" s="13" t="s">
        <v>27</v>
      </c>
    </row>
    <row r="973" spans="1:19" hidden="1" x14ac:dyDescent="0.3">
      <c r="A973" s="14">
        <v>43931.708333333336</v>
      </c>
      <c r="B973" s="13" t="s">
        <v>23</v>
      </c>
      <c r="C973" s="2">
        <v>8</v>
      </c>
      <c r="D973" s="13" t="s">
        <v>98</v>
      </c>
      <c r="E973" s="2">
        <v>4449436681</v>
      </c>
      <c r="F973" s="2">
        <v>113417208</v>
      </c>
      <c r="G973" s="2">
        <v>3596</v>
      </c>
      <c r="H973" s="2">
        <v>349</v>
      </c>
      <c r="I973" s="2">
        <v>3945</v>
      </c>
      <c r="J973" s="2">
        <v>9405</v>
      </c>
      <c r="K973" s="2">
        <v>13350</v>
      </c>
      <c r="L973" s="2">
        <v>92</v>
      </c>
      <c r="M973" s="2">
        <v>451</v>
      </c>
      <c r="N973" s="2">
        <v>3381</v>
      </c>
      <c r="O973" s="2">
        <v>2397</v>
      </c>
      <c r="P973" s="2">
        <v>19128</v>
      </c>
      <c r="Q973" s="2">
        <v>85884</v>
      </c>
      <c r="R973" s="13" t="s">
        <v>27</v>
      </c>
      <c r="S973" s="13" t="s">
        <v>27</v>
      </c>
    </row>
    <row r="974" spans="1:19" hidden="1" x14ac:dyDescent="0.3">
      <c r="A974" s="14">
        <v>43931.708333333336</v>
      </c>
      <c r="B974" s="13" t="s">
        <v>23</v>
      </c>
      <c r="C974" s="2">
        <v>6</v>
      </c>
      <c r="D974" s="13" t="s">
        <v>49</v>
      </c>
      <c r="E974" s="2">
        <v>456494354</v>
      </c>
      <c r="F974" s="2">
        <v>1376813649</v>
      </c>
      <c r="G974" s="2">
        <v>167</v>
      </c>
      <c r="H974" s="2">
        <v>33</v>
      </c>
      <c r="I974" s="2">
        <v>200</v>
      </c>
      <c r="J974" s="2">
        <v>1198</v>
      </c>
      <c r="K974" s="2">
        <v>1398</v>
      </c>
      <c r="L974" s="2">
        <v>8</v>
      </c>
      <c r="M974" s="2">
        <v>50</v>
      </c>
      <c r="N974" s="2">
        <v>772</v>
      </c>
      <c r="O974" s="2">
        <v>179</v>
      </c>
      <c r="P974" s="2">
        <v>2349</v>
      </c>
      <c r="Q974" s="2">
        <v>28097</v>
      </c>
      <c r="R974" s="13" t="s">
        <v>27</v>
      </c>
      <c r="S974" s="13" t="s">
        <v>27</v>
      </c>
    </row>
    <row r="975" spans="1:19" hidden="1" x14ac:dyDescent="0.3">
      <c r="A975" s="14">
        <v>43931.708333333336</v>
      </c>
      <c r="B975" s="13" t="s">
        <v>23</v>
      </c>
      <c r="C975" s="2">
        <v>12</v>
      </c>
      <c r="D975" s="13" t="s">
        <v>50</v>
      </c>
      <c r="E975" s="2">
        <v>4189277044</v>
      </c>
      <c r="F975" s="2">
        <v>1248366722</v>
      </c>
      <c r="G975" s="2">
        <v>1236</v>
      </c>
      <c r="H975" s="2">
        <v>201</v>
      </c>
      <c r="I975" s="2">
        <v>1437</v>
      </c>
      <c r="J975" s="2">
        <v>2196</v>
      </c>
      <c r="K975" s="2">
        <v>3633</v>
      </c>
      <c r="L975" s="2">
        <v>101</v>
      </c>
      <c r="M975" s="2">
        <v>154</v>
      </c>
      <c r="N975" s="2">
        <v>687</v>
      </c>
      <c r="O975" s="2">
        <v>263</v>
      </c>
      <c r="P975" s="2">
        <v>4583</v>
      </c>
      <c r="Q975" s="2">
        <v>61769</v>
      </c>
      <c r="R975" s="13" t="s">
        <v>27</v>
      </c>
      <c r="S975" s="13" t="s">
        <v>27</v>
      </c>
    </row>
    <row r="976" spans="1:19" hidden="1" x14ac:dyDescent="0.3">
      <c r="A976" s="14">
        <v>43931.708333333336</v>
      </c>
      <c r="B976" s="13" t="s">
        <v>23</v>
      </c>
      <c r="C976" s="2">
        <v>7</v>
      </c>
      <c r="D976" s="13" t="s">
        <v>51</v>
      </c>
      <c r="E976" s="2">
        <v>4441149315</v>
      </c>
      <c r="F976" s="2">
        <v>89326992</v>
      </c>
      <c r="G976" s="2">
        <v>1076</v>
      </c>
      <c r="H976" s="2">
        <v>151</v>
      </c>
      <c r="I976" s="2">
        <v>1227</v>
      </c>
      <c r="J976" s="2">
        <v>2074</v>
      </c>
      <c r="K976" s="2">
        <v>3301</v>
      </c>
      <c r="L976" s="2">
        <v>48</v>
      </c>
      <c r="M976" s="2">
        <v>171</v>
      </c>
      <c r="N976" s="2">
        <v>1181</v>
      </c>
      <c r="O976" s="2">
        <v>709</v>
      </c>
      <c r="P976" s="2">
        <v>5191</v>
      </c>
      <c r="Q976" s="2">
        <v>19514</v>
      </c>
      <c r="R976" s="13" t="s">
        <v>27</v>
      </c>
      <c r="S976" s="13" t="s">
        <v>27</v>
      </c>
    </row>
    <row r="977" spans="1:19" x14ac:dyDescent="0.3">
      <c r="A977" s="14">
        <v>43931.708333333336</v>
      </c>
      <c r="B977" s="13" t="s">
        <v>23</v>
      </c>
      <c r="C977" s="2">
        <v>3</v>
      </c>
      <c r="D977" s="13" t="s">
        <v>52</v>
      </c>
      <c r="E977" s="2">
        <v>4546679409</v>
      </c>
      <c r="F977" s="2">
        <v>9190347404</v>
      </c>
      <c r="G977" s="2">
        <v>11877</v>
      </c>
      <c r="H977" s="2">
        <v>1202</v>
      </c>
      <c r="I977" s="2">
        <v>13079</v>
      </c>
      <c r="J977" s="2">
        <v>16451</v>
      </c>
      <c r="K977" s="2">
        <v>29530</v>
      </c>
      <c r="L977" s="2">
        <v>456</v>
      </c>
      <c r="M977" s="2">
        <v>1246</v>
      </c>
      <c r="N977" s="2">
        <v>16280</v>
      </c>
      <c r="O977" s="2">
        <v>10238</v>
      </c>
      <c r="P977" s="2">
        <v>56048</v>
      </c>
      <c r="Q977" s="2">
        <v>186325</v>
      </c>
      <c r="R977" s="13" t="s">
        <v>27</v>
      </c>
      <c r="S977" s="13" t="s">
        <v>27</v>
      </c>
    </row>
    <row r="978" spans="1:19" hidden="1" x14ac:dyDescent="0.3">
      <c r="A978" s="14">
        <v>43931.708333333336</v>
      </c>
      <c r="B978" s="13" t="s">
        <v>23</v>
      </c>
      <c r="C978" s="2">
        <v>11</v>
      </c>
      <c r="D978" s="13" t="s">
        <v>53</v>
      </c>
      <c r="E978" s="2">
        <v>4361675973</v>
      </c>
      <c r="F978" s="2">
        <v>135188753</v>
      </c>
      <c r="G978" s="2">
        <v>925</v>
      </c>
      <c r="H978" s="2">
        <v>127</v>
      </c>
      <c r="I978" s="2">
        <v>1052</v>
      </c>
      <c r="J978" s="2">
        <v>2264</v>
      </c>
      <c r="K978" s="2">
        <v>3316</v>
      </c>
      <c r="L978" s="2">
        <v>-85</v>
      </c>
      <c r="M978" s="2">
        <v>129</v>
      </c>
      <c r="N978" s="2">
        <v>1086</v>
      </c>
      <c r="O978" s="2">
        <v>682</v>
      </c>
      <c r="P978" s="2">
        <v>5084</v>
      </c>
      <c r="Q978" s="2">
        <v>18970</v>
      </c>
      <c r="R978" s="13" t="s">
        <v>27</v>
      </c>
      <c r="S978" s="13" t="s">
        <v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      <c r="D979" s="13" t="s">
        <v>54</v>
      </c>
      <c r="E979" s="2">
        <v>4155774754</v>
      </c>
      <c r="F979" s="2">
        <v>1465916051</v>
      </c>
      <c r="G979" s="2">
        <v>28</v>
      </c>
      <c r="H979" s="2">
        <v>4</v>
      </c>
      <c r="I979" s="2">
        <v>32</v>
      </c>
      <c r="J979" s="2">
        <v>161</v>
      </c>
      <c r="K979" s="2">
        <v>193</v>
      </c>
      <c r="L979" s="2">
        <v>4</v>
      </c>
      <c r="M979" s="2">
        <v>9</v>
      </c>
      <c r="N979" s="2">
        <v>37</v>
      </c>
      <c r="O979" s="2">
        <v>13</v>
      </c>
      <c r="P979" s="2">
        <v>243</v>
      </c>
      <c r="Q979" s="2">
        <v>2069</v>
      </c>
      <c r="R979" s="13" t="s">
        <v>126</v>
      </c>
      <c r="S979" s="13" t="s">
        <v>127</v>
      </c>
    </row>
    <row r="980" spans="1:19" hidden="1" x14ac:dyDescent="0.3">
      <c r="A980" s="14">
        <v>43931.708333333336</v>
      </c>
      <c r="B980" s="13" t="s">
        <v>23</v>
      </c>
      <c r="C980" s="2">
        <v>1</v>
      </c>
      <c r="D980" s="13" t="s">
        <v>55</v>
      </c>
      <c r="E980" s="2">
        <v>450732745</v>
      </c>
      <c r="F980" s="2">
        <v>7680687483</v>
      </c>
      <c r="G980" s="2">
        <v>3497</v>
      </c>
      <c r="H980" s="2">
        <v>394</v>
      </c>
      <c r="I980" s="2">
        <v>3891</v>
      </c>
      <c r="J980" s="2">
        <v>7685</v>
      </c>
      <c r="K980" s="2">
        <v>11576</v>
      </c>
      <c r="L980" s="2">
        <v>240</v>
      </c>
      <c r="M980" s="2">
        <v>490</v>
      </c>
      <c r="N980" s="2">
        <v>1904</v>
      </c>
      <c r="O980" s="2">
        <v>1532</v>
      </c>
      <c r="P980" s="2">
        <v>15012</v>
      </c>
      <c r="Q980" s="2">
        <v>57457</v>
      </c>
      <c r="R980" s="13" t="s">
        <v>27</v>
      </c>
      <c r="S980" s="13" t="s">
        <v>27</v>
      </c>
    </row>
    <row r="981" spans="1:19" hidden="1" x14ac:dyDescent="0.3">
      <c r="A981" s="14">
        <v>43931.708333333336</v>
      </c>
      <c r="B981" s="13" t="s">
        <v>23</v>
      </c>
      <c r="C981" s="2">
        <v>16</v>
      </c>
      <c r="D981" s="13" t="s">
        <v>56</v>
      </c>
      <c r="E981" s="2">
        <v>4112559576</v>
      </c>
      <c r="F981" s="2">
        <v>1686736689</v>
      </c>
      <c r="G981" s="2">
        <v>631</v>
      </c>
      <c r="H981" s="2">
        <v>80</v>
      </c>
      <c r="I981" s="2">
        <v>711</v>
      </c>
      <c r="J981" s="2">
        <v>1625</v>
      </c>
      <c r="K981" s="2">
        <v>2336</v>
      </c>
      <c r="L981" s="2">
        <v>35</v>
      </c>
      <c r="M981" s="2">
        <v>93</v>
      </c>
      <c r="N981" s="2">
        <v>235</v>
      </c>
      <c r="O981" s="2">
        <v>238</v>
      </c>
      <c r="P981" s="2">
        <v>2809</v>
      </c>
      <c r="Q981" s="2">
        <v>27812</v>
      </c>
      <c r="R981" s="13" t="s">
        <v>27</v>
      </c>
      <c r="S981" s="13" t="s">
        <v>27</v>
      </c>
    </row>
    <row r="982" spans="1:19" hidden="1" x14ac:dyDescent="0.3">
      <c r="A982" s="14">
        <v>43931.708333333336</v>
      </c>
      <c r="B982" s="13" t="s">
        <v>23</v>
      </c>
      <c r="C982" s="2">
        <v>20</v>
      </c>
      <c r="D982" s="13" t="s">
        <v>57</v>
      </c>
      <c r="E982" s="2">
        <v>3921531192</v>
      </c>
      <c r="F982" s="2">
        <v>9110616306</v>
      </c>
      <c r="G982" s="2">
        <v>107</v>
      </c>
      <c r="H982" s="2">
        <v>26</v>
      </c>
      <c r="I982" s="2">
        <v>133</v>
      </c>
      <c r="J982" s="2">
        <v>743</v>
      </c>
      <c r="K982" s="2">
        <v>876</v>
      </c>
      <c r="L982" s="2">
        <v>0</v>
      </c>
      <c r="M982" s="2">
        <v>37</v>
      </c>
      <c r="N982" s="2">
        <v>118</v>
      </c>
      <c r="O982" s="2">
        <v>69</v>
      </c>
      <c r="P982" s="2">
        <v>1063</v>
      </c>
      <c r="Q982" s="2">
        <v>9444</v>
      </c>
      <c r="R982" s="13" t="s">
        <v>27</v>
      </c>
      <c r="S982" s="13" t="s">
        <v>27</v>
      </c>
    </row>
    <row r="983" spans="1:19" hidden="1" x14ac:dyDescent="0.3">
      <c r="A983" s="14">
        <v>43931.708333333336</v>
      </c>
      <c r="B983" s="13" t="s">
        <v>23</v>
      </c>
      <c r="C983" s="2">
        <v>19</v>
      </c>
      <c r="D983" s="13" t="s">
        <v>58</v>
      </c>
      <c r="E983" s="2">
        <v>3811569725</v>
      </c>
      <c r="F983" s="2">
        <v>133623567</v>
      </c>
      <c r="G983" s="2">
        <v>568</v>
      </c>
      <c r="H983" s="2">
        <v>62</v>
      </c>
      <c r="I983" s="2">
        <v>630</v>
      </c>
      <c r="J983" s="2">
        <v>1337</v>
      </c>
      <c r="K983" s="2">
        <v>1967</v>
      </c>
      <c r="L983" s="2">
        <v>25</v>
      </c>
      <c r="M983" s="2">
        <v>70</v>
      </c>
      <c r="N983" s="2">
        <v>187</v>
      </c>
      <c r="O983" s="2">
        <v>148</v>
      </c>
      <c r="P983" s="2">
        <v>2302</v>
      </c>
      <c r="Q983" s="2">
        <v>31156</v>
      </c>
      <c r="R983" s="13" t="s">
        <v>27</v>
      </c>
      <c r="S983" s="13" t="s">
        <v>27</v>
      </c>
    </row>
    <row r="984" spans="1:19" hidden="1" x14ac:dyDescent="0.3">
      <c r="A984" s="14">
        <v>43931.708333333336</v>
      </c>
      <c r="B984" s="13" t="s">
        <v>23</v>
      </c>
      <c r="C984" s="2">
        <v>9</v>
      </c>
      <c r="D984" s="13" t="s">
        <v>59</v>
      </c>
      <c r="E984" s="2">
        <v>4376923077</v>
      </c>
      <c r="F984" s="2">
        <v>1125588885</v>
      </c>
      <c r="G984" s="2">
        <v>1011</v>
      </c>
      <c r="H984" s="2">
        <v>256</v>
      </c>
      <c r="I984" s="2">
        <v>1267</v>
      </c>
      <c r="J984" s="2">
        <v>4555</v>
      </c>
      <c r="K984" s="2">
        <v>5822</v>
      </c>
      <c r="L984" s="2">
        <v>119</v>
      </c>
      <c r="M984" s="2">
        <v>175</v>
      </c>
      <c r="N984" s="2">
        <v>451</v>
      </c>
      <c r="O984" s="2">
        <v>454</v>
      </c>
      <c r="P984" s="2">
        <v>6727</v>
      </c>
      <c r="Q984" s="2">
        <v>72001</v>
      </c>
      <c r="R984" s="13" t="s">
        <v>27</v>
      </c>
      <c r="S984" s="13" t="s">
        <v>27</v>
      </c>
    </row>
    <row r="985" spans="1:19" hidden="1" x14ac:dyDescent="0.3">
      <c r="A985" s="14">
        <v>43931.708333333336</v>
      </c>
      <c r="B985" s="13" t="s">
        <v>23</v>
      </c>
      <c r="C985" s="2">
        <v>4</v>
      </c>
      <c r="D985" s="13" t="s">
        <v>60</v>
      </c>
      <c r="E985" s="2">
        <v>4606893511</v>
      </c>
      <c r="F985" s="2">
        <v>1112123097</v>
      </c>
      <c r="G985" s="2">
        <v>335</v>
      </c>
      <c r="H985" s="2">
        <v>70</v>
      </c>
      <c r="I985" s="2">
        <v>405</v>
      </c>
      <c r="J985" s="2">
        <v>1589</v>
      </c>
      <c r="K985" s="2">
        <v>1994</v>
      </c>
      <c r="L985" s="2">
        <v>16</v>
      </c>
      <c r="M985" s="2">
        <v>108</v>
      </c>
      <c r="N985" s="2">
        <v>547</v>
      </c>
      <c r="O985" s="2">
        <v>275</v>
      </c>
      <c r="P985" s="2">
        <v>2816</v>
      </c>
      <c r="Q985" s="2">
        <v>14981</v>
      </c>
      <c r="R985" s="13" t="s">
        <v>27</v>
      </c>
      <c r="S985" s="13" t="s">
        <v>27</v>
      </c>
    </row>
    <row r="986" spans="1:19" hidden="1" x14ac:dyDescent="0.3">
      <c r="A986" s="14">
        <v>43931.708333333336</v>
      </c>
      <c r="B986" s="13" t="s">
        <v>23</v>
      </c>
      <c r="C986" s="2">
        <v>10</v>
      </c>
      <c r="D986" s="13" t="s">
        <v>61</v>
      </c>
      <c r="E986" s="2">
        <v>4310675841</v>
      </c>
      <c r="F986" s="2">
        <v>1238824698</v>
      </c>
      <c r="G986" s="2">
        <v>146</v>
      </c>
      <c r="H986" s="2">
        <v>39</v>
      </c>
      <c r="I986" s="2">
        <v>185</v>
      </c>
      <c r="J986" s="2">
        <v>567</v>
      </c>
      <c r="K986" s="2">
        <v>752</v>
      </c>
      <c r="L986" s="2">
        <v>-40</v>
      </c>
      <c r="M986" s="2">
        <v>4</v>
      </c>
      <c r="N986" s="2">
        <v>498</v>
      </c>
      <c r="O986" s="2">
        <v>52</v>
      </c>
      <c r="P986" s="2">
        <v>1302</v>
      </c>
      <c r="Q986" s="2">
        <v>16325</v>
      </c>
      <c r="R986" s="13" t="s">
        <v>27</v>
      </c>
      <c r="S986" s="13" t="s">
        <v>27</v>
      </c>
    </row>
    <row r="987" spans="1:19" hidden="1" x14ac:dyDescent="0.3">
      <c r="A987" s="14">
        <v>43931.708333333336</v>
      </c>
      <c r="B987" s="13" t="s">
        <v>23</v>
      </c>
      <c r="C987" s="2">
        <v>2</v>
      </c>
      <c r="D987" s="13" t="s">
        <v>62</v>
      </c>
      <c r="E987" s="2">
        <v>4573750286</v>
      </c>
      <c r="F987" s="2">
        <v>7320149366</v>
      </c>
      <c r="G987" s="2">
        <v>131</v>
      </c>
      <c r="H987" s="2">
        <v>16</v>
      </c>
      <c r="I987" s="2">
        <v>147</v>
      </c>
      <c r="J987" s="2">
        <v>455</v>
      </c>
      <c r="K987" s="2">
        <v>602</v>
      </c>
      <c r="L987" s="2">
        <v>-7</v>
      </c>
      <c r="M987" s="2">
        <v>11</v>
      </c>
      <c r="N987" s="2">
        <v>170</v>
      </c>
      <c r="O987" s="2">
        <v>107</v>
      </c>
      <c r="P987" s="2">
        <v>879</v>
      </c>
      <c r="Q987" s="2">
        <v>3328</v>
      </c>
      <c r="R987" s="13" t="s">
        <v>27</v>
      </c>
      <c r="S987" s="13" t="s">
        <v>27</v>
      </c>
    </row>
    <row r="988" spans="1:19" hidden="1" x14ac:dyDescent="0.3">
      <c r="A988" s="14">
        <v>43931.708333333336</v>
      </c>
      <c r="B988" s="13" t="s">
        <v>23</v>
      </c>
      <c r="C988" s="2">
        <v>5</v>
      </c>
      <c r="D988" s="13" t="s">
        <v>63</v>
      </c>
      <c r="E988" s="2">
        <v>4543490485</v>
      </c>
      <c r="F988" s="2">
        <v>1233845213</v>
      </c>
      <c r="G988" s="2">
        <v>1521</v>
      </c>
      <c r="H988" s="2">
        <v>257</v>
      </c>
      <c r="I988" s="2">
        <v>1778</v>
      </c>
      <c r="J988" s="2">
        <v>8869</v>
      </c>
      <c r="K988" s="2">
        <v>10647</v>
      </c>
      <c r="L988" s="2">
        <v>198</v>
      </c>
      <c r="M988" s="2">
        <v>488</v>
      </c>
      <c r="N988" s="2">
        <v>1981</v>
      </c>
      <c r="O988" s="2">
        <v>793</v>
      </c>
      <c r="P988" s="2">
        <v>13421</v>
      </c>
      <c r="Q988" s="2">
        <v>180700</v>
      </c>
      <c r="R988" s="13" t="s">
        <v>27</v>
      </c>
      <c r="S988" s="13" t="s">
        <v>27</v>
      </c>
    </row>
    <row r="989" spans="1:19" hidden="1" x14ac:dyDescent="0.3">
      <c r="A989" s="14">
        <v>43932.708333333336</v>
      </c>
      <c r="B989" s="13" t="s">
        <v>23</v>
      </c>
      <c r="C989" s="2">
        <v>13</v>
      </c>
      <c r="D989" s="13" t="s">
        <v>44</v>
      </c>
      <c r="E989" s="2">
        <v>4235122196</v>
      </c>
      <c r="F989" s="2">
        <v>1339843823</v>
      </c>
      <c r="G989" s="2">
        <v>315</v>
      </c>
      <c r="H989" s="2">
        <v>54</v>
      </c>
      <c r="I989" s="2">
        <v>369</v>
      </c>
      <c r="J989" s="2">
        <v>1355</v>
      </c>
      <c r="K989" s="2">
        <v>1724</v>
      </c>
      <c r="L989" s="2">
        <v>89</v>
      </c>
      <c r="M989" s="2">
        <v>106</v>
      </c>
      <c r="N989" s="2">
        <v>190</v>
      </c>
      <c r="O989" s="2">
        <v>206</v>
      </c>
      <c r="P989" s="2">
        <v>2120</v>
      </c>
      <c r="Q989" s="2">
        <v>19441</v>
      </c>
      <c r="R989" s="13" t="s">
        <v>27</v>
      </c>
      <c r="S989" s="13" t="s">
        <v>27</v>
      </c>
    </row>
    <row r="990" spans="1:19" hidden="1" x14ac:dyDescent="0.3">
      <c r="A990" s="14">
        <v>43932.708333333336</v>
      </c>
      <c r="B990" s="13" t="s">
        <v>23</v>
      </c>
      <c r="C990" s="2">
        <v>17</v>
      </c>
      <c r="D990" s="13" t="s">
        <v>45</v>
      </c>
      <c r="E990" s="2">
        <v>4063947052</v>
      </c>
      <c r="F990" s="2">
        <v>1580514834</v>
      </c>
      <c r="G990" s="2">
        <v>60</v>
      </c>
      <c r="H990" s="2">
        <v>12</v>
      </c>
      <c r="I990" s="2">
        <v>72</v>
      </c>
      <c r="J990" s="2">
        <v>209</v>
      </c>
      <c r="K990" s="2">
        <v>281</v>
      </c>
      <c r="L990" s="2">
        <v>2</v>
      </c>
      <c r="M990" s="2">
        <v>4</v>
      </c>
      <c r="N990" s="2">
        <v>14</v>
      </c>
      <c r="O990" s="2">
        <v>17</v>
      </c>
      <c r="P990" s="2">
        <v>312</v>
      </c>
      <c r="Q990" s="2">
        <v>4050</v>
      </c>
      <c r="R990" s="13" t="s">
        <v>27</v>
      </c>
      <c r="S990" s="13" t="s">
        <v>27</v>
      </c>
    </row>
    <row r="991" spans="1:19" hidden="1" x14ac:dyDescent="0.3">
      <c r="A991" s="14">
        <v>43932.708333333336</v>
      </c>
      <c r="B991" s="13" t="s">
        <v>23</v>
      </c>
      <c r="C991" s="2">
        <v>4</v>
      </c>
      <c r="D991" s="13" t="s">
        <v>46</v>
      </c>
      <c r="E991" s="2">
        <v>4649933453</v>
      </c>
      <c r="F991" s="2">
        <v>1135662422</v>
      </c>
      <c r="G991" s="2">
        <v>246</v>
      </c>
      <c r="H991" s="2">
        <v>56</v>
      </c>
      <c r="I991" s="2">
        <v>302</v>
      </c>
      <c r="J991" s="2">
        <v>967</v>
      </c>
      <c r="K991" s="2">
        <v>1269</v>
      </c>
      <c r="L991" s="2">
        <v>-48</v>
      </c>
      <c r="M991" s="2">
        <v>2</v>
      </c>
      <c r="N991" s="2">
        <v>488</v>
      </c>
      <c r="O991" s="2">
        <v>200</v>
      </c>
      <c r="P991" s="2">
        <v>1957</v>
      </c>
      <c r="Q991" s="2">
        <v>22186</v>
      </c>
      <c r="R991" s="13" t="s">
        <v>27</v>
      </c>
      <c r="S991" s="13" t="s">
        <v>27</v>
      </c>
    </row>
    <row r="992" spans="1:19" hidden="1" x14ac:dyDescent="0.3">
      <c r="A992" s="14">
        <v>43932.708333333336</v>
      </c>
      <c r="B992" s="13" t="s">
        <v>23</v>
      </c>
      <c r="C992" s="2">
        <v>18</v>
      </c>
      <c r="D992" s="13" t="s">
        <v>47</v>
      </c>
      <c r="E992" s="2">
        <v>3890597598</v>
      </c>
      <c r="F992" s="2">
        <v>1659440194</v>
      </c>
      <c r="G992" s="2">
        <v>169</v>
      </c>
      <c r="H992" s="2">
        <v>15</v>
      </c>
      <c r="I992" s="2">
        <v>184</v>
      </c>
      <c r="J992" s="2">
        <v>608</v>
      </c>
      <c r="K992" s="2">
        <v>792</v>
      </c>
      <c r="L992" s="2">
        <v>6</v>
      </c>
      <c r="M992" s="2">
        <v>14</v>
      </c>
      <c r="N992" s="2">
        <v>57</v>
      </c>
      <c r="O992" s="2">
        <v>66</v>
      </c>
      <c r="P992" s="2">
        <v>915</v>
      </c>
      <c r="Q992" s="2">
        <v>17493</v>
      </c>
      <c r="R992" s="13" t="s">
        <v>27</v>
      </c>
      <c r="S992" s="13" t="s">
        <v>27</v>
      </c>
    </row>
    <row r="993" spans="1:19" hidden="1" x14ac:dyDescent="0.3">
      <c r="A993" s="14">
        <v>43932.708333333336</v>
      </c>
      <c r="B993" s="13" t="s">
        <v>23</v>
      </c>
      <c r="C993" s="2">
        <v>15</v>
      </c>
      <c r="D993" s="13" t="s">
        <v>48</v>
      </c>
      <c r="E993" s="2">
        <v>4083956555</v>
      </c>
      <c r="F993" s="2">
        <v>1425084984</v>
      </c>
      <c r="G993" s="2">
        <v>582</v>
      </c>
      <c r="H993" s="2">
        <v>85</v>
      </c>
      <c r="I993" s="2">
        <v>667</v>
      </c>
      <c r="J993" s="2">
        <v>2335</v>
      </c>
      <c r="K993" s="2">
        <v>3002</v>
      </c>
      <c r="L993" s="2">
        <v>39</v>
      </c>
      <c r="M993" s="2">
        <v>75</v>
      </c>
      <c r="N993" s="2">
        <v>277</v>
      </c>
      <c r="O993" s="2">
        <v>238</v>
      </c>
      <c r="P993" s="2">
        <v>3517</v>
      </c>
      <c r="Q993" s="2">
        <v>33781</v>
      </c>
      <c r="R993" s="13" t="s">
        <v>27</v>
      </c>
      <c r="S993" s="13" t="s">
        <v>27</v>
      </c>
    </row>
    <row r="994" spans="1:19" hidden="1" x14ac:dyDescent="0.3">
      <c r="A994" s="14">
        <v>43932.708333333336</v>
      </c>
      <c r="B994" s="13" t="s">
        <v>23</v>
      </c>
      <c r="C994" s="2">
        <v>8</v>
      </c>
      <c r="D994" s="13" t="s">
        <v>98</v>
      </c>
      <c r="E994" s="2">
        <v>4449436681</v>
      </c>
      <c r="F994" s="2">
        <v>113417208</v>
      </c>
      <c r="G994" s="2">
        <v>3530</v>
      </c>
      <c r="H994" s="2">
        <v>341</v>
      </c>
      <c r="I994" s="2">
        <v>3871</v>
      </c>
      <c r="J994" s="2">
        <v>9624</v>
      </c>
      <c r="K994" s="2">
        <v>13495</v>
      </c>
      <c r="L994" s="2">
        <v>145</v>
      </c>
      <c r="M994" s="2">
        <v>507</v>
      </c>
      <c r="N994" s="2">
        <v>3659</v>
      </c>
      <c r="O994" s="2">
        <v>2481</v>
      </c>
      <c r="P994" s="2">
        <v>19635</v>
      </c>
      <c r="Q994" s="2">
        <v>91759</v>
      </c>
      <c r="R994" s="13" t="s">
        <v>27</v>
      </c>
      <c r="S994" s="13" t="s">
        <v>27</v>
      </c>
    </row>
    <row r="995" spans="1:19" hidden="1" x14ac:dyDescent="0.3">
      <c r="A995" s="14">
        <v>43932.708333333336</v>
      </c>
      <c r="B995" s="13" t="s">
        <v>23</v>
      </c>
      <c r="C995" s="2">
        <v>6</v>
      </c>
      <c r="D995" s="13" t="s">
        <v>49</v>
      </c>
      <c r="E995" s="2">
        <v>456494354</v>
      </c>
      <c r="F995" s="2">
        <v>1376813649</v>
      </c>
      <c r="G995" s="2">
        <v>172</v>
      </c>
      <c r="H995" s="2">
        <v>28</v>
      </c>
      <c r="I995" s="2">
        <v>200</v>
      </c>
      <c r="J995" s="2">
        <v>1182</v>
      </c>
      <c r="K995" s="2">
        <v>1382</v>
      </c>
      <c r="L995" s="2">
        <v>-16</v>
      </c>
      <c r="M995" s="2">
        <v>44</v>
      </c>
      <c r="N995" s="2">
        <v>826</v>
      </c>
      <c r="O995" s="2">
        <v>185</v>
      </c>
      <c r="P995" s="2">
        <v>2393</v>
      </c>
      <c r="Q995" s="2">
        <v>29685</v>
      </c>
      <c r="R995" s="13" t="s">
        <v>27</v>
      </c>
      <c r="S995" s="13" t="s">
        <v>27</v>
      </c>
    </row>
    <row r="996" spans="1:19" hidden="1" x14ac:dyDescent="0.3">
      <c r="A996" s="14">
        <v>43932.708333333336</v>
      </c>
      <c r="B996" s="13" t="s">
        <v>23</v>
      </c>
      <c r="C996" s="2">
        <v>12</v>
      </c>
      <c r="D996" s="13" t="s">
        <v>50</v>
      </c>
      <c r="E996" s="2">
        <v>4189277044</v>
      </c>
      <c r="F996" s="2">
        <v>1248366722</v>
      </c>
      <c r="G996" s="2">
        <v>1264</v>
      </c>
      <c r="H996" s="2">
        <v>203</v>
      </c>
      <c r="I996" s="2">
        <v>1467</v>
      </c>
      <c r="J996" s="2">
        <v>2263</v>
      </c>
      <c r="K996" s="2">
        <v>3730</v>
      </c>
      <c r="L996" s="2">
        <v>97</v>
      </c>
      <c r="M996" s="2">
        <v>140</v>
      </c>
      <c r="N996" s="2">
        <v>720</v>
      </c>
      <c r="O996" s="2">
        <v>273</v>
      </c>
      <c r="P996" s="2">
        <v>4723</v>
      </c>
      <c r="Q996" s="2">
        <v>65241</v>
      </c>
      <c r="R996" s="13" t="s">
        <v>27</v>
      </c>
      <c r="S996" s="13" t="s">
        <v>27</v>
      </c>
    </row>
    <row r="997" spans="1:19" hidden="1" x14ac:dyDescent="0.3">
      <c r="A997" s="14">
        <v>43932.708333333336</v>
      </c>
      <c r="B997" s="13" t="s">
        <v>23</v>
      </c>
      <c r="C997" s="2">
        <v>7</v>
      </c>
      <c r="D997" s="13" t="s">
        <v>51</v>
      </c>
      <c r="E997" s="2">
        <v>4441149315</v>
      </c>
      <c r="F997" s="2">
        <v>89326992</v>
      </c>
      <c r="G997" s="2">
        <v>1003</v>
      </c>
      <c r="H997" s="2">
        <v>146</v>
      </c>
      <c r="I997" s="2">
        <v>1149</v>
      </c>
      <c r="J997" s="2">
        <v>2184</v>
      </c>
      <c r="K997" s="2">
        <v>3333</v>
      </c>
      <c r="L997" s="2">
        <v>32</v>
      </c>
      <c r="M997" s="2">
        <v>185</v>
      </c>
      <c r="N997" s="2">
        <v>1309</v>
      </c>
      <c r="O997" s="2">
        <v>734</v>
      </c>
      <c r="P997" s="2">
        <v>5376</v>
      </c>
      <c r="Q997" s="2">
        <v>20888</v>
      </c>
      <c r="R997" s="13" t="s">
        <v>27</v>
      </c>
      <c r="S997" s="13" t="s">
        <v>27</v>
      </c>
    </row>
    <row r="998" spans="1:19" x14ac:dyDescent="0.3">
      <c r="A998" s="14">
        <v>43932.708333333336</v>
      </c>
      <c r="B998" s="13" t="s">
        <v>23</v>
      </c>
      <c r="C998" s="2">
        <v>3</v>
      </c>
      <c r="D998" s="13" t="s">
        <v>52</v>
      </c>
      <c r="E998" s="2">
        <v>4546679409</v>
      </c>
      <c r="F998" s="2">
        <v>9190347404</v>
      </c>
      <c r="G998" s="2">
        <v>12026</v>
      </c>
      <c r="H998" s="2">
        <v>1174</v>
      </c>
      <c r="I998" s="2">
        <v>13200</v>
      </c>
      <c r="J998" s="2">
        <v>17058</v>
      </c>
      <c r="K998" s="2">
        <v>30258</v>
      </c>
      <c r="L998" s="2">
        <v>728</v>
      </c>
      <c r="M998" s="2">
        <v>1544</v>
      </c>
      <c r="N998" s="2">
        <v>16823</v>
      </c>
      <c r="O998" s="2">
        <v>10511</v>
      </c>
      <c r="P998" s="2">
        <v>57592</v>
      </c>
      <c r="Q998" s="2">
        <v>196302</v>
      </c>
      <c r="R998" s="13" t="s">
        <v>27</v>
      </c>
      <c r="S998" s="13" t="s">
        <v>27</v>
      </c>
    </row>
    <row r="999" spans="1:19" hidden="1" x14ac:dyDescent="0.3">
      <c r="A999" s="14">
        <v>43932.708333333336</v>
      </c>
      <c r="B999" s="13" t="s">
        <v>23</v>
      </c>
      <c r="C999" s="2">
        <v>11</v>
      </c>
      <c r="D999" s="13" t="s">
        <v>53</v>
      </c>
      <c r="E999" s="2">
        <v>4361675973</v>
      </c>
      <c r="F999" s="2">
        <v>135188753</v>
      </c>
      <c r="G999" s="2">
        <v>960</v>
      </c>
      <c r="H999" s="2">
        <v>118</v>
      </c>
      <c r="I999" s="2">
        <v>1078</v>
      </c>
      <c r="J999" s="2">
        <v>2153</v>
      </c>
      <c r="K999" s="2">
        <v>3231</v>
      </c>
      <c r="L999" s="2">
        <v>-85</v>
      </c>
      <c r="M999" s="2">
        <v>127</v>
      </c>
      <c r="N999" s="2">
        <v>1291</v>
      </c>
      <c r="O999" s="2">
        <v>689</v>
      </c>
      <c r="P999" s="2">
        <v>5211</v>
      </c>
      <c r="Q999" s="2">
        <v>20060</v>
      </c>
      <c r="R999" s="13" t="s">
        <v>27</v>
      </c>
      <c r="S999" s="13" t="s">
        <v>27</v>
      </c>
    </row>
    <row r="1000" spans="1:19" hidden="1" x14ac:dyDescent="0.3">
      <c r="A1000" s="14">
        <v>43932.708333333336</v>
      </c>
      <c r="B1000" s="13" t="s">
        <v>23</v>
      </c>
      <c r="C1000" s="2">
        <v>14</v>
      </c>
      <c r="D1000" s="13" t="s">
        <v>54</v>
      </c>
      <c r="E1000" s="2">
        <v>4155774754</v>
      </c>
      <c r="F1000" s="2">
        <v>1465916051</v>
      </c>
      <c r="G1000" s="2">
        <v>28</v>
      </c>
      <c r="H1000" s="2">
        <v>4</v>
      </c>
      <c r="I1000" s="2">
        <v>32</v>
      </c>
      <c r="J1000" s="2">
        <v>161</v>
      </c>
      <c r="K1000" s="2">
        <v>193</v>
      </c>
      <c r="L1000" s="2">
        <v>0</v>
      </c>
      <c r="M1000" s="2">
        <v>3</v>
      </c>
      <c r="N1000" s="2">
        <v>39</v>
      </c>
      <c r="O1000" s="2">
        <v>14</v>
      </c>
      <c r="P1000" s="2">
        <v>246</v>
      </c>
      <c r="Q1000" s="2">
        <v>2201</v>
      </c>
      <c r="R1000" s="13" t="s">
        <v>27</v>
      </c>
      <c r="S1000" s="13" t="s">
        <v>27</v>
      </c>
    </row>
    <row r="1001" spans="1:19" hidden="1" x14ac:dyDescent="0.3">
      <c r="A1001" s="14">
        <v>43932.708333333336</v>
      </c>
      <c r="B1001" s="13" t="s">
        <v>23</v>
      </c>
      <c r="C1001" s="2">
        <v>1</v>
      </c>
      <c r="D1001" s="13" t="s">
        <v>55</v>
      </c>
      <c r="E1001" s="2">
        <v>450732745</v>
      </c>
      <c r="F1001" s="2">
        <v>7680687483</v>
      </c>
      <c r="G1001" s="2">
        <v>3435</v>
      </c>
      <c r="H1001" s="2">
        <v>384</v>
      </c>
      <c r="I1001" s="2">
        <v>3819</v>
      </c>
      <c r="J1001" s="2">
        <v>8351</v>
      </c>
      <c r="K1001" s="2">
        <v>12170</v>
      </c>
      <c r="L1001" s="2">
        <v>594</v>
      </c>
      <c r="M1001" s="2">
        <v>996</v>
      </c>
      <c r="N1001" s="2">
        <v>2205</v>
      </c>
      <c r="O1001" s="2">
        <v>1633</v>
      </c>
      <c r="P1001" s="2">
        <v>16008</v>
      </c>
      <c r="Q1001" s="2">
        <v>62577</v>
      </c>
      <c r="R1001" s="13" t="s">
        <v>27</v>
      </c>
      <c r="S1001" s="13" t="s">
        <v>27</v>
      </c>
    </row>
    <row r="1002" spans="1:19" hidden="1" x14ac:dyDescent="0.3">
      <c r="A1002" s="14">
        <v>43932.708333333336</v>
      </c>
      <c r="B1002" s="13" t="s">
        <v>23</v>
      </c>
      <c r="C1002" s="2">
        <v>16</v>
      </c>
      <c r="D1002" s="13" t="s">
        <v>56</v>
      </c>
      <c r="E1002" s="2">
        <v>4112559576</v>
      </c>
      <c r="F1002" s="2">
        <v>1686736689</v>
      </c>
      <c r="G1002" s="2">
        <v>627</v>
      </c>
      <c r="H1002" s="2">
        <v>73</v>
      </c>
      <c r="I1002" s="2">
        <v>700</v>
      </c>
      <c r="J1002" s="2">
        <v>1702</v>
      </c>
      <c r="K1002" s="2">
        <v>2402</v>
      </c>
      <c r="L1002" s="2">
        <v>66</v>
      </c>
      <c r="M1002" s="2">
        <v>95</v>
      </c>
      <c r="N1002" s="2">
        <v>249</v>
      </c>
      <c r="O1002" s="2">
        <v>253</v>
      </c>
      <c r="P1002" s="2">
        <v>2904</v>
      </c>
      <c r="Q1002" s="2">
        <v>29463</v>
      </c>
      <c r="R1002" s="13" t="s">
        <v>27</v>
      </c>
      <c r="S1002" s="13" t="s">
        <v>27</v>
      </c>
    </row>
    <row r="1003" spans="1:19" hidden="1" x14ac:dyDescent="0.3">
      <c r="A1003" s="14">
        <v>43932.708333333336</v>
      </c>
      <c r="B1003" s="13" t="s">
        <v>23</v>
      </c>
      <c r="C1003" s="2">
        <v>20</v>
      </c>
      <c r="D1003" s="13" t="s">
        <v>57</v>
      </c>
      <c r="E1003" s="2">
        <v>3921531192</v>
      </c>
      <c r="F1003" s="2">
        <v>9110616306</v>
      </c>
      <c r="G1003" s="2">
        <v>113</v>
      </c>
      <c r="H1003" s="2">
        <v>24</v>
      </c>
      <c r="I1003" s="2">
        <v>137</v>
      </c>
      <c r="J1003" s="2">
        <v>751</v>
      </c>
      <c r="K1003" s="2">
        <v>888</v>
      </c>
      <c r="L1003" s="2">
        <v>12</v>
      </c>
      <c r="M1003" s="2">
        <v>28</v>
      </c>
      <c r="N1003" s="2">
        <v>130</v>
      </c>
      <c r="O1003" s="2">
        <v>73</v>
      </c>
      <c r="P1003" s="2">
        <v>1091</v>
      </c>
      <c r="Q1003" s="2">
        <v>10120</v>
      </c>
      <c r="R1003" s="13" t="s">
        <v>27</v>
      </c>
      <c r="S1003" s="13" t="s">
        <v>27</v>
      </c>
    </row>
    <row r="1004" spans="1:19" hidden="1" x14ac:dyDescent="0.3">
      <c r="A1004" s="14">
        <v>43932.708333333336</v>
      </c>
      <c r="B1004" s="13" t="s">
        <v>23</v>
      </c>
      <c r="C1004" s="2">
        <v>19</v>
      </c>
      <c r="D1004" s="13" t="s">
        <v>58</v>
      </c>
      <c r="E1004" s="2">
        <v>3811569725</v>
      </c>
      <c r="F1004" s="2">
        <v>133623567</v>
      </c>
      <c r="G1004" s="2">
        <v>562</v>
      </c>
      <c r="H1004" s="2">
        <v>58</v>
      </c>
      <c r="I1004" s="2">
        <v>620</v>
      </c>
      <c r="J1004" s="2">
        <v>1381</v>
      </c>
      <c r="K1004" s="2">
        <v>2001</v>
      </c>
      <c r="L1004" s="2">
        <v>34</v>
      </c>
      <c r="M1004" s="2">
        <v>62</v>
      </c>
      <c r="N1004" s="2">
        <v>209</v>
      </c>
      <c r="O1004" s="2">
        <v>154</v>
      </c>
      <c r="P1004" s="2">
        <v>2364</v>
      </c>
      <c r="Q1004" s="2">
        <v>33787</v>
      </c>
      <c r="R1004" s="13" t="s">
        <v>27</v>
      </c>
      <c r="S1004" s="13" t="s">
        <v>27</v>
      </c>
    </row>
    <row r="1005" spans="1:19" hidden="1" x14ac:dyDescent="0.3">
      <c r="A1005" s="14">
        <v>43932.708333333336</v>
      </c>
      <c r="B1005" s="13" t="s">
        <v>23</v>
      </c>
      <c r="C1005" s="2">
        <v>9</v>
      </c>
      <c r="D1005" s="13" t="s">
        <v>59</v>
      </c>
      <c r="E1005" s="2">
        <v>4376923077</v>
      </c>
      <c r="F1005" s="2">
        <v>1125588885</v>
      </c>
      <c r="G1005" s="2">
        <v>997</v>
      </c>
      <c r="H1005" s="2">
        <v>237</v>
      </c>
      <c r="I1005" s="2">
        <v>1234</v>
      </c>
      <c r="J1005" s="2">
        <v>4758</v>
      </c>
      <c r="K1005" s="2">
        <v>5992</v>
      </c>
      <c r="L1005" s="2">
        <v>170</v>
      </c>
      <c r="M1005" s="2">
        <v>231</v>
      </c>
      <c r="N1005" s="2">
        <v>499</v>
      </c>
      <c r="O1005" s="2">
        <v>467</v>
      </c>
      <c r="P1005" s="2">
        <v>6958</v>
      </c>
      <c r="Q1005" s="2">
        <v>75756</v>
      </c>
      <c r="R1005" s="13" t="s">
        <v>27</v>
      </c>
      <c r="S1005" s="13" t="s">
        <v>27</v>
      </c>
    </row>
    <row r="1006" spans="1:19" hidden="1" x14ac:dyDescent="0.3">
      <c r="A1006" s="14">
        <v>43932.708333333336</v>
      </c>
      <c r="B1006" s="13" t="s">
        <v>23</v>
      </c>
      <c r="C1006" s="2">
        <v>4</v>
      </c>
      <c r="D1006" s="13" t="s">
        <v>60</v>
      </c>
      <c r="E1006" s="2">
        <v>4606893511</v>
      </c>
      <c r="F1006" s="2">
        <v>1112123097</v>
      </c>
      <c r="G1006" s="2">
        <v>335</v>
      </c>
      <c r="H1006" s="2">
        <v>62</v>
      </c>
      <c r="I1006" s="2">
        <v>397</v>
      </c>
      <c r="J1006" s="2">
        <v>1667</v>
      </c>
      <c r="K1006" s="2">
        <v>2064</v>
      </c>
      <c r="L1006" s="2">
        <v>70</v>
      </c>
      <c r="M1006" s="2">
        <v>154</v>
      </c>
      <c r="N1006" s="2">
        <v>622</v>
      </c>
      <c r="O1006" s="2">
        <v>284</v>
      </c>
      <c r="P1006" s="2">
        <v>2970</v>
      </c>
      <c r="Q1006" s="2">
        <v>16646</v>
      </c>
      <c r="R1006" s="13" t="s">
        <v>27</v>
      </c>
      <c r="S1006" s="13" t="s">
        <v>27</v>
      </c>
    </row>
    <row r="1007" spans="1:19" hidden="1" x14ac:dyDescent="0.3">
      <c r="A1007" s="14">
        <v>43932.708333333336</v>
      </c>
      <c r="B1007" s="13" t="s">
        <v>23</v>
      </c>
      <c r="C1007" s="2">
        <v>10</v>
      </c>
      <c r="D1007" s="13" t="s">
        <v>61</v>
      </c>
      <c r="E1007" s="2">
        <v>4310675841</v>
      </c>
      <c r="F1007" s="2">
        <v>1238824698</v>
      </c>
      <c r="G1007" s="2">
        <v>137</v>
      </c>
      <c r="H1007" s="2">
        <v>39</v>
      </c>
      <c r="I1007" s="2">
        <v>176</v>
      </c>
      <c r="J1007" s="2">
        <v>547</v>
      </c>
      <c r="K1007" s="2">
        <v>723</v>
      </c>
      <c r="L1007" s="2">
        <v>-29</v>
      </c>
      <c r="M1007" s="2">
        <v>7</v>
      </c>
      <c r="N1007" s="2">
        <v>534</v>
      </c>
      <c r="O1007" s="2">
        <v>52</v>
      </c>
      <c r="P1007" s="2">
        <v>1309</v>
      </c>
      <c r="Q1007" s="2">
        <v>17661</v>
      </c>
      <c r="R1007" s="13" t="s">
        <v>27</v>
      </c>
      <c r="S1007" s="13" t="s">
        <v>27</v>
      </c>
    </row>
    <row r="1008" spans="1:19" hidden="1" x14ac:dyDescent="0.3">
      <c r="A1008" s="14">
        <v>43932.708333333336</v>
      </c>
      <c r="B1008" s="13" t="s">
        <v>23</v>
      </c>
      <c r="C1008" s="2">
        <v>2</v>
      </c>
      <c r="D1008" s="13" t="s">
        <v>62</v>
      </c>
      <c r="E1008" s="2">
        <v>4573750286</v>
      </c>
      <c r="F1008" s="2">
        <v>7320149366</v>
      </c>
      <c r="G1008" s="2">
        <v>118</v>
      </c>
      <c r="H1008" s="2">
        <v>17</v>
      </c>
      <c r="I1008" s="2">
        <v>135</v>
      </c>
      <c r="J1008" s="2">
        <v>455</v>
      </c>
      <c r="K1008" s="2">
        <v>590</v>
      </c>
      <c r="L1008" s="2">
        <v>-12</v>
      </c>
      <c r="M1008" s="2">
        <v>23</v>
      </c>
      <c r="N1008" s="2">
        <v>205</v>
      </c>
      <c r="O1008" s="2">
        <v>107</v>
      </c>
      <c r="P1008" s="2">
        <v>902</v>
      </c>
      <c r="Q1008" s="2">
        <v>3464</v>
      </c>
      <c r="R1008" s="13" t="s">
        <v>27</v>
      </c>
      <c r="S1008" s="13" t="s">
        <v>27</v>
      </c>
    </row>
    <row r="1009" spans="1:19" hidden="1" x14ac:dyDescent="0.3">
      <c r="A1009" s="14">
        <v>43932.708333333336</v>
      </c>
      <c r="B1009" s="13" t="s">
        <v>23</v>
      </c>
      <c r="C1009" s="2">
        <v>5</v>
      </c>
      <c r="D1009" s="13" t="s">
        <v>63</v>
      </c>
      <c r="E1009" s="2">
        <v>4543490485</v>
      </c>
      <c r="F1009" s="2">
        <v>1233845213</v>
      </c>
      <c r="G1009" s="2">
        <v>1465</v>
      </c>
      <c r="H1009" s="2">
        <v>251</v>
      </c>
      <c r="I1009" s="2">
        <v>1716</v>
      </c>
      <c r="J1009" s="2">
        <v>9033</v>
      </c>
      <c r="K1009" s="2">
        <v>10749</v>
      </c>
      <c r="L1009" s="2">
        <v>102</v>
      </c>
      <c r="M1009" s="2">
        <v>347</v>
      </c>
      <c r="N1009" s="2">
        <v>2188</v>
      </c>
      <c r="O1009" s="2">
        <v>831</v>
      </c>
      <c r="P1009" s="2">
        <v>13768</v>
      </c>
      <c r="Q1009" s="2">
        <v>190912</v>
      </c>
      <c r="R1009" s="13" t="s">
        <v>27</v>
      </c>
      <c r="S1009" s="13" t="s">
        <v>27</v>
      </c>
    </row>
    <row r="1010" spans="1:19" hidden="1" x14ac:dyDescent="0.3">
      <c r="A1010" s="14">
        <v>43933.708333333336</v>
      </c>
      <c r="B1010" s="13" t="s">
        <v>23</v>
      </c>
      <c r="C1010" s="2">
        <v>13</v>
      </c>
      <c r="D1010" s="13" t="s">
        <v>44</v>
      </c>
      <c r="E1010" s="2">
        <v>4235122196</v>
      </c>
      <c r="F1010" s="2">
        <v>1339843823</v>
      </c>
      <c r="G1010" s="2">
        <v>346</v>
      </c>
      <c r="H1010" s="2">
        <v>54</v>
      </c>
      <c r="I1010" s="2">
        <v>400</v>
      </c>
      <c r="J1010" s="2">
        <v>1342</v>
      </c>
      <c r="K1010" s="2">
        <v>1742</v>
      </c>
      <c r="L1010" s="2">
        <v>18</v>
      </c>
      <c r="M1010" s="2">
        <v>40</v>
      </c>
      <c r="N1010" s="2">
        <v>206</v>
      </c>
      <c r="O1010" s="2">
        <v>212</v>
      </c>
      <c r="P1010" s="2">
        <v>2160</v>
      </c>
      <c r="Q1010" s="2">
        <v>20594</v>
      </c>
      <c r="R1010" s="13" t="s">
        <v>27</v>
      </c>
      <c r="S1010" s="13" t="s">
        <v>27</v>
      </c>
    </row>
    <row r="1011" spans="1:19" hidden="1" x14ac:dyDescent="0.3">
      <c r="A1011" s="14">
        <v>43933.708333333336</v>
      </c>
      <c r="B1011" s="13" t="s">
        <v>23</v>
      </c>
      <c r="C1011" s="2">
        <v>17</v>
      </c>
      <c r="D1011" s="13" t="s">
        <v>45</v>
      </c>
      <c r="E1011" s="2">
        <v>4063947052</v>
      </c>
      <c r="F1011" s="2">
        <v>1580514834</v>
      </c>
      <c r="G1011" s="2">
        <v>61</v>
      </c>
      <c r="H1011" s="2">
        <v>12</v>
      </c>
      <c r="I1011" s="2">
        <v>73</v>
      </c>
      <c r="J1011" s="2">
        <v>204</v>
      </c>
      <c r="K1011" s="2">
        <v>277</v>
      </c>
      <c r="L1011" s="2">
        <v>-4</v>
      </c>
      <c r="M1011" s="2">
        <v>3</v>
      </c>
      <c r="N1011" s="2">
        <v>20</v>
      </c>
      <c r="O1011" s="2">
        <v>18</v>
      </c>
      <c r="P1011" s="2">
        <v>315</v>
      </c>
      <c r="Q1011" s="2">
        <v>4355</v>
      </c>
      <c r="R1011" s="13" t="s">
        <v>27</v>
      </c>
      <c r="S1011" s="13" t="s">
        <v>27</v>
      </c>
    </row>
    <row r="1012" spans="1:19" hidden="1" x14ac:dyDescent="0.3">
      <c r="A1012" s="14">
        <v>43933.708333333336</v>
      </c>
      <c r="B1012" s="13" t="s">
        <v>23</v>
      </c>
      <c r="C1012" s="2">
        <v>4</v>
      </c>
      <c r="D1012" s="13" t="s">
        <v>46</v>
      </c>
      <c r="E1012" s="2">
        <v>4649933453</v>
      </c>
      <c r="F1012" s="2">
        <v>1135662422</v>
      </c>
      <c r="G1012" s="2">
        <v>183</v>
      </c>
      <c r="H1012" s="2">
        <v>45</v>
      </c>
      <c r="I1012" s="2">
        <v>228</v>
      </c>
      <c r="J1012" s="2">
        <v>1287</v>
      </c>
      <c r="K1012" s="2">
        <v>1515</v>
      </c>
      <c r="L1012" s="2">
        <v>246</v>
      </c>
      <c r="M1012" s="2">
        <v>141</v>
      </c>
      <c r="N1012" s="2">
        <v>378</v>
      </c>
      <c r="O1012" s="2">
        <v>205</v>
      </c>
      <c r="P1012" s="2">
        <v>2098</v>
      </c>
      <c r="Q1012" s="2">
        <v>23246</v>
      </c>
      <c r="R1012" s="13" t="s">
        <v>128</v>
      </c>
      <c r="S1012" s="13" t="s">
        <v>129</v>
      </c>
    </row>
    <row r="1013" spans="1:19" hidden="1" x14ac:dyDescent="0.3">
      <c r="A1013" s="14">
        <v>43933.708333333336</v>
      </c>
      <c r="B1013" s="13" t="s">
        <v>23</v>
      </c>
      <c r="C1013" s="2">
        <v>18</v>
      </c>
      <c r="D1013" s="13" t="s">
        <v>47</v>
      </c>
      <c r="E1013" s="2">
        <v>3890597598</v>
      </c>
      <c r="F1013" s="2">
        <v>1659440194</v>
      </c>
      <c r="G1013" s="2">
        <v>165</v>
      </c>
      <c r="H1013" s="2">
        <v>14</v>
      </c>
      <c r="I1013" s="2">
        <v>179</v>
      </c>
      <c r="J1013" s="2">
        <v>616</v>
      </c>
      <c r="K1013" s="2">
        <v>795</v>
      </c>
      <c r="L1013" s="2">
        <v>3</v>
      </c>
      <c r="M1013" s="2">
        <v>8</v>
      </c>
      <c r="N1013" s="2">
        <v>62</v>
      </c>
      <c r="O1013" s="2">
        <v>66</v>
      </c>
      <c r="P1013" s="2">
        <v>923</v>
      </c>
      <c r="Q1013" s="2">
        <v>18211</v>
      </c>
      <c r="R1013" s="13" t="s">
        <v>27</v>
      </c>
      <c r="S1013" s="13" t="s">
        <v>27</v>
      </c>
    </row>
    <row r="1014" spans="1:19" hidden="1" x14ac:dyDescent="0.3">
      <c r="A1014" s="14">
        <v>43933.708333333336</v>
      </c>
      <c r="B1014" s="13" t="s">
        <v>23</v>
      </c>
      <c r="C1014" s="2">
        <v>15</v>
      </c>
      <c r="D1014" s="13" t="s">
        <v>48</v>
      </c>
      <c r="E1014" s="2">
        <v>4083956555</v>
      </c>
      <c r="F1014" s="2">
        <v>1425084984</v>
      </c>
      <c r="G1014" s="2">
        <v>526</v>
      </c>
      <c r="H1014" s="2">
        <v>82</v>
      </c>
      <c r="I1014" s="2">
        <v>608</v>
      </c>
      <c r="J1014" s="2">
        <v>2449</v>
      </c>
      <c r="K1014" s="2">
        <v>3057</v>
      </c>
      <c r="L1014" s="2">
        <v>55</v>
      </c>
      <c r="M1014" s="2">
        <v>87</v>
      </c>
      <c r="N1014" s="2">
        <v>305</v>
      </c>
      <c r="O1014" s="2">
        <v>242</v>
      </c>
      <c r="P1014" s="2">
        <v>3604</v>
      </c>
      <c r="Q1014" s="2">
        <v>35448</v>
      </c>
      <c r="R1014" s="13" t="s">
        <v>27</v>
      </c>
      <c r="S1014" s="13" t="s">
        <v>27</v>
      </c>
    </row>
    <row r="1015" spans="1:19" hidden="1" x14ac:dyDescent="0.3">
      <c r="A1015" s="14">
        <v>43933.708333333336</v>
      </c>
      <c r="B1015" s="13" t="s">
        <v>23</v>
      </c>
      <c r="C1015" s="2">
        <v>8</v>
      </c>
      <c r="D1015" s="13" t="s">
        <v>98</v>
      </c>
      <c r="E1015" s="2">
        <v>4449436681</v>
      </c>
      <c r="F1015" s="2">
        <v>113417208</v>
      </c>
      <c r="G1015" s="2">
        <v>3491</v>
      </c>
      <c r="H1015" s="2">
        <v>335</v>
      </c>
      <c r="I1015" s="2">
        <v>3826</v>
      </c>
      <c r="J1015" s="2">
        <v>9846</v>
      </c>
      <c r="K1015" s="2">
        <v>13672</v>
      </c>
      <c r="L1015" s="2">
        <v>177</v>
      </c>
      <c r="M1015" s="2">
        <v>463</v>
      </c>
      <c r="N1015" s="2">
        <v>3862</v>
      </c>
      <c r="O1015" s="2">
        <v>2564</v>
      </c>
      <c r="P1015" s="2">
        <v>20098</v>
      </c>
      <c r="Q1015" s="2">
        <v>96704</v>
      </c>
      <c r="R1015" s="13" t="s">
        <v>27</v>
      </c>
      <c r="S1015" s="13" t="s">
        <v>27</v>
      </c>
    </row>
    <row r="1016" spans="1:19" hidden="1" x14ac:dyDescent="0.3">
      <c r="A1016" s="14">
        <v>43933.708333333336</v>
      </c>
      <c r="B1016" s="13" t="s">
        <v>23</v>
      </c>
      <c r="C1016" s="2">
        <v>6</v>
      </c>
      <c r="D1016" s="13" t="s">
        <v>49</v>
      </c>
      <c r="E1016" s="2">
        <v>456494354</v>
      </c>
      <c r="F1016" s="2">
        <v>1376813649</v>
      </c>
      <c r="G1016" s="2">
        <v>160</v>
      </c>
      <c r="H1016" s="2">
        <v>28</v>
      </c>
      <c r="I1016" s="2">
        <v>188</v>
      </c>
      <c r="J1016" s="2">
        <v>1138</v>
      </c>
      <c r="K1016" s="2">
        <v>1326</v>
      </c>
      <c r="L1016" s="2">
        <v>-56</v>
      </c>
      <c r="M1016" s="2">
        <v>38</v>
      </c>
      <c r="N1016" s="2">
        <v>910</v>
      </c>
      <c r="O1016" s="2">
        <v>195</v>
      </c>
      <c r="P1016" s="2">
        <v>2431</v>
      </c>
      <c r="Q1016" s="2">
        <v>29988</v>
      </c>
      <c r="R1016" s="13" t="s">
        <v>27</v>
      </c>
      <c r="S1016" s="13" t="s">
        <v>27</v>
      </c>
    </row>
    <row r="1017" spans="1:19" hidden="1" x14ac:dyDescent="0.3">
      <c r="A1017" s="14">
        <v>43933.708333333336</v>
      </c>
      <c r="B1017" s="13" t="s">
        <v>23</v>
      </c>
      <c r="C1017" s="2">
        <v>12</v>
      </c>
      <c r="D1017" s="13" t="s">
        <v>50</v>
      </c>
      <c r="E1017" s="2">
        <v>4189277044</v>
      </c>
      <c r="F1017" s="2">
        <v>1248366722</v>
      </c>
      <c r="G1017" s="2">
        <v>1268</v>
      </c>
      <c r="H1017" s="2">
        <v>201</v>
      </c>
      <c r="I1017" s="2">
        <v>1469</v>
      </c>
      <c r="J1017" s="2">
        <v>2348</v>
      </c>
      <c r="K1017" s="2">
        <v>3817</v>
      </c>
      <c r="L1017" s="2">
        <v>87</v>
      </c>
      <c r="M1017" s="2">
        <v>122</v>
      </c>
      <c r="N1017" s="2">
        <v>749</v>
      </c>
      <c r="O1017" s="2">
        <v>279</v>
      </c>
      <c r="P1017" s="2">
        <v>4845</v>
      </c>
      <c r="Q1017" s="2">
        <v>68954</v>
      </c>
      <c r="R1017" s="13" t="s">
        <v>27</v>
      </c>
      <c r="S1017" s="13" t="s">
        <v>27</v>
      </c>
    </row>
    <row r="1018" spans="1:19" hidden="1" x14ac:dyDescent="0.3">
      <c r="A1018" s="14">
        <v>43933.708333333336</v>
      </c>
      <c r="B1018" s="13" t="s">
        <v>23</v>
      </c>
      <c r="C1018" s="2">
        <v>7</v>
      </c>
      <c r="D1018" s="13" t="s">
        <v>51</v>
      </c>
      <c r="E1018" s="2">
        <v>4441149315</v>
      </c>
      <c r="F1018" s="2">
        <v>89326992</v>
      </c>
      <c r="G1018" s="2">
        <v>1032</v>
      </c>
      <c r="H1018" s="2">
        <v>144</v>
      </c>
      <c r="I1018" s="2">
        <v>1176</v>
      </c>
      <c r="J1018" s="2">
        <v>2157</v>
      </c>
      <c r="K1018" s="2">
        <v>3333</v>
      </c>
      <c r="L1018" s="2">
        <v>0</v>
      </c>
      <c r="M1018" s="2">
        <v>118</v>
      </c>
      <c r="N1018" s="2">
        <v>1412</v>
      </c>
      <c r="O1018" s="2">
        <v>749</v>
      </c>
      <c r="P1018" s="2">
        <v>5494</v>
      </c>
      <c r="Q1018" s="2">
        <v>21983</v>
      </c>
      <c r="R1018" s="13" t="s">
        <v>27</v>
      </c>
      <c r="S1018" s="13" t="s">
        <v>27</v>
      </c>
    </row>
    <row r="1019" spans="1:19" x14ac:dyDescent="0.3">
      <c r="A1019" s="14">
        <v>43933.708333333336</v>
      </c>
      <c r="B1019" s="13" t="s">
        <v>23</v>
      </c>
      <c r="C1019" s="2">
        <v>3</v>
      </c>
      <c r="D1019" s="13" t="s">
        <v>52</v>
      </c>
      <c r="E1019" s="2">
        <v>4546679409</v>
      </c>
      <c r="F1019" s="2">
        <v>9190347404</v>
      </c>
      <c r="G1019" s="2">
        <v>11969</v>
      </c>
      <c r="H1019" s="2">
        <v>1176</v>
      </c>
      <c r="I1019" s="2">
        <v>13145</v>
      </c>
      <c r="J1019" s="2">
        <v>18120</v>
      </c>
      <c r="K1019" s="2">
        <v>31265</v>
      </c>
      <c r="L1019" s="2">
        <v>1007</v>
      </c>
      <c r="M1019" s="2">
        <v>1460</v>
      </c>
      <c r="N1019" s="2">
        <v>17166</v>
      </c>
      <c r="O1019" s="2">
        <v>10621</v>
      </c>
      <c r="P1019" s="2">
        <v>59052</v>
      </c>
      <c r="Q1019" s="2">
        <v>205832</v>
      </c>
      <c r="R1019" s="13" t="s">
        <v>27</v>
      </c>
      <c r="S1019" s="13" t="s">
        <v>27</v>
      </c>
    </row>
    <row r="1020" spans="1:19" hidden="1" x14ac:dyDescent="0.3">
      <c r="A1020" s="14">
        <v>43933.708333333336</v>
      </c>
      <c r="B1020" s="13" t="s">
        <v>23</v>
      </c>
      <c r="C1020" s="2">
        <v>11</v>
      </c>
      <c r="D1020" s="13" t="s">
        <v>53</v>
      </c>
      <c r="E1020" s="2">
        <v>4361675973</v>
      </c>
      <c r="F1020" s="2">
        <v>135188753</v>
      </c>
      <c r="G1020" s="2">
        <v>949</v>
      </c>
      <c r="H1020" s="2">
        <v>114</v>
      </c>
      <c r="I1020" s="2">
        <v>1063</v>
      </c>
      <c r="J1020" s="2">
        <v>2051</v>
      </c>
      <c r="K1020" s="2">
        <v>3114</v>
      </c>
      <c r="L1020" s="2">
        <v>-117</v>
      </c>
      <c r="M1020" s="2">
        <v>92</v>
      </c>
      <c r="N1020" s="2">
        <v>1489</v>
      </c>
      <c r="O1020" s="2">
        <v>700</v>
      </c>
      <c r="P1020" s="2">
        <v>5303</v>
      </c>
      <c r="Q1020" s="2">
        <v>21057</v>
      </c>
      <c r="R1020" s="13" t="s">
        <v>27</v>
      </c>
      <c r="S1020" s="13" t="s">
        <v>27</v>
      </c>
    </row>
    <row r="1021" spans="1:19" hidden="1" x14ac:dyDescent="0.3">
      <c r="A1021" s="14">
        <v>43933.708333333336</v>
      </c>
      <c r="B1021" s="13" t="s">
        <v>23</v>
      </c>
      <c r="C1021" s="2">
        <v>14</v>
      </c>
      <c r="D1021" s="13" t="s">
        <v>54</v>
      </c>
      <c r="E1021" s="2">
        <v>4155774754</v>
      </c>
      <c r="F1021" s="2">
        <v>1465916051</v>
      </c>
      <c r="G1021" s="2">
        <v>27</v>
      </c>
      <c r="H1021" s="2">
        <v>4</v>
      </c>
      <c r="I1021" s="2">
        <v>31</v>
      </c>
      <c r="J1021" s="2">
        <v>171</v>
      </c>
      <c r="K1021" s="2">
        <v>202</v>
      </c>
      <c r="L1021" s="2">
        <v>9</v>
      </c>
      <c r="M1021" s="2">
        <v>11</v>
      </c>
      <c r="N1021" s="2">
        <v>40</v>
      </c>
      <c r="O1021" s="2">
        <v>15</v>
      </c>
      <c r="P1021" s="2">
        <v>257</v>
      </c>
      <c r="Q1021" s="2">
        <v>2471</v>
      </c>
      <c r="R1021" s="13" t="s">
        <v>27</v>
      </c>
      <c r="S1021" s="13" t="s">
        <v>27</v>
      </c>
    </row>
    <row r="1022" spans="1:19" hidden="1" x14ac:dyDescent="0.3">
      <c r="A1022" s="14">
        <v>43933.708333333336</v>
      </c>
      <c r="B1022" s="13" t="s">
        <v>23</v>
      </c>
      <c r="C1022" s="2">
        <v>1</v>
      </c>
      <c r="D1022" s="13" t="s">
        <v>55</v>
      </c>
      <c r="E1022" s="2">
        <v>450732745</v>
      </c>
      <c r="F1022" s="2">
        <v>7680687483</v>
      </c>
      <c r="G1022" s="2">
        <v>3429</v>
      </c>
      <c r="H1022" s="2">
        <v>381</v>
      </c>
      <c r="I1022" s="2">
        <v>3810</v>
      </c>
      <c r="J1022" s="2">
        <v>8695</v>
      </c>
      <c r="K1022" s="2">
        <v>12505</v>
      </c>
      <c r="L1022" s="2">
        <v>335</v>
      </c>
      <c r="M1022" s="2">
        <v>652</v>
      </c>
      <c r="N1022" s="2">
        <v>2426</v>
      </c>
      <c r="O1022" s="2">
        <v>1729</v>
      </c>
      <c r="P1022" s="2">
        <v>16660</v>
      </c>
      <c r="Q1022" s="2">
        <v>66555</v>
      </c>
      <c r="R1022" s="13" t="s">
        <v>27</v>
      </c>
      <c r="S1022" s="13" t="s">
        <v>27</v>
      </c>
    </row>
    <row r="1023" spans="1:19" hidden="1" x14ac:dyDescent="0.3">
      <c r="A1023" s="14">
        <v>43933.708333333336</v>
      </c>
      <c r="B1023" s="13" t="s">
        <v>23</v>
      </c>
      <c r="C1023" s="2">
        <v>16</v>
      </c>
      <c r="D1023" s="13" t="s">
        <v>56</v>
      </c>
      <c r="E1023" s="2">
        <v>4112559576</v>
      </c>
      <c r="F1023" s="2">
        <v>1686736689</v>
      </c>
      <c r="G1023" s="2">
        <v>609</v>
      </c>
      <c r="H1023" s="2">
        <v>71</v>
      </c>
      <c r="I1023" s="2">
        <v>680</v>
      </c>
      <c r="J1023" s="2">
        <v>1772</v>
      </c>
      <c r="K1023" s="2">
        <v>2452</v>
      </c>
      <c r="L1023" s="2">
        <v>50</v>
      </c>
      <c r="M1023" s="2">
        <v>85</v>
      </c>
      <c r="N1023" s="2">
        <v>277</v>
      </c>
      <c r="O1023" s="2">
        <v>260</v>
      </c>
      <c r="P1023" s="2">
        <v>2989</v>
      </c>
      <c r="Q1023" s="2">
        <v>30973</v>
      </c>
      <c r="R1023" s="13" t="s">
        <v>27</v>
      </c>
      <c r="S1023" s="13" t="s">
        <v>27</v>
      </c>
    </row>
    <row r="1024" spans="1:19" hidden="1" x14ac:dyDescent="0.3">
      <c r="A1024" s="14">
        <v>43933.708333333336</v>
      </c>
      <c r="B1024" s="13" t="s">
        <v>23</v>
      </c>
      <c r="C1024" s="2">
        <v>20</v>
      </c>
      <c r="D1024" s="13" t="s">
        <v>57</v>
      </c>
      <c r="E1024" s="2">
        <v>3921531192</v>
      </c>
      <c r="F1024" s="2">
        <v>9110616306</v>
      </c>
      <c r="G1024" s="2">
        <v>109</v>
      </c>
      <c r="H1024" s="2">
        <v>26</v>
      </c>
      <c r="I1024" s="2">
        <v>135</v>
      </c>
      <c r="J1024" s="2">
        <v>768</v>
      </c>
      <c r="K1024" s="2">
        <v>903</v>
      </c>
      <c r="L1024" s="2">
        <v>15</v>
      </c>
      <c r="M1024" s="2">
        <v>22</v>
      </c>
      <c r="N1024" s="2">
        <v>137</v>
      </c>
      <c r="O1024" s="2">
        <v>73</v>
      </c>
      <c r="P1024" s="2">
        <v>1113</v>
      </c>
      <c r="Q1024" s="2">
        <v>10663</v>
      </c>
      <c r="R1024" s="13" t="s">
        <v>27</v>
      </c>
      <c r="S1024" s="13" t="s">
        <v>27</v>
      </c>
    </row>
    <row r="1025" spans="1:19" hidden="1" x14ac:dyDescent="0.3">
      <c r="A1025" s="14">
        <v>43933.708333333336</v>
      </c>
      <c r="B1025" s="13" t="s">
        <v>23</v>
      </c>
      <c r="C1025" s="2">
        <v>19</v>
      </c>
      <c r="D1025" s="13" t="s">
        <v>58</v>
      </c>
      <c r="E1025" s="2">
        <v>3811569725</v>
      </c>
      <c r="F1025" s="2">
        <v>133623567</v>
      </c>
      <c r="G1025" s="2">
        <v>552</v>
      </c>
      <c r="H1025" s="2">
        <v>53</v>
      </c>
      <c r="I1025" s="2">
        <v>605</v>
      </c>
      <c r="J1025" s="2">
        <v>1425</v>
      </c>
      <c r="K1025" s="2">
        <v>2030</v>
      </c>
      <c r="L1025" s="2">
        <v>29</v>
      </c>
      <c r="M1025" s="2">
        <v>52</v>
      </c>
      <c r="N1025" s="2">
        <v>223</v>
      </c>
      <c r="O1025" s="2">
        <v>163</v>
      </c>
      <c r="P1025" s="2">
        <v>2416</v>
      </c>
      <c r="Q1025" s="2">
        <v>36098</v>
      </c>
      <c r="R1025" s="13" t="s">
        <v>27</v>
      </c>
      <c r="S1025" s="13" t="s">
        <v>27</v>
      </c>
    </row>
    <row r="1026" spans="1:19" hidden="1" x14ac:dyDescent="0.3">
      <c r="A1026" s="14">
        <v>43933.708333333336</v>
      </c>
      <c r="B1026" s="13" t="s">
        <v>23</v>
      </c>
      <c r="C1026" s="2">
        <v>9</v>
      </c>
      <c r="D1026" s="13" t="s">
        <v>59</v>
      </c>
      <c r="E1026" s="2">
        <v>4376923077</v>
      </c>
      <c r="F1026" s="2">
        <v>1125588885</v>
      </c>
      <c r="G1026" s="2">
        <v>983</v>
      </c>
      <c r="H1026" s="2">
        <v>238</v>
      </c>
      <c r="I1026" s="2">
        <v>1221</v>
      </c>
      <c r="J1026" s="2">
        <v>4941</v>
      </c>
      <c r="K1026" s="2">
        <v>6162</v>
      </c>
      <c r="L1026" s="2">
        <v>170</v>
      </c>
      <c r="M1026" s="2">
        <v>277</v>
      </c>
      <c r="N1026" s="2">
        <v>578</v>
      </c>
      <c r="O1026" s="2">
        <v>495</v>
      </c>
      <c r="P1026" s="2">
        <v>7235</v>
      </c>
      <c r="Q1026" s="2">
        <v>78640</v>
      </c>
      <c r="R1026" s="13" t="s">
        <v>27</v>
      </c>
      <c r="S1026" s="13" t="s">
        <v>27</v>
      </c>
    </row>
    <row r="1027" spans="1:19" hidden="1" x14ac:dyDescent="0.3">
      <c r="A1027" s="14">
        <v>43933.708333333336</v>
      </c>
      <c r="B1027" s="13" t="s">
        <v>23</v>
      </c>
      <c r="C1027" s="2">
        <v>4</v>
      </c>
      <c r="D1027" s="13" t="s">
        <v>60</v>
      </c>
      <c r="E1027" s="2">
        <v>4606893511</v>
      </c>
      <c r="F1027" s="2">
        <v>1112123097</v>
      </c>
      <c r="G1027" s="2">
        <v>322</v>
      </c>
      <c r="H1027" s="2">
        <v>61</v>
      </c>
      <c r="I1027" s="2">
        <v>383</v>
      </c>
      <c r="J1027" s="2">
        <v>1699</v>
      </c>
      <c r="K1027" s="2">
        <v>2082</v>
      </c>
      <c r="L1027" s="2">
        <v>18</v>
      </c>
      <c r="M1027" s="2">
        <v>83</v>
      </c>
      <c r="N1027" s="2">
        <v>678</v>
      </c>
      <c r="O1027" s="2">
        <v>293</v>
      </c>
      <c r="P1027" s="2">
        <v>3053</v>
      </c>
      <c r="Q1027" s="2">
        <v>17797</v>
      </c>
      <c r="R1027" s="13" t="s">
        <v>27</v>
      </c>
      <c r="S1027" s="13" t="s">
        <v>27</v>
      </c>
    </row>
    <row r="1028" spans="1:19" hidden="1" x14ac:dyDescent="0.3">
      <c r="A1028" s="14">
        <v>43933.708333333336</v>
      </c>
      <c r="B1028" s="13" t="s">
        <v>23</v>
      </c>
      <c r="C1028" s="2">
        <v>10</v>
      </c>
      <c r="D1028" s="13" t="s">
        <v>61</v>
      </c>
      <c r="E1028" s="2">
        <v>4310675841</v>
      </c>
      <c r="F1028" s="2">
        <v>1238824698</v>
      </c>
      <c r="G1028" s="2">
        <v>129</v>
      </c>
      <c r="H1028" s="2">
        <v>39</v>
      </c>
      <c r="I1028" s="2">
        <v>168</v>
      </c>
      <c r="J1028" s="2">
        <v>519</v>
      </c>
      <c r="K1028" s="2">
        <v>687</v>
      </c>
      <c r="L1028" s="2">
        <v>-36</v>
      </c>
      <c r="M1028" s="2">
        <v>10</v>
      </c>
      <c r="N1028" s="2">
        <v>580</v>
      </c>
      <c r="O1028" s="2">
        <v>52</v>
      </c>
      <c r="P1028" s="2">
        <v>1319</v>
      </c>
      <c r="Q1028" s="2">
        <v>18672</v>
      </c>
      <c r="R1028" s="13" t="s">
        <v>27</v>
      </c>
      <c r="S1028" s="13" t="s">
        <v>27</v>
      </c>
    </row>
    <row r="1029" spans="1:19" hidden="1" x14ac:dyDescent="0.3">
      <c r="A1029" s="14">
        <v>43933.708333333336</v>
      </c>
      <c r="B1029" s="13" t="s">
        <v>23</v>
      </c>
      <c r="C1029" s="2">
        <v>2</v>
      </c>
      <c r="D1029" s="13" t="s">
        <v>62</v>
      </c>
      <c r="E1029" s="2">
        <v>4573750286</v>
      </c>
      <c r="F1029" s="2">
        <v>7320149366</v>
      </c>
      <c r="G1029" s="2">
        <v>109</v>
      </c>
      <c r="H1029" s="2">
        <v>16</v>
      </c>
      <c r="I1029" s="2">
        <v>125</v>
      </c>
      <c r="J1029" s="2">
        <v>463</v>
      </c>
      <c r="K1029" s="2">
        <v>588</v>
      </c>
      <c r="L1029" s="2">
        <v>-2</v>
      </c>
      <c r="M1029" s="2">
        <v>19</v>
      </c>
      <c r="N1029" s="2">
        <v>221</v>
      </c>
      <c r="O1029" s="2">
        <v>112</v>
      </c>
      <c r="P1029" s="2">
        <v>921</v>
      </c>
      <c r="Q1029" s="2">
        <v>3510</v>
      </c>
      <c r="R1029" s="13" t="s">
        <v>27</v>
      </c>
      <c r="S1029" s="13" t="s">
        <v>27</v>
      </c>
    </row>
    <row r="1030" spans="1:19" hidden="1" x14ac:dyDescent="0.3">
      <c r="A1030" s="14">
        <v>43933.708333333336</v>
      </c>
      <c r="B1030" s="13" t="s">
        <v>23</v>
      </c>
      <c r="C1030" s="86">
        <v>5</v>
      </c>
      <c r="D1030" s="13" t="s">
        <v>63</v>
      </c>
      <c r="E1030" s="86">
        <v>4543490485</v>
      </c>
      <c r="F1030" s="86">
        <v>1233845213</v>
      </c>
      <c r="G1030" s="86">
        <v>1428</v>
      </c>
      <c r="H1030" s="86">
        <v>249</v>
      </c>
      <c r="I1030" s="86">
        <v>1677</v>
      </c>
      <c r="J1030" s="86">
        <v>9052</v>
      </c>
      <c r="K1030" s="86">
        <v>10729</v>
      </c>
      <c r="L1030" s="86">
        <v>-20</v>
      </c>
      <c r="M1030" s="86">
        <v>309</v>
      </c>
      <c r="N1030" s="86">
        <v>2492</v>
      </c>
      <c r="O1030" s="86">
        <v>856</v>
      </c>
      <c r="P1030" s="86">
        <v>14077</v>
      </c>
      <c r="Q1030" s="86">
        <v>198442</v>
      </c>
      <c r="R1030" s="13" t="s">
        <v>27</v>
      </c>
      <c r="S1030" s="13" t="s">
        <v>27</v>
      </c>
    </row>
    <row r="1031" spans="1:19" hidden="1" x14ac:dyDescent="0.3">
      <c r="A1031" s="14">
        <v>43934.708333333336</v>
      </c>
      <c r="B1031" s="13" t="s">
        <v>23</v>
      </c>
      <c r="C1031" s="86">
        <v>13</v>
      </c>
      <c r="D1031" s="13" t="s">
        <v>44</v>
      </c>
      <c r="E1031" s="86">
        <v>4235122196</v>
      </c>
      <c r="F1031" s="86">
        <v>1339843823</v>
      </c>
      <c r="G1031" s="86">
        <v>351</v>
      </c>
      <c r="H1031" s="86">
        <v>54</v>
      </c>
      <c r="I1031" s="86">
        <v>405</v>
      </c>
      <c r="J1031" s="86">
        <v>1373</v>
      </c>
      <c r="K1031" s="86">
        <v>1778</v>
      </c>
      <c r="L1031" s="86">
        <v>36</v>
      </c>
      <c r="M1031" s="86">
        <v>53</v>
      </c>
      <c r="N1031" s="86">
        <v>211</v>
      </c>
      <c r="O1031" s="86">
        <v>224</v>
      </c>
      <c r="P1031" s="86">
        <v>2213</v>
      </c>
      <c r="Q1031" s="86">
        <v>20667</v>
      </c>
      <c r="R1031" s="13" t="s">
        <v>27</v>
      </c>
      <c r="S1031" s="13" t="s">
        <v>27</v>
      </c>
    </row>
    <row r="1032" spans="1:19" hidden="1" x14ac:dyDescent="0.3">
      <c r="A1032" s="14">
        <v>43934.708333333336</v>
      </c>
      <c r="B1032" s="13" t="s">
        <v>23</v>
      </c>
      <c r="C1032" s="86">
        <v>17</v>
      </c>
      <c r="D1032" s="13" t="s">
        <v>45</v>
      </c>
      <c r="E1032" s="86">
        <v>4063947052</v>
      </c>
      <c r="F1032" s="86">
        <v>1580514834</v>
      </c>
      <c r="G1032" s="86">
        <v>64</v>
      </c>
      <c r="H1032" s="86">
        <v>12</v>
      </c>
      <c r="I1032" s="86">
        <v>76</v>
      </c>
      <c r="J1032" s="86">
        <v>194</v>
      </c>
      <c r="K1032" s="86">
        <v>270</v>
      </c>
      <c r="L1032" s="86">
        <v>-7</v>
      </c>
      <c r="M1032" s="86">
        <v>4</v>
      </c>
      <c r="N1032" s="86">
        <v>31</v>
      </c>
      <c r="O1032" s="86">
        <v>18</v>
      </c>
      <c r="P1032" s="86">
        <v>319</v>
      </c>
      <c r="Q1032" s="86">
        <v>4545</v>
      </c>
      <c r="R1032" s="13" t="s">
        <v>27</v>
      </c>
      <c r="S1032" s="13" t="s">
        <v>27</v>
      </c>
    </row>
    <row r="1033" spans="1:19" hidden="1" x14ac:dyDescent="0.3">
      <c r="A1033" s="14">
        <v>43934.708333333336</v>
      </c>
      <c r="B1033" s="13" t="s">
        <v>23</v>
      </c>
      <c r="C1033" s="86">
        <v>4</v>
      </c>
      <c r="D1033" s="13" t="s">
        <v>46</v>
      </c>
      <c r="E1033" s="86">
        <v>4649933453</v>
      </c>
      <c r="F1033" s="86">
        <v>1135662422</v>
      </c>
      <c r="G1033" s="86">
        <v>190</v>
      </c>
      <c r="H1033" s="86">
        <v>41</v>
      </c>
      <c r="I1033" s="86">
        <v>231</v>
      </c>
      <c r="J1033" s="86">
        <v>1306</v>
      </c>
      <c r="K1033" s="86">
        <v>1537</v>
      </c>
      <c r="L1033" s="86">
        <v>22</v>
      </c>
      <c r="M1033" s="86">
        <v>51</v>
      </c>
      <c r="N1033" s="86">
        <v>400</v>
      </c>
      <c r="O1033" s="86">
        <v>212</v>
      </c>
      <c r="P1033" s="86">
        <v>2149</v>
      </c>
      <c r="Q1033" s="86">
        <v>24157</v>
      </c>
      <c r="R1033" s="13" t="s">
        <v>27</v>
      </c>
      <c r="S1033" s="13" t="s">
        <v>27</v>
      </c>
    </row>
    <row r="1034" spans="1:19" hidden="1" x14ac:dyDescent="0.3">
      <c r="A1034" s="14">
        <v>43934.708333333336</v>
      </c>
      <c r="B1034" s="13" t="s">
        <v>23</v>
      </c>
      <c r="C1034" s="86">
        <v>18</v>
      </c>
      <c r="D1034" s="13" t="s">
        <v>47</v>
      </c>
      <c r="E1034" s="86">
        <v>3890597598</v>
      </c>
      <c r="F1034" s="86">
        <v>1659440194</v>
      </c>
      <c r="G1034" s="86">
        <v>160</v>
      </c>
      <c r="H1034" s="86">
        <v>12</v>
      </c>
      <c r="I1034" s="86">
        <v>172</v>
      </c>
      <c r="J1034" s="86">
        <v>619</v>
      </c>
      <c r="K1034" s="86">
        <v>791</v>
      </c>
      <c r="L1034" s="86">
        <v>-4</v>
      </c>
      <c r="M1034" s="86">
        <v>5</v>
      </c>
      <c r="N1034" s="86">
        <v>70</v>
      </c>
      <c r="O1034" s="86">
        <v>67</v>
      </c>
      <c r="P1034" s="86">
        <v>928</v>
      </c>
      <c r="Q1034" s="86">
        <v>18596</v>
      </c>
      <c r="R1034" s="13" t="s">
        <v>27</v>
      </c>
      <c r="S1034" s="13" t="s">
        <v>27</v>
      </c>
    </row>
    <row r="1035" spans="1:19" hidden="1" x14ac:dyDescent="0.3">
      <c r="A1035" s="14">
        <v>43934.708333333336</v>
      </c>
      <c r="B1035" s="13" t="s">
        <v>23</v>
      </c>
      <c r="C1035" s="86">
        <v>15</v>
      </c>
      <c r="D1035" s="13" t="s">
        <v>48</v>
      </c>
      <c r="E1035" s="86">
        <v>4083956555</v>
      </c>
      <c r="F1035" s="86">
        <v>1425084984</v>
      </c>
      <c r="G1035" s="86">
        <v>606</v>
      </c>
      <c r="H1035" s="86">
        <v>80</v>
      </c>
      <c r="I1035" s="86">
        <v>686</v>
      </c>
      <c r="J1035" s="86">
        <v>2376</v>
      </c>
      <c r="K1035" s="86">
        <v>3062</v>
      </c>
      <c r="L1035" s="86">
        <v>5</v>
      </c>
      <c r="M1035" s="86">
        <v>66</v>
      </c>
      <c r="N1035" s="86">
        <v>360</v>
      </c>
      <c r="O1035" s="86">
        <v>248</v>
      </c>
      <c r="P1035" s="86">
        <v>3670</v>
      </c>
      <c r="Q1035" s="86">
        <v>36770</v>
      </c>
      <c r="R1035" s="13" t="s">
        <v>27</v>
      </c>
      <c r="S1035" s="13" t="s">
        <v>27</v>
      </c>
    </row>
    <row r="1036" spans="1:19" hidden="1" x14ac:dyDescent="0.3">
      <c r="A1036" s="14">
        <v>43934.708333333336</v>
      </c>
      <c r="B1036" s="13" t="s">
        <v>23</v>
      </c>
      <c r="C1036" s="86">
        <v>8</v>
      </c>
      <c r="D1036" s="13" t="s">
        <v>98</v>
      </c>
      <c r="E1036" s="86">
        <v>4449436681</v>
      </c>
      <c r="F1036" s="86">
        <v>113417208</v>
      </c>
      <c r="G1036" s="86">
        <v>3490</v>
      </c>
      <c r="H1036" s="86">
        <v>331</v>
      </c>
      <c r="I1036" s="86">
        <v>3821</v>
      </c>
      <c r="J1036" s="86">
        <v>9997</v>
      </c>
      <c r="K1036" s="86">
        <v>13818</v>
      </c>
      <c r="L1036" s="86">
        <v>146</v>
      </c>
      <c r="M1036" s="86">
        <v>342</v>
      </c>
      <c r="N1036" s="86">
        <v>4007</v>
      </c>
      <c r="O1036" s="86">
        <v>2615</v>
      </c>
      <c r="P1036" s="86">
        <v>20440</v>
      </c>
      <c r="Q1036" s="86">
        <v>99047</v>
      </c>
      <c r="R1036" s="13" t="s">
        <v>27</v>
      </c>
      <c r="S1036" s="13" t="s">
        <v>27</v>
      </c>
    </row>
    <row r="1037" spans="1:19" hidden="1" x14ac:dyDescent="0.3">
      <c r="A1037" s="14">
        <v>43934.708333333336</v>
      </c>
      <c r="B1037" s="13" t="s">
        <v>23</v>
      </c>
      <c r="C1037" s="86">
        <v>6</v>
      </c>
      <c r="D1037" s="13" t="s">
        <v>49</v>
      </c>
      <c r="E1037" s="86">
        <v>456494354</v>
      </c>
      <c r="F1037" s="86">
        <v>1376813649</v>
      </c>
      <c r="G1037" s="86">
        <v>159</v>
      </c>
      <c r="H1037" s="86">
        <v>30</v>
      </c>
      <c r="I1037" s="86">
        <v>189</v>
      </c>
      <c r="J1037" s="86">
        <v>1118</v>
      </c>
      <c r="K1037" s="86">
        <v>1307</v>
      </c>
      <c r="L1037" s="86">
        <v>-19</v>
      </c>
      <c r="M1037" s="86">
        <v>51</v>
      </c>
      <c r="N1037" s="86">
        <v>973</v>
      </c>
      <c r="O1037" s="86">
        <v>202</v>
      </c>
      <c r="P1037" s="86">
        <v>2482</v>
      </c>
      <c r="Q1037" s="86">
        <v>30941</v>
      </c>
      <c r="R1037" s="13" t="s">
        <v>27</v>
      </c>
      <c r="S1037" s="13" t="s">
        <v>27</v>
      </c>
    </row>
    <row r="1038" spans="1:19" hidden="1" x14ac:dyDescent="0.3">
      <c r="A1038" s="14">
        <v>43934.708333333336</v>
      </c>
      <c r="B1038" s="13" t="s">
        <v>23</v>
      </c>
      <c r="C1038" s="86">
        <v>12</v>
      </c>
      <c r="D1038" s="13" t="s">
        <v>50</v>
      </c>
      <c r="E1038" s="86">
        <v>4189277044</v>
      </c>
      <c r="F1038" s="86">
        <v>1248366722</v>
      </c>
      <c r="G1038" s="86">
        <v>1314</v>
      </c>
      <c r="H1038" s="86">
        <v>200</v>
      </c>
      <c r="I1038" s="86">
        <v>1514</v>
      </c>
      <c r="J1038" s="86">
        <v>2406</v>
      </c>
      <c r="K1038" s="86">
        <v>3920</v>
      </c>
      <c r="L1038" s="86">
        <v>103</v>
      </c>
      <c r="M1038" s="86">
        <v>123</v>
      </c>
      <c r="N1038" s="86">
        <v>764</v>
      </c>
      <c r="O1038" s="86">
        <v>284</v>
      </c>
      <c r="P1038" s="86">
        <v>4968</v>
      </c>
      <c r="Q1038" s="86">
        <v>72746</v>
      </c>
      <c r="R1038" s="13" t="s">
        <v>27</v>
      </c>
      <c r="S1038" s="13" t="s">
        <v>27</v>
      </c>
    </row>
    <row r="1039" spans="1:19" hidden="1" x14ac:dyDescent="0.3">
      <c r="A1039" s="14">
        <v>43934.708333333336</v>
      </c>
      <c r="B1039" s="13" t="s">
        <v>23</v>
      </c>
      <c r="C1039" s="86">
        <v>7</v>
      </c>
      <c r="D1039" s="13" t="s">
        <v>51</v>
      </c>
      <c r="E1039" s="86">
        <v>4441149315</v>
      </c>
      <c r="F1039" s="86">
        <v>89326992</v>
      </c>
      <c r="G1039" s="86">
        <v>1088</v>
      </c>
      <c r="H1039" s="86">
        <v>138</v>
      </c>
      <c r="I1039" s="86">
        <v>1226</v>
      </c>
      <c r="J1039" s="86">
        <v>2139</v>
      </c>
      <c r="K1039" s="86">
        <v>3365</v>
      </c>
      <c r="L1039" s="86">
        <v>32</v>
      </c>
      <c r="M1039" s="86">
        <v>102</v>
      </c>
      <c r="N1039" s="86">
        <v>1471</v>
      </c>
      <c r="O1039" s="86">
        <v>760</v>
      </c>
      <c r="P1039" s="86">
        <v>5596</v>
      </c>
      <c r="Q1039" s="86">
        <v>23129</v>
      </c>
      <c r="R1039" s="13" t="s">
        <v>27</v>
      </c>
      <c r="S1039" s="13" t="s">
        <v>27</v>
      </c>
    </row>
    <row r="1040" spans="1:19" x14ac:dyDescent="0.3">
      <c r="A1040" s="14">
        <v>43934.708333333336</v>
      </c>
      <c r="B1040" s="13" t="s">
        <v>23</v>
      </c>
      <c r="C1040" s="86">
        <v>3</v>
      </c>
      <c r="D1040" s="13" t="s">
        <v>52</v>
      </c>
      <c r="E1040" s="86">
        <v>4546679409</v>
      </c>
      <c r="F1040" s="86">
        <v>9190347404</v>
      </c>
      <c r="G1040" s="86">
        <v>12028</v>
      </c>
      <c r="H1040" s="86">
        <v>1143</v>
      </c>
      <c r="I1040" s="86">
        <v>13171</v>
      </c>
      <c r="J1040" s="86">
        <v>18764</v>
      </c>
      <c r="K1040" s="86">
        <v>31935</v>
      </c>
      <c r="L1040" s="86">
        <v>670</v>
      </c>
      <c r="M1040" s="86">
        <v>1262</v>
      </c>
      <c r="N1040" s="86">
        <v>17478</v>
      </c>
      <c r="O1040" s="86">
        <v>10901</v>
      </c>
      <c r="P1040" s="86">
        <v>60314</v>
      </c>
      <c r="Q1040" s="86">
        <v>211092</v>
      </c>
      <c r="R1040" s="13" t="s">
        <v>27</v>
      </c>
      <c r="S1040" s="13" t="s">
        <v>27</v>
      </c>
    </row>
    <row r="1041" spans="1:19" hidden="1" x14ac:dyDescent="0.3">
      <c r="A1041" s="14">
        <v>43934.708333333336</v>
      </c>
      <c r="B1041" s="13" t="s">
        <v>23</v>
      </c>
      <c r="C1041" s="86">
        <v>11</v>
      </c>
      <c r="D1041" s="13" t="s">
        <v>53</v>
      </c>
      <c r="E1041" s="86">
        <v>4361675973</v>
      </c>
      <c r="F1041" s="86">
        <v>135188753</v>
      </c>
      <c r="G1041" s="86">
        <v>959</v>
      </c>
      <c r="H1041" s="86">
        <v>108</v>
      </c>
      <c r="I1041" s="86">
        <v>1067</v>
      </c>
      <c r="J1041" s="86">
        <v>2013</v>
      </c>
      <c r="K1041" s="86">
        <v>3080</v>
      </c>
      <c r="L1041" s="86">
        <v>-34</v>
      </c>
      <c r="M1041" s="86">
        <v>78</v>
      </c>
      <c r="N1041" s="86">
        <v>1588</v>
      </c>
      <c r="O1041" s="86">
        <v>713</v>
      </c>
      <c r="P1041" s="86">
        <v>5381</v>
      </c>
      <c r="Q1041" s="86">
        <v>28379</v>
      </c>
      <c r="R1041" s="13" t="s">
        <v>27</v>
      </c>
      <c r="S1041" s="13" t="s">
        <v>27</v>
      </c>
    </row>
    <row r="1042" spans="1:19" hidden="1" x14ac:dyDescent="0.3">
      <c r="A1042" s="14">
        <v>43934.708333333336</v>
      </c>
      <c r="B1042" s="13" t="s">
        <v>23</v>
      </c>
      <c r="C1042" s="86">
        <v>14</v>
      </c>
      <c r="D1042" s="13" t="s">
        <v>54</v>
      </c>
      <c r="E1042" s="86">
        <v>4155774754</v>
      </c>
      <c r="F1042" s="86">
        <v>1465916051</v>
      </c>
      <c r="G1042" s="86">
        <v>28</v>
      </c>
      <c r="H1042" s="86">
        <v>4</v>
      </c>
      <c r="I1042" s="86">
        <v>32</v>
      </c>
      <c r="J1042" s="86">
        <v>170</v>
      </c>
      <c r="K1042" s="86">
        <v>202</v>
      </c>
      <c r="L1042" s="86">
        <v>0</v>
      </c>
      <c r="M1042" s="86">
        <v>0</v>
      </c>
      <c r="N1042" s="86">
        <v>40</v>
      </c>
      <c r="O1042" s="86">
        <v>15</v>
      </c>
      <c r="P1042" s="86">
        <v>257</v>
      </c>
      <c r="Q1042" s="86">
        <v>2522</v>
      </c>
      <c r="R1042" s="13" t="s">
        <v>27</v>
      </c>
      <c r="S1042" s="13" t="s">
        <v>27</v>
      </c>
    </row>
    <row r="1043" spans="1:19" hidden="1" x14ac:dyDescent="0.3">
      <c r="A1043" s="14">
        <v>43934.708333333336</v>
      </c>
      <c r="B1043" s="13" t="s">
        <v>23</v>
      </c>
      <c r="C1043" s="86">
        <v>1</v>
      </c>
      <c r="D1043" s="13" t="s">
        <v>55</v>
      </c>
      <c r="E1043" s="86">
        <v>450732745</v>
      </c>
      <c r="F1043" s="86">
        <v>7680687483</v>
      </c>
      <c r="G1043" s="86">
        <v>3344</v>
      </c>
      <c r="H1043" s="86">
        <v>379</v>
      </c>
      <c r="I1043" s="86">
        <v>3723</v>
      </c>
      <c r="J1043" s="86">
        <v>9042</v>
      </c>
      <c r="K1043" s="86">
        <v>12765</v>
      </c>
      <c r="L1043" s="86">
        <v>260</v>
      </c>
      <c r="M1043" s="86">
        <v>474</v>
      </c>
      <c r="N1043" s="86">
        <v>2543</v>
      </c>
      <c r="O1043" s="86">
        <v>1826</v>
      </c>
      <c r="P1043" s="86">
        <v>17134</v>
      </c>
      <c r="Q1043" s="86">
        <v>69170</v>
      </c>
      <c r="R1043" s="13" t="s">
        <v>27</v>
      </c>
      <c r="S1043" s="13" t="s">
        <v>27</v>
      </c>
    </row>
    <row r="1044" spans="1:19" hidden="1" x14ac:dyDescent="0.3">
      <c r="A1044" s="14">
        <v>43934.708333333336</v>
      </c>
      <c r="B1044" s="13" t="s">
        <v>23</v>
      </c>
      <c r="C1044" s="86">
        <v>16</v>
      </c>
      <c r="D1044" s="13" t="s">
        <v>56</v>
      </c>
      <c r="E1044" s="86">
        <v>4112559576</v>
      </c>
      <c r="F1044" s="86">
        <v>1686736689</v>
      </c>
      <c r="G1044" s="86">
        <v>600</v>
      </c>
      <c r="H1044" s="86">
        <v>71</v>
      </c>
      <c r="I1044" s="86">
        <v>671</v>
      </c>
      <c r="J1044" s="86">
        <v>1841</v>
      </c>
      <c r="K1044" s="86">
        <v>2512</v>
      </c>
      <c r="L1044" s="86">
        <v>60</v>
      </c>
      <c r="M1044" s="86">
        <v>76</v>
      </c>
      <c r="N1044" s="86">
        <v>286</v>
      </c>
      <c r="O1044" s="86">
        <v>267</v>
      </c>
      <c r="P1044" s="86">
        <v>3065</v>
      </c>
      <c r="Q1044" s="86">
        <v>31922</v>
      </c>
      <c r="R1044" s="13" t="s">
        <v>27</v>
      </c>
      <c r="S1044" s="13" t="s">
        <v>27</v>
      </c>
    </row>
    <row r="1045" spans="1:19" hidden="1" x14ac:dyDescent="0.3">
      <c r="A1045" s="14">
        <v>43934.708333333336</v>
      </c>
      <c r="B1045" s="13" t="s">
        <v>23</v>
      </c>
      <c r="C1045" s="86">
        <v>20</v>
      </c>
      <c r="D1045" s="13" t="s">
        <v>57</v>
      </c>
      <c r="E1045" s="86">
        <v>3921531192</v>
      </c>
      <c r="F1045" s="86">
        <v>9110616306</v>
      </c>
      <c r="G1045" s="86">
        <v>107</v>
      </c>
      <c r="H1045" s="86">
        <v>27</v>
      </c>
      <c r="I1045" s="86">
        <v>134</v>
      </c>
      <c r="J1045" s="86">
        <v>780</v>
      </c>
      <c r="K1045" s="86">
        <v>914</v>
      </c>
      <c r="L1045" s="86">
        <v>11</v>
      </c>
      <c r="M1045" s="86">
        <v>15</v>
      </c>
      <c r="N1045" s="86">
        <v>139</v>
      </c>
      <c r="O1045" s="86">
        <v>75</v>
      </c>
      <c r="P1045" s="86">
        <v>1128</v>
      </c>
      <c r="Q1045" s="86">
        <v>11010</v>
      </c>
      <c r="R1045" s="13" t="s">
        <v>27</v>
      </c>
      <c r="S1045" s="13" t="s">
        <v>27</v>
      </c>
    </row>
    <row r="1046" spans="1:19" hidden="1" x14ac:dyDescent="0.3">
      <c r="A1046" s="14">
        <v>43934.708333333336</v>
      </c>
      <c r="B1046" s="13" t="s">
        <v>23</v>
      </c>
      <c r="C1046" s="86">
        <v>19</v>
      </c>
      <c r="D1046" s="13" t="s">
        <v>58</v>
      </c>
      <c r="E1046" s="86">
        <v>3811569725</v>
      </c>
      <c r="F1046" s="86">
        <v>133623567</v>
      </c>
      <c r="G1046" s="86">
        <v>554</v>
      </c>
      <c r="H1046" s="86">
        <v>51</v>
      </c>
      <c r="I1046" s="86">
        <v>605</v>
      </c>
      <c r="J1046" s="86">
        <v>1445</v>
      </c>
      <c r="K1046" s="86">
        <v>2050</v>
      </c>
      <c r="L1046" s="86">
        <v>20</v>
      </c>
      <c r="M1046" s="86">
        <v>42</v>
      </c>
      <c r="N1046" s="86">
        <v>237</v>
      </c>
      <c r="O1046" s="86">
        <v>171</v>
      </c>
      <c r="P1046" s="86">
        <v>2458</v>
      </c>
      <c r="Q1046" s="86">
        <v>37311</v>
      </c>
      <c r="R1046" s="13" t="s">
        <v>27</v>
      </c>
      <c r="S1046" s="13" t="s">
        <v>27</v>
      </c>
    </row>
    <row r="1047" spans="1:19" hidden="1" x14ac:dyDescent="0.3">
      <c r="A1047" s="14">
        <v>43934.708333333336</v>
      </c>
      <c r="B1047" s="13" t="s">
        <v>23</v>
      </c>
      <c r="C1047" s="86">
        <v>9</v>
      </c>
      <c r="D1047" s="13" t="s">
        <v>59</v>
      </c>
      <c r="E1047" s="86">
        <v>4376923077</v>
      </c>
      <c r="F1047" s="86">
        <v>1125588885</v>
      </c>
      <c r="G1047" s="86">
        <v>992</v>
      </c>
      <c r="H1047" s="86">
        <v>225</v>
      </c>
      <c r="I1047" s="86">
        <v>1217</v>
      </c>
      <c r="J1047" s="86">
        <v>5040</v>
      </c>
      <c r="K1047" s="86">
        <v>6257</v>
      </c>
      <c r="L1047" s="86">
        <v>95</v>
      </c>
      <c r="M1047" s="86">
        <v>155</v>
      </c>
      <c r="N1047" s="86">
        <v>615</v>
      </c>
      <c r="O1047" s="86">
        <v>518</v>
      </c>
      <c r="P1047" s="86">
        <v>7390</v>
      </c>
      <c r="Q1047" s="86">
        <v>80889</v>
      </c>
      <c r="R1047" s="13" t="s">
        <v>27</v>
      </c>
      <c r="S1047" s="13" t="s">
        <v>27</v>
      </c>
    </row>
    <row r="1048" spans="1:19" hidden="1" x14ac:dyDescent="0.3">
      <c r="A1048" s="14">
        <v>43934.708333333336</v>
      </c>
      <c r="B1048" s="13" t="s">
        <v>23</v>
      </c>
      <c r="C1048" s="86">
        <v>4</v>
      </c>
      <c r="D1048" s="13" t="s">
        <v>60</v>
      </c>
      <c r="E1048" s="86">
        <v>4606893511</v>
      </c>
      <c r="F1048" s="86">
        <v>1112123097</v>
      </c>
      <c r="G1048" s="86">
        <v>326</v>
      </c>
      <c r="H1048" s="86">
        <v>56</v>
      </c>
      <c r="I1048" s="86">
        <v>382</v>
      </c>
      <c r="J1048" s="86">
        <v>1698</v>
      </c>
      <c r="K1048" s="86">
        <v>2080</v>
      </c>
      <c r="L1048" s="86">
        <v>-2</v>
      </c>
      <c r="M1048" s="86">
        <v>73</v>
      </c>
      <c r="N1048" s="86">
        <v>746</v>
      </c>
      <c r="O1048" s="86">
        <v>300</v>
      </c>
      <c r="P1048" s="86">
        <v>3126</v>
      </c>
      <c r="Q1048" s="86">
        <v>18586</v>
      </c>
      <c r="R1048" s="13" t="s">
        <v>27</v>
      </c>
      <c r="S1048" s="13" t="s">
        <v>27</v>
      </c>
    </row>
    <row r="1049" spans="1:19" hidden="1" x14ac:dyDescent="0.3">
      <c r="A1049" s="14">
        <v>43934.708333333336</v>
      </c>
      <c r="B1049" s="13" t="s">
        <v>23</v>
      </c>
      <c r="C1049" s="86">
        <v>10</v>
      </c>
      <c r="D1049" s="13" t="s">
        <v>61</v>
      </c>
      <c r="E1049" s="86">
        <v>4310675841</v>
      </c>
      <c r="F1049" s="86">
        <v>1238824698</v>
      </c>
      <c r="G1049" s="86">
        <v>127</v>
      </c>
      <c r="H1049" s="86">
        <v>38</v>
      </c>
      <c r="I1049" s="86">
        <v>165</v>
      </c>
      <c r="J1049" s="86">
        <v>460</v>
      </c>
      <c r="K1049" s="86">
        <v>625</v>
      </c>
      <c r="L1049" s="86">
        <v>-62</v>
      </c>
      <c r="M1049" s="86">
        <v>1</v>
      </c>
      <c r="N1049" s="86">
        <v>643</v>
      </c>
      <c r="O1049" s="86">
        <v>52</v>
      </c>
      <c r="P1049" s="86">
        <v>1320</v>
      </c>
      <c r="Q1049" s="86">
        <v>18740</v>
      </c>
      <c r="R1049" s="13" t="s">
        <v>27</v>
      </c>
      <c r="S1049" s="13" t="s">
        <v>27</v>
      </c>
    </row>
    <row r="1050" spans="1:19" hidden="1" x14ac:dyDescent="0.3">
      <c r="A1050" s="14">
        <v>43934.708333333336</v>
      </c>
      <c r="B1050" s="13" t="s">
        <v>23</v>
      </c>
      <c r="C1050" s="86">
        <v>2</v>
      </c>
      <c r="D1050" s="13" t="s">
        <v>62</v>
      </c>
      <c r="E1050" s="86">
        <v>4573750286</v>
      </c>
      <c r="F1050" s="86">
        <v>7320149366</v>
      </c>
      <c r="G1050" s="86">
        <v>109</v>
      </c>
      <c r="H1050" s="86">
        <v>15</v>
      </c>
      <c r="I1050" s="86">
        <v>124</v>
      </c>
      <c r="J1050" s="86">
        <v>458</v>
      </c>
      <c r="K1050" s="86">
        <v>582</v>
      </c>
      <c r="L1050" s="86">
        <v>-6</v>
      </c>
      <c r="M1050" s="86">
        <v>6</v>
      </c>
      <c r="N1050" s="86">
        <v>230</v>
      </c>
      <c r="O1050" s="86">
        <v>115</v>
      </c>
      <c r="P1050" s="86">
        <v>927</v>
      </c>
      <c r="Q1050" s="86">
        <v>3614</v>
      </c>
      <c r="R1050" s="13" t="s">
        <v>27</v>
      </c>
      <c r="S1050" s="13" t="s">
        <v>27</v>
      </c>
    </row>
    <row r="1051" spans="1:19" hidden="1" x14ac:dyDescent="0.3">
      <c r="A1051" s="14">
        <v>43934.708333333336</v>
      </c>
      <c r="B1051" s="13" t="s">
        <v>23</v>
      </c>
      <c r="C1051" s="86">
        <v>5</v>
      </c>
      <c r="D1051" s="13" t="s">
        <v>63</v>
      </c>
      <c r="E1051" s="86">
        <v>4543490485</v>
      </c>
      <c r="F1051" s="86">
        <v>1233845213</v>
      </c>
      <c r="G1051" s="86">
        <v>1427</v>
      </c>
      <c r="H1051" s="86">
        <v>245</v>
      </c>
      <c r="I1051" s="86">
        <v>1672</v>
      </c>
      <c r="J1051" s="86">
        <v>9094</v>
      </c>
      <c r="K1051" s="86">
        <v>10766</v>
      </c>
      <c r="L1051" s="86">
        <v>37</v>
      </c>
      <c r="M1051" s="86">
        <v>174</v>
      </c>
      <c r="N1051" s="86">
        <v>2603</v>
      </c>
      <c r="O1051" s="86">
        <v>882</v>
      </c>
      <c r="P1051" s="86">
        <v>14251</v>
      </c>
      <c r="Q1051" s="86">
        <v>203077</v>
      </c>
      <c r="R1051" s="13" t="s">
        <v>27</v>
      </c>
      <c r="S10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2:AN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39" width="8.88671875" style="2"/>
    <col min="40" max="40" width="9.5546875" style="2" bestFit="1" customWidth="1"/>
    <col min="41" max="16384" width="8.88671875" style="2"/>
  </cols>
  <sheetData>
    <row r="2" spans="2:40" ht="24" thickBot="1" x14ac:dyDescent="0.5">
      <c r="B2" s="89" t="s">
        <v>12</v>
      </c>
      <c r="C2" s="89"/>
      <c r="D2" s="89"/>
      <c r="E2" s="89"/>
      <c r="F2" s="89"/>
      <c r="G2" s="89"/>
      <c r="H2" s="89"/>
      <c r="I2" s="89"/>
    </row>
    <row r="3" spans="2:40" ht="17.399999999999999" customHeight="1" thickBot="1" x14ac:dyDescent="0.65">
      <c r="B3" s="11"/>
      <c r="H3" s="90"/>
      <c r="I3" s="90"/>
      <c r="AA3" s="26" t="s">
        <v>0</v>
      </c>
      <c r="AB3" s="91" t="s">
        <v>130</v>
      </c>
      <c r="AC3" s="91"/>
      <c r="AD3" s="91"/>
      <c r="AE3" s="91"/>
      <c r="AF3" s="91"/>
    </row>
    <row r="4" spans="2:40" ht="20.399999999999999" thickBot="1" x14ac:dyDescent="0.45">
      <c r="B4" s="92" t="s">
        <v>149</v>
      </c>
      <c r="C4" s="92"/>
      <c r="D4" s="92"/>
      <c r="E4" s="92"/>
      <c r="F4" s="92"/>
      <c r="G4" s="92"/>
      <c r="H4" s="90"/>
      <c r="I4" s="90"/>
      <c r="AA4" s="26" t="s">
        <v>131</v>
      </c>
      <c r="AB4" s="91" t="s">
        <v>130</v>
      </c>
      <c r="AC4" s="91"/>
      <c r="AD4" s="91"/>
      <c r="AE4" s="91"/>
      <c r="AF4" s="91"/>
    </row>
    <row r="5" spans="2:40" ht="18.600000000000001" thickTop="1" thickBot="1" x14ac:dyDescent="0.4">
      <c r="B5" s="93" t="s">
        <v>150</v>
      </c>
      <c r="C5" s="93"/>
      <c r="D5" s="93"/>
      <c r="E5" s="93"/>
      <c r="F5" s="93"/>
      <c r="G5" s="93"/>
      <c r="H5" s="90"/>
      <c r="I5" s="90"/>
      <c r="AA5" s="26" t="s">
        <v>1</v>
      </c>
      <c r="AB5" s="94" t="s">
        <v>130</v>
      </c>
      <c r="AC5" s="94"/>
      <c r="AD5" s="94"/>
      <c r="AE5" s="94"/>
      <c r="AF5" s="94"/>
    </row>
    <row r="6" spans="2:40" ht="19.2" thickTop="1" thickBot="1" x14ac:dyDescent="0.4">
      <c r="B6" s="19"/>
      <c r="C6" s="19"/>
      <c r="D6" s="19"/>
      <c r="E6" s="19"/>
      <c r="F6" s="19"/>
      <c r="G6" s="19"/>
      <c r="H6" s="90"/>
      <c r="I6" s="90"/>
      <c r="AA6" s="16"/>
      <c r="AB6" s="15"/>
      <c r="AC6" s="12"/>
      <c r="AD6" s="12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115</v>
      </c>
      <c r="F7" s="8" t="s">
        <v>132</v>
      </c>
      <c r="G7" s="8" t="s">
        <v>116</v>
      </c>
      <c r="H7" s="8" t="s">
        <v>88</v>
      </c>
      <c r="I7" s="8" t="s">
        <v>117</v>
      </c>
      <c r="J7" s="8" t="s">
        <v>8</v>
      </c>
      <c r="K7" s="8" t="s">
        <v>9</v>
      </c>
      <c r="L7" s="4" t="s">
        <v>86</v>
      </c>
      <c r="M7" s="4" t="s">
        <v>118</v>
      </c>
      <c r="N7" s="8" t="s">
        <v>133</v>
      </c>
      <c r="O7" s="8" t="s">
        <v>119</v>
      </c>
      <c r="P7" s="8" t="s">
        <v>81</v>
      </c>
      <c r="Q7" s="8" t="s">
        <v>82</v>
      </c>
      <c r="R7" s="4" t="s">
        <v>134</v>
      </c>
      <c r="S7" s="4" t="s">
        <v>120</v>
      </c>
      <c r="T7" s="8" t="s">
        <v>135</v>
      </c>
      <c r="U7" s="8" t="s">
        <v>121</v>
      </c>
      <c r="V7" s="8" t="s">
        <v>83</v>
      </c>
      <c r="W7" s="8" t="s">
        <v>84</v>
      </c>
      <c r="X7" s="8"/>
      <c r="Y7" s="27" t="s">
        <v>136</v>
      </c>
      <c r="Z7" s="28" t="s">
        <v>132</v>
      </c>
      <c r="AA7" s="3"/>
      <c r="AN7" s="58" t="s">
        <v>114</v>
      </c>
    </row>
    <row r="8" spans="2:40" x14ac:dyDescent="0.3">
      <c r="B8" s="18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5.3504538076167098E-2</v>
      </c>
      <c r="G8" s="10">
        <f>Tabella8[[#This Row],[Italy sum]]*NOT(ISBLANK(Tabella8[[#This Row],[Italy cumulative]]))</f>
        <v>5.3504538076167098E-2</v>
      </c>
      <c r="H8" s="29">
        <f>Kt*EXP(-EXP(-(Tabella8[[#This Row],[Day]]-t0t)/wt))</f>
        <v>6.2324870954059523E-2</v>
      </c>
      <c r="I8" s="10">
        <f>Tabella8[[#This Row],[Italy fit]]*NOT(ISBLANK(Tabella8[[#This Row],[Italy cumulative]]))</f>
        <v>6.2324870954059523E-2</v>
      </c>
      <c r="J8" s="10">
        <f>Tabella8[[#This Row],[Italy sum]]+CI</f>
        <v>210.12734724613989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29">
        <f>Kr*EXP(-EXP(-(Tabella8[[#This Row],[Day]]-t0r)/wr))</f>
        <v>4.3472236691099932E-2</v>
      </c>
      <c r="O8" s="10">
        <f>Tabella8[[#This Row],[Lombardy fit]]*NOT(ISBLANK(Tabella8[[#This Row],[Lombardy]]))</f>
        <v>4.3472236691099932E-2</v>
      </c>
      <c r="P8" s="10">
        <f>Tabella8[[#This Row],[Lombardy fit]]+CIr</f>
        <v>178.59295857991566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29">
        <f>Ko*EXP(-EXP(-(Tabella8[[#This Row],[Day]]-t0o)/wo))</f>
        <v>1.0032301385067168E-2</v>
      </c>
      <c r="U8" s="29">
        <f>Tabella8[[#This Row],[rest of Italy fit]]*NOT(ISBLANK(Tabella8[[#This Row],[rest of Italy ]]))</f>
        <v>1.0032301385067168E-2</v>
      </c>
      <c r="V8" s="10">
        <f>Tabella8[[#This Row],[rest of Italy fit]]+CIo</f>
        <v>76.97858859590346</v>
      </c>
      <c r="W8" s="10">
        <f>MAX(Tabella8[[#This Row],[rest of Italy fit]]-CIo,0)</f>
        <v>0</v>
      </c>
      <c r="X8" s="1"/>
      <c r="Y8" s="30"/>
      <c r="Z8" s="31"/>
      <c r="AN8" s="87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0.14517199639100292</v>
      </c>
      <c r="G9" s="10">
        <f>Tabella8[[#This Row],[Italy sum]]*NOT(ISBLANK(Tabella8[[#This Row],[Italy cumulative]]))</f>
        <v>0.14517199639100292</v>
      </c>
      <c r="H9" s="29">
        <f>Kt*EXP(-EXP(-(Tabella8[[#This Row],[Day]]-t0t)/wt))</f>
        <v>0.16393098067438877</v>
      </c>
      <c r="I9" s="10">
        <f>Tabella8[[#This Row],[Italy fit]]*NOT(ISBLANK(Tabella8[[#This Row],[Italy cumulative]]))</f>
        <v>0.16393098067438877</v>
      </c>
      <c r="J9" s="10">
        <f>Tabella8[[#This Row],[Italy sum]]+CI</f>
        <v>210.21901470445474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29">
        <f>Kr*EXP(-EXP(-(Tabella8[[#This Row],[Day]]-t0r)/wr))</f>
        <v>0.11761549580172699</v>
      </c>
      <c r="O9" s="10">
        <f>Tabella8[[#This Row],[Lombardy fit]]*NOT(ISBLANK(Tabella8[[#This Row],[Lombardy]]))</f>
        <v>0.11761549580172699</v>
      </c>
      <c r="P9" s="10">
        <f>Tabella8[[#This Row],[Lombardy fit]]+CIr</f>
        <v>178.66710183902629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29">
        <f>Ko*EXP(-EXP(-(Tabella8[[#This Row],[Day]]-t0o)/wo))</f>
        <v>2.7556500589275945E-2</v>
      </c>
      <c r="U9" s="29">
        <f>Tabella8[[#This Row],[rest of Italy fit]]*NOT(ISBLANK(Tabella8[[#This Row],[rest of Italy ]]))</f>
        <v>2.7556500589275945E-2</v>
      </c>
      <c r="V9" s="10">
        <f>Tabella8[[#This Row],[rest of Italy fit]]+CIo</f>
        <v>76.996112795107663</v>
      </c>
      <c r="W9" s="10">
        <f>MAX(Tabella8[[#This Row],[rest of Italy fit]]-CIo,0)</f>
        <v>0</v>
      </c>
      <c r="X9" s="1"/>
      <c r="Y9" s="30"/>
      <c r="Z9" s="31"/>
      <c r="AN9" s="71"/>
    </row>
    <row r="10" spans="2:40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0.36469368092836751</v>
      </c>
      <c r="G10" s="10">
        <f>Tabella8[[#This Row],[Italy sum]]*NOT(ISBLANK(Tabella8[[#This Row],[Italy cumulative]]))</f>
        <v>0.36469368092836751</v>
      </c>
      <c r="H10" s="29">
        <f>Kt*EXP(-EXP(-(Tabella8[[#This Row],[Day]]-t0t)/wt))</f>
        <v>0.40123782088608578</v>
      </c>
      <c r="I10" s="10">
        <f>Tabella8[[#This Row],[Italy fit]]*NOT(ISBLANK(Tabella8[[#This Row],[Italy cumulative]]))</f>
        <v>0.40123782088608578</v>
      </c>
      <c r="J10" s="10">
        <f>Tabella8[[#This Row],[Italy sum]]+CI</f>
        <v>210.43853638899208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29">
        <f>Kr*EXP(-EXP(-(Tabella8[[#This Row],[Day]]-t0r)/wr))</f>
        <v>0.29427750146640869</v>
      </c>
      <c r="O10" s="10">
        <f>Tabella8[[#This Row],[Lombardy fit]]*NOT(ISBLANK(Tabella8[[#This Row],[Lombardy]]))</f>
        <v>0.29427750146640869</v>
      </c>
      <c r="P10" s="10">
        <f>Tabella8[[#This Row],[Lombardy fit]]+CIr</f>
        <v>178.84376384469098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29">
        <f>Ko*EXP(-EXP(-(Tabella8[[#This Row],[Day]]-t0o)/wo))</f>
        <v>7.0416179461958842E-2</v>
      </c>
      <c r="U10" s="29">
        <f>Tabella8[[#This Row],[rest of Italy fit]]*NOT(ISBLANK(Tabella8[[#This Row],[rest of Italy ]]))</f>
        <v>7.0416179461958842E-2</v>
      </c>
      <c r="V10" s="10">
        <f>Tabella8[[#This Row],[rest of Italy fit]]+CIo</f>
        <v>77.038972473980351</v>
      </c>
      <c r="W10" s="10">
        <f>MAX(Tabella8[[#This Row],[rest of Italy fit]]-CIo,0)</f>
        <v>0</v>
      </c>
      <c r="X10" s="1"/>
      <c r="Y10" s="30"/>
      <c r="Z10" s="31"/>
      <c r="AN10" s="71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0.85336890276531974</v>
      </c>
      <c r="G11" s="10">
        <f>Tabella8[[#This Row],[Italy sum]]*NOT(ISBLANK(Tabella8[[#This Row],[Italy cumulative]]))</f>
        <v>0.85336890276531974</v>
      </c>
      <c r="H11" s="29">
        <f>Kt*EXP(-EXP(-(Tabella8[[#This Row],[Day]]-t0t)/wt))</f>
        <v>0.91877745580112546</v>
      </c>
      <c r="I11" s="10">
        <f>Tabella8[[#This Row],[Italy fit]]*NOT(ISBLANK(Tabella8[[#This Row],[Italy cumulative]]))</f>
        <v>0.91877745580112546</v>
      </c>
      <c r="J11" s="10">
        <f>Tabella8[[#This Row],[Italy sum]]+CI</f>
        <v>210.92721161082903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29">
        <f>Kr*EXP(-EXP(-(Tabella8[[#This Row],[Day]]-t0r)/wr))</f>
        <v>0.68510575374840599</v>
      </c>
      <c r="O11" s="10">
        <f>Tabella8[[#This Row],[Lombardy fit]]*NOT(ISBLANK(Tabella8[[#This Row],[Lombardy]]))</f>
        <v>0.68510575374840599</v>
      </c>
      <c r="P11" s="10">
        <f>Tabella8[[#This Row],[Lombardy fit]]+CIr</f>
        <v>179.23459209697299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29">
        <f>Ko*EXP(-EXP(-(Tabella8[[#This Row],[Day]]-t0o)/wo))</f>
        <v>0.16826314901691369</v>
      </c>
      <c r="U11" s="29">
        <f>Tabella8[[#This Row],[rest of Italy fit]]*NOT(ISBLANK(Tabella8[[#This Row],[rest of Italy ]]))</f>
        <v>0.16826314901691369</v>
      </c>
      <c r="V11" s="10">
        <f>Tabella8[[#This Row],[rest of Italy fit]]+CIo</f>
        <v>77.136819443535302</v>
      </c>
      <c r="W11" s="10">
        <f>MAX(Tabella8[[#This Row],[rest of Italy fit]]-CIo,0)</f>
        <v>0</v>
      </c>
      <c r="X11" s="1"/>
      <c r="Y11" s="32" t="s">
        <v>2</v>
      </c>
      <c r="Z11" s="33">
        <f>AVERAGE(Tabella8[Italy cumulative])</f>
        <v>6758.82</v>
      </c>
      <c r="AN11" s="71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1.8703308462404689</v>
      </c>
      <c r="G12" s="10">
        <f>Tabella8[[#This Row],[Italy sum]]*NOT(ISBLANK(Tabella8[[#This Row],[Italy cumulative]]))</f>
        <v>1.8703308462404689</v>
      </c>
      <c r="H12" s="29">
        <f>Kt*EXP(-EXP(-(Tabella8[[#This Row],[Day]]-t0t)/wt))</f>
        <v>1.9780613325570904</v>
      </c>
      <c r="I12" s="10">
        <f>Tabella8[[#This Row],[Italy fit]]*NOT(ISBLANK(Tabella8[[#This Row],[Italy cumulative]]))</f>
        <v>1.9780613325570904</v>
      </c>
      <c r="J12" s="10">
        <f>Tabella8[[#This Row],[Italy sum]]+CI</f>
        <v>211.9441735543042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29">
        <f>Kr*EXP(-EXP(-(Tabella8[[#This Row],[Day]]-t0r)/wr))</f>
        <v>1.492535500454214</v>
      </c>
      <c r="O12" s="10">
        <f>Tabella8[[#This Row],[Lombardy fit]]*NOT(ISBLANK(Tabella8[[#This Row],[Lombardy]]))</f>
        <v>1.492535500454214</v>
      </c>
      <c r="P12" s="10">
        <f>Tabella8[[#This Row],[Lombardy fit]]+CIr</f>
        <v>180.04202184367878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29">
        <f>Ko*EXP(-EXP(-(Tabella8[[#This Row],[Day]]-t0o)/wo))</f>
        <v>0.37779534578625473</v>
      </c>
      <c r="U12" s="29">
        <f>Tabella8[[#This Row],[rest of Italy fit]]*NOT(ISBLANK(Tabella8[[#This Row],[rest of Italy ]]))</f>
        <v>0.37779534578625473</v>
      </c>
      <c r="V12" s="10">
        <f>Tabella8[[#This Row],[rest of Italy fit]]+CIo</f>
        <v>77.346351640304647</v>
      </c>
      <c r="W12" s="10">
        <f>MAX(Tabella8[[#This Row],[rest of Italy fit]]-CIo,0)</f>
        <v>0</v>
      </c>
      <c r="X12" s="1"/>
      <c r="Y12" s="32" t="s">
        <v>3</v>
      </c>
      <c r="Z12" s="33">
        <f>COUNT(Tabella8[Italy cumulative])-COUNT(Z8:Z10)</f>
        <v>50</v>
      </c>
      <c r="AN12" s="71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3.8591942016392489</v>
      </c>
      <c r="G13" s="10">
        <f>Tabella8[[#This Row],[Italy sum]]*NOT(ISBLANK(Tabella8[[#This Row],[Italy cumulative]]))</f>
        <v>3.8591942016392489</v>
      </c>
      <c r="H13" s="29">
        <f>Kt*EXP(-EXP(-(Tabella8[[#This Row],[Day]]-t0t)/wt))</f>
        <v>4.0223808181273757</v>
      </c>
      <c r="I13" s="10">
        <f>Tabella8[[#This Row],[Italy fit]]*NOT(ISBLANK(Tabella8[[#This Row],[Italy cumulative]]))</f>
        <v>4.0223808181273757</v>
      </c>
      <c r="J13" s="10">
        <f>Tabella8[[#This Row],[Italy sum]]+CI</f>
        <v>213.93303690970296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29">
        <f>Kr*EXP(-EXP(-(Tabella8[[#This Row],[Day]]-t0r)/wr))</f>
        <v>3.0586060030532369</v>
      </c>
      <c r="O13" s="10">
        <f>Tabella8[[#This Row],[Lombardy fit]]*NOT(ISBLANK(Tabella8[[#This Row],[Lombardy]]))</f>
        <v>3.0586060030532369</v>
      </c>
      <c r="P13" s="10">
        <f>Tabella8[[#This Row],[Lombardy fit]]+CIr</f>
        <v>181.6080923462778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29">
        <f>Ko*EXP(-EXP(-(Tabella8[[#This Row],[Day]]-t0o)/wo))</f>
        <v>0.80058819858601205</v>
      </c>
      <c r="U13" s="29">
        <f>Tabella8[[#This Row],[rest of Italy fit]]*NOT(ISBLANK(Tabella8[[#This Row],[rest of Italy ]]))</f>
        <v>0.80058819858601205</v>
      </c>
      <c r="V13" s="10">
        <f>Tabella8[[#This Row],[rest of Italy fit]]+CIo</f>
        <v>77.769144493104406</v>
      </c>
      <c r="W13" s="10">
        <f>MAX(Tabella8[[#This Row],[rest of Italy fit]]-CIo,0)</f>
        <v>0</v>
      </c>
      <c r="X13" s="1"/>
      <c r="Y13" s="32" t="s">
        <v>4</v>
      </c>
      <c r="Z13" s="34" cm="1">
        <f t="array" ref="Z13">SQRT(SUM((Tabella8[Colonna1]-Tabella8[Colonna2])^2)/df)</f>
        <v>104.58932547339697</v>
      </c>
      <c r="AN13" s="71"/>
    </row>
    <row r="14" spans="2:40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7.532200052306016</v>
      </c>
      <c r="G14" s="10">
        <f>Tabella8[[#This Row],[Italy sum]]*NOT(ISBLANK(Tabella8[[#This Row],[Italy cumulative]]))</f>
        <v>7.532200052306016</v>
      </c>
      <c r="H14" s="29">
        <f>Kt*EXP(-EXP(-(Tabella8[[#This Row],[Day]]-t0t)/wt))</f>
        <v>7.7586353892943105</v>
      </c>
      <c r="I14" s="10">
        <f>Tabella8[[#This Row],[Italy fit]]*NOT(ISBLANK(Tabella8[[#This Row],[Italy cumulative]]))</f>
        <v>7.7586353892943105</v>
      </c>
      <c r="J14" s="10">
        <f>Tabella8[[#This Row],[Italy sum]]+CI</f>
        <v>217.60604276036975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29">
        <f>Kr*EXP(-EXP(-(Tabella8[[#This Row],[Day]]-t0r)/wr))</f>
        <v>5.9243615187368217</v>
      </c>
      <c r="O14" s="10">
        <f>Tabella8[[#This Row],[Lombardy fit]]*NOT(ISBLANK(Tabella8[[#This Row],[Lombardy]]))</f>
        <v>5.9243615187368217</v>
      </c>
      <c r="P14" s="10">
        <f>Tabella8[[#This Row],[Lombardy fit]]+CIr</f>
        <v>184.47384786196139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29">
        <f>Ko*EXP(-EXP(-(Tabella8[[#This Row],[Day]]-t0o)/wo))</f>
        <v>1.607838533569194</v>
      </c>
      <c r="U14" s="29">
        <f>Tabella8[[#This Row],[rest of Italy fit]]*NOT(ISBLANK(Tabella8[[#This Row],[rest of Italy ]]))</f>
        <v>1.607838533569194</v>
      </c>
      <c r="V14" s="10">
        <f>Tabella8[[#This Row],[rest of Italy fit]]+CIo</f>
        <v>78.576394828087587</v>
      </c>
      <c r="W14" s="10">
        <f>MAX(Tabella8[[#This Row],[rest of Italy fit]]-CIo,0)</f>
        <v>0</v>
      </c>
      <c r="X14" s="1"/>
      <c r="Y14" s="32" t="s">
        <v>137</v>
      </c>
      <c r="Z14" s="35" cm="1">
        <f t="array" ref="Z14">1-SUM((Tabella8[Colonna1]-Tabella8[Colonna2])^2)/SUM((Tabella8[Colonna1]-Mean_of_y)^2)</f>
        <v>0.99983976100786032</v>
      </c>
      <c r="AN14" s="71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13.966385705327792</v>
      </c>
      <c r="G15" s="10">
        <f>Tabella8[[#This Row],[Italy sum]]*NOT(ISBLANK(Tabella8[[#This Row],[Italy cumulative]]))</f>
        <v>13.966385705327792</v>
      </c>
      <c r="H15" s="29">
        <f>Kt*EXP(-EXP(-(Tabella8[[#This Row],[Day]]-t0t)/wt))</f>
        <v>14.251272717011418</v>
      </c>
      <c r="I15" s="10">
        <f>Tabella8[[#This Row],[Italy fit]]*NOT(ISBLANK(Tabella8[[#This Row],[Italy cumulative]]))</f>
        <v>14.251272717011418</v>
      </c>
      <c r="J15" s="10">
        <f>Tabella8[[#This Row],[Italy sum]]+CI</f>
        <v>224.0402284133915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29">
        <f>Kr*EXP(-EXP(-(Tabella8[[#This Row],[Day]]-t0r)/wr))</f>
        <v>10.894368519958226</v>
      </c>
      <c r="O15" s="10">
        <f>Tabella8[[#This Row],[Lombardy fit]]*NOT(ISBLANK(Tabella8[[#This Row],[Lombardy]]))</f>
        <v>10.894368519958226</v>
      </c>
      <c r="P15" s="10">
        <f>Tabella8[[#This Row],[Lombardy fit]]+CIr</f>
        <v>189.44385486318279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29">
        <f>Ko*EXP(-EXP(-(Tabella8[[#This Row],[Day]]-t0o)/wo))</f>
        <v>3.0720171853695648</v>
      </c>
      <c r="U15" s="29">
        <f>Tabella8[[#This Row],[rest of Italy fit]]*NOT(ISBLANK(Tabella8[[#This Row],[rest of Italy ]]))</f>
        <v>3.0720171853695648</v>
      </c>
      <c r="V15" s="10">
        <f>Tabella8[[#This Row],[rest of Italy fit]]+CIo</f>
        <v>80.040573479887954</v>
      </c>
      <c r="W15" s="10">
        <f>MAX(Tabella8[[#This Row],[rest of Italy fit]]-CIo,0)</f>
        <v>0</v>
      </c>
      <c r="X15" s="1"/>
      <c r="Y15" s="32" t="s">
        <v>6</v>
      </c>
      <c r="Z15" s="35">
        <f>TINV(0.05,df)</f>
        <v>2.0085591121007611</v>
      </c>
      <c r="AN15" s="71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24.701570111093623</v>
      </c>
      <c r="G16" s="10">
        <f>Tabella8[[#This Row],[Italy sum]]*NOT(ISBLANK(Tabella8[[#This Row],[Italy cumulative]]))</f>
        <v>24.701570111093623</v>
      </c>
      <c r="H16" s="29">
        <f>Kt*EXP(-EXP(-(Tabella8[[#This Row],[Day]]-t0t)/wt))</f>
        <v>25.018914080488351</v>
      </c>
      <c r="I16" s="10">
        <f>Tabella8[[#This Row],[Italy fit]]*NOT(ISBLANK(Tabella8[[#This Row],[Italy cumulative]]))</f>
        <v>25.018914080488351</v>
      </c>
      <c r="J16" s="10">
        <f>Tabella8[[#This Row],[Italy sum]]+CI</f>
        <v>234.77541281915734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29">
        <f>Kr*EXP(-EXP(-(Tabella8[[#This Row],[Day]]-t0r)/wr))</f>
        <v>19.09753444327124</v>
      </c>
      <c r="O16" s="10">
        <f>Tabella8[[#This Row],[Lombardy fit]]*NOT(ISBLANK(Tabella8[[#This Row],[Lombardy]]))</f>
        <v>19.09753444327124</v>
      </c>
      <c r="P16" s="10">
        <f>Tabella8[[#This Row],[Lombardy fit]]+CIr</f>
        <v>197.6470207864958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29">
        <f>Ko*EXP(-EXP(-(Tabella8[[#This Row],[Day]]-t0o)/wo))</f>
        <v>5.6040356678223828</v>
      </c>
      <c r="U16" s="29">
        <f>Tabella8[[#This Row],[rest of Italy fit]]*NOT(ISBLANK(Tabella8[[#This Row],[rest of Italy ]]))</f>
        <v>5.6040356678223828</v>
      </c>
      <c r="V16" s="10">
        <f>Tabella8[[#This Row],[rest of Italy fit]]+CIo</f>
        <v>82.57259196234078</v>
      </c>
      <c r="W16" s="10">
        <f>MAX(Tabella8[[#This Row],[rest of Italy fit]]-CIo,0)</f>
        <v>0</v>
      </c>
      <c r="X16" s="1"/>
      <c r="Y16" s="32" t="s">
        <v>7</v>
      </c>
      <c r="Z16" s="33">
        <f>Critical_t*SE_of_y</f>
        <v>210.07384270806372</v>
      </c>
      <c r="AN16" s="71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41.826102006630286</v>
      </c>
      <c r="G17" s="10">
        <f>Tabella8[[#This Row],[Italy sum]]*NOT(ISBLANK(Tabella8[[#This Row],[Italy cumulative]]))</f>
        <v>41.826102006630286</v>
      </c>
      <c r="H17" s="29">
        <f>Kt*EXP(-EXP(-(Tabella8[[#This Row],[Day]]-t0t)/wt))</f>
        <v>42.120399866999001</v>
      </c>
      <c r="I17" s="10">
        <f>Tabella8[[#This Row],[Italy fit]]*NOT(ISBLANK(Tabella8[[#This Row],[Italy cumulative]]))</f>
        <v>42.120399866999001</v>
      </c>
      <c r="J17" s="10">
        <f>Tabella8[[#This Row],[Italy sum]]+CI</f>
        <v>251.89994471469402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29">
        <f>Kr*EXP(-EXP(-(Tabella8[[#This Row],[Day]]-t0r)/wr))</f>
        <v>32.033196142043089</v>
      </c>
      <c r="O17" s="10">
        <f>Tabella8[[#This Row],[Lombardy fit]]*NOT(ISBLANK(Tabella8[[#This Row],[Lombardy]]))</f>
        <v>32.033196142043089</v>
      </c>
      <c r="P17" s="10">
        <f>Tabella8[[#This Row],[Lombardy fit]]+CIr</f>
        <v>210.58268248526767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29">
        <f>Ko*EXP(-EXP(-(Tabella8[[#This Row],[Day]]-t0o)/wo))</f>
        <v>9.7929058645871976</v>
      </c>
      <c r="U17" s="29">
        <f>Tabella8[[#This Row],[rest of Italy fit]]*NOT(ISBLANK(Tabella8[[#This Row],[rest of Italy ]]))</f>
        <v>9.7929058645871976</v>
      </c>
      <c r="V17" s="10">
        <f>Tabella8[[#This Row],[rest of Italy fit]]+CIo</f>
        <v>86.761462159105591</v>
      </c>
      <c r="W17" s="10">
        <f>MAX(Tabella8[[#This Row],[rest of Italy fit]]-CIo,0)</f>
        <v>0</v>
      </c>
      <c r="X17" s="1"/>
      <c r="Y17" s="32" t="s">
        <v>147</v>
      </c>
      <c r="Z17" s="33">
        <f>Kr+Ko</f>
        <v>27575.406856646507</v>
      </c>
      <c r="AN17" s="88"/>
    </row>
    <row r="18" spans="2:40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68.034557030127985</v>
      </c>
      <c r="G18" s="10">
        <f>Tabella8[[#This Row],[Italy sum]]*NOT(ISBLANK(Tabella8[[#This Row],[Italy cumulative]]))</f>
        <v>68.034557030127985</v>
      </c>
      <c r="H18" s="29">
        <f>Kt*EXP(-EXP(-(Tabella8[[#This Row],[Day]]-t0t)/wt))</f>
        <v>68.21495608905542</v>
      </c>
      <c r="I18" s="10">
        <f>Tabella8[[#This Row],[Italy fit]]*NOT(ISBLANK(Tabella8[[#This Row],[Italy cumulative]]))</f>
        <v>68.21495608905542</v>
      </c>
      <c r="J18" s="10">
        <f>Tabella8[[#This Row],[Italy sum]]+CI</f>
        <v>278.10839973819168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29">
        <f>Kr*EXP(-EXP(-(Tabella8[[#This Row],[Day]]-t0r)/wr))</f>
        <v>51.591205774976558</v>
      </c>
      <c r="O18" s="10">
        <f>Tabella8[[#This Row],[Lombardy fit]]*NOT(ISBLANK(Tabella8[[#This Row],[Lombardy]]))</f>
        <v>51.591205774976558</v>
      </c>
      <c r="P18" s="10">
        <f>Tabella8[[#This Row],[Lombardy fit]]+CIr</f>
        <v>230.14069211820112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29">
        <f>Ko*EXP(-EXP(-(Tabella8[[#This Row],[Day]]-t0o)/wo))</f>
        <v>16.44335125515143</v>
      </c>
      <c r="U18" s="29">
        <f>Tabella8[[#This Row],[rest of Italy fit]]*NOT(ISBLANK(Tabella8[[#This Row],[rest of Italy ]]))</f>
        <v>16.44335125515143</v>
      </c>
      <c r="V18" s="10">
        <f>Tabella8[[#This Row],[rest of Italy fit]]+CIo</f>
        <v>93.41190754966982</v>
      </c>
      <c r="W18" s="10">
        <f>MAX(Tabella8[[#This Row],[rest of Italy fit]]-CIo,0)</f>
        <v>0</v>
      </c>
      <c r="X18" s="1"/>
      <c r="Y18" s="36" t="s">
        <v>80</v>
      </c>
      <c r="Z18" s="2" t="s">
        <v>133</v>
      </c>
      <c r="AN18" s="59">
        <f>MAX($Z$25)</f>
        <v>0.99964761218097897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106.64265498681046</v>
      </c>
      <c r="G19" s="10">
        <f>Tabella8[[#This Row],[Italy sum]]*NOT(ISBLANK(Tabella8[[#This Row],[Italy cumulative]]))</f>
        <v>106.64265498681046</v>
      </c>
      <c r="H19" s="29">
        <f>Kt*EXP(-EXP(-(Tabella8[[#This Row],[Day]]-t0t)/wt))</f>
        <v>106.58176602470908</v>
      </c>
      <c r="I19" s="10">
        <f>Tabella8[[#This Row],[Italy fit]]*NOT(ISBLANK(Tabella8[[#This Row],[Italy cumulative]]))</f>
        <v>106.58176602470908</v>
      </c>
      <c r="J19" s="10">
        <f>Tabella8[[#This Row],[Italy sum]]+CI</f>
        <v>316.71649769487419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29">
        <f>Kr*EXP(-EXP(-(Tabella8[[#This Row],[Day]]-t0r)/wr))</f>
        <v>80.036852898447648</v>
      </c>
      <c r="O19" s="10">
        <f>Tabella8[[#This Row],[Lombardy fit]]*NOT(ISBLANK(Tabella8[[#This Row],[Lombardy]]))</f>
        <v>80.036852898447648</v>
      </c>
      <c r="P19" s="10">
        <f>Tabella8[[#This Row],[Lombardy fit]]+CIr</f>
        <v>258.58633924167225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29">
        <f>Ko*EXP(-EXP(-(Tabella8[[#This Row],[Day]]-t0o)/wo))</f>
        <v>26.605802088362804</v>
      </c>
      <c r="U19" s="29">
        <f>Tabella8[[#This Row],[rest of Italy fit]]*NOT(ISBLANK(Tabella8[[#This Row],[rest of Italy ]]))</f>
        <v>26.605802088362804</v>
      </c>
      <c r="V19" s="10">
        <f>Tabella8[[#This Row],[rest of Italy fit]]+CIo</f>
        <v>103.5743583828812</v>
      </c>
      <c r="W19" s="10">
        <f>MAX(Tabella8[[#This Row],[rest of Italy fit]]-CIo,0)</f>
        <v>0</v>
      </c>
      <c r="X19" s="1"/>
      <c r="Y19" s="17" t="s">
        <v>0</v>
      </c>
      <c r="Z19" s="5">
        <v>13805.081899783412</v>
      </c>
      <c r="AN19" s="60">
        <f>COUNT($Z$19,$Z$20,$Z$21)</f>
        <v>3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161.54867694186783</v>
      </c>
      <c r="G20" s="10">
        <f>Tabella8[[#This Row],[Italy sum]]*NOT(ISBLANK(Tabella8[[#This Row],[Italy cumulative]]))</f>
        <v>161.54867694186783</v>
      </c>
      <c r="H20" s="29">
        <f>Kt*EXP(-EXP(-(Tabella8[[#This Row],[Day]]-t0t)/wt))</f>
        <v>161.08765077787197</v>
      </c>
      <c r="I20" s="10">
        <f>Tabella8[[#This Row],[Italy fit]]*NOT(ISBLANK(Tabella8[[#This Row],[Italy cumulative]]))</f>
        <v>161.08765077787197</v>
      </c>
      <c r="J20" s="10">
        <f>Tabella8[[#This Row],[Italy sum]]+CI</f>
        <v>371.62251964993152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29">
        <f>Kr*EXP(-EXP(-(Tabella8[[#This Row],[Day]]-t0r)/wr))</f>
        <v>119.95567676144898</v>
      </c>
      <c r="O20" s="10">
        <f>Tabella8[[#This Row],[Lombardy fit]]*NOT(ISBLANK(Tabella8[[#This Row],[Lombardy]]))</f>
        <v>119.95567676144898</v>
      </c>
      <c r="P20" s="10">
        <f>Tabella8[[#This Row],[Lombardy fit]]+CIr</f>
        <v>298.50516310467356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29">
        <f>Ko*EXP(-EXP(-(Tabella8[[#This Row],[Day]]-t0o)/wo))</f>
        <v>41.593000180418834</v>
      </c>
      <c r="U20" s="29">
        <f>Tabella8[[#This Row],[rest of Italy fit]]*NOT(ISBLANK(Tabella8[[#This Row],[rest of Italy ]]))</f>
        <v>41.593000180418834</v>
      </c>
      <c r="V20" s="10">
        <f>Tabella8[[#This Row],[rest of Italy fit]]+CIo</f>
        <v>118.56155647493722</v>
      </c>
      <c r="W20" s="10">
        <f>MAX(Tabella8[[#This Row],[rest of Italy fit]]-CIo,0)</f>
        <v>0</v>
      </c>
      <c r="X20" s="1"/>
      <c r="Y20" s="17" t="s">
        <v>24</v>
      </c>
      <c r="Z20" s="37">
        <v>31.031642375412446</v>
      </c>
      <c r="AN20" s="60">
        <f>{32767;32767;0.000001;0.01;FALSE;FALSE;FALSE;1;2;1;0.0001;TRUE}</f>
        <v>32767</v>
      </c>
    </row>
    <row r="21" spans="2:40" x14ac:dyDescent="0.3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237.13695230479973</v>
      </c>
      <c r="G21" s="10">
        <f>Tabella8[[#This Row],[Italy sum]]*NOT(ISBLANK(Tabella8[[#This Row],[Italy cumulative]]))</f>
        <v>237.13695230479973</v>
      </c>
      <c r="H21" s="29">
        <f>Kt*EXP(-EXP(-(Tabella8[[#This Row],[Day]]-t0t)/wt))</f>
        <v>236.09735834644007</v>
      </c>
      <c r="I21" s="10">
        <f>Tabella8[[#This Row],[Italy fit]]*NOT(ISBLANK(Tabella8[[#This Row],[Italy cumulative]]))</f>
        <v>236.09735834644007</v>
      </c>
      <c r="J21" s="10">
        <f>Tabella8[[#This Row],[Italy sum]]+CI</f>
        <v>447.21079501286346</v>
      </c>
      <c r="K21" s="10">
        <f>MAX(Tabella8[[#This Row],[Italy sum]]-CI,0)</f>
        <v>27.063109596736012</v>
      </c>
      <c r="L21" s="4">
        <v>267</v>
      </c>
      <c r="M21" s="10">
        <f>Tabella8[[#This Row],[Lombardy]]*NOT(ISBLANK(Tabella8[[#This Row],[Lombardy]]))</f>
        <v>267</v>
      </c>
      <c r="N21" s="29">
        <f>Kr*EXP(-EXP(-(Tabella8[[#This Row],[Day]]-t0r)/wr))</f>
        <v>174.15873758729072</v>
      </c>
      <c r="O21" s="10">
        <f>Tabella8[[#This Row],[Lombardy fit]]*NOT(ISBLANK(Tabella8[[#This Row],[Lombardy]]))</f>
        <v>174.15873758729072</v>
      </c>
      <c r="P21" s="10">
        <f>Tabella8[[#This Row],[Lombardy fit]]+CIr</f>
        <v>352.70822393051526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29">
        <f>Ko*EXP(-EXP(-(Tabella8[[#This Row],[Day]]-t0o)/wo))</f>
        <v>62.978214717509012</v>
      </c>
      <c r="U21" s="29">
        <f>Tabella8[[#This Row],[rest of Italy fit]]*NOT(ISBLANK(Tabella8[[#This Row],[rest of Italy ]]))</f>
        <v>62.978214717509012</v>
      </c>
      <c r="V21" s="10">
        <f>Tabella8[[#This Row],[rest of Italy fit]]+CIo</f>
        <v>139.9467710120274</v>
      </c>
      <c r="W21" s="10">
        <f>MAX(Tabella8[[#This Row],[rest of Italy fit]]-CIo,0)</f>
        <v>0</v>
      </c>
      <c r="X21" s="1"/>
      <c r="Y21" s="17" t="s">
        <v>1</v>
      </c>
      <c r="Z21" s="37">
        <v>12.221451536830706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338.12638611191443</v>
      </c>
      <c r="G22" s="10">
        <f>Tabella8[[#This Row],[Italy sum]]*NOT(ISBLANK(Tabella8[[#This Row],[Italy cumulative]]))</f>
        <v>338.12638611191443</v>
      </c>
      <c r="H22" s="29">
        <f>Kt*EXP(-EXP(-(Tabella8[[#This Row],[Day]]-t0t)/wt))</f>
        <v>336.32811278309919</v>
      </c>
      <c r="I22" s="10">
        <f>Tabella8[[#This Row],[Italy fit]]*NOT(ISBLANK(Tabella8[[#This Row],[Italy cumulative]]))</f>
        <v>336.32811278309919</v>
      </c>
      <c r="J22" s="10">
        <f>Tabella8[[#This Row],[Italy sum]]+CI</f>
        <v>548.20022881997818</v>
      </c>
      <c r="K22" s="10">
        <f>MAX(Tabella8[[#This Row],[Italy sum]]-CI,0)</f>
        <v>128.05254340385071</v>
      </c>
      <c r="L22" s="4">
        <v>333</v>
      </c>
      <c r="M22" s="10">
        <f>Tabella8[[#This Row],[Lombardy]]*NOT(ISBLANK(Tabella8[[#This Row],[Lombardy]]))</f>
        <v>333</v>
      </c>
      <c r="N22" s="29">
        <f>Kr*EXP(-EXP(-(Tabella8[[#This Row],[Day]]-t0r)/wr))</f>
        <v>245.55460925814447</v>
      </c>
      <c r="O22" s="10">
        <f>Tabella8[[#This Row],[Lombardy fit]]*NOT(ISBLANK(Tabella8[[#This Row],[Lombardy]]))</f>
        <v>245.55460925814447</v>
      </c>
      <c r="P22" s="10">
        <f>Tabella8[[#This Row],[Lombardy fit]]+CIr</f>
        <v>424.10409560136907</v>
      </c>
      <c r="Q22" s="10">
        <f>MAX(Tabella8[[#This Row],[Lombardy fit]]-CIr,0)</f>
        <v>67.005122914919895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29">
        <f>Ko*EXP(-EXP(-(Tabella8[[#This Row],[Day]]-t0o)/wo))</f>
        <v>92.571776853769961</v>
      </c>
      <c r="U22" s="29">
        <f>Tabella8[[#This Row],[rest of Italy fit]]*NOT(ISBLANK(Tabella8[[#This Row],[rest of Italy ]]))</f>
        <v>92.571776853769961</v>
      </c>
      <c r="V22" s="10">
        <f>Tabella8[[#This Row],[rest of Italy fit]]+CIo</f>
        <v>169.54033314828837</v>
      </c>
      <c r="W22" s="10">
        <f>MAX(Tabella8[[#This Row],[rest of Italy fit]]-CIo,0)</f>
        <v>15.603220559251568</v>
      </c>
      <c r="X22" s="1"/>
      <c r="Y22" s="2" t="s">
        <v>2</v>
      </c>
      <c r="Z22" s="1">
        <f>AVERAGE(Tabella8[Lombardy])</f>
        <v>3871.66</v>
      </c>
      <c r="AN22" s="60">
        <f>{32767;32767;0.000001;0;FALSE;FALSE;FALSE;1;2;1;0.0001;TRUE}</f>
        <v>32767</v>
      </c>
    </row>
    <row r="23" spans="2:40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469.37412923872137</v>
      </c>
      <c r="G23" s="10">
        <f>Tabella8[[#This Row],[Italy sum]]*NOT(ISBLANK(Tabella8[[#This Row],[Italy cumulative]]))</f>
        <v>469.37412923872137</v>
      </c>
      <c r="H23" s="29">
        <f>Kt*EXP(-EXP(-(Tabella8[[#This Row],[Day]]-t0t)/wt))</f>
        <v>466.65727794471411</v>
      </c>
      <c r="I23" s="10">
        <f>Tabella8[[#This Row],[Italy fit]]*NOT(ISBLANK(Tabella8[[#This Row],[Italy cumulative]]))</f>
        <v>466.65727794471411</v>
      </c>
      <c r="J23" s="10">
        <f>Tabella8[[#This Row],[Italy sum]]+CI</f>
        <v>679.44797194678506</v>
      </c>
      <c r="K23" s="10">
        <f>MAX(Tabella8[[#This Row],[Italy sum]]-CI,0)</f>
        <v>259.30028653065767</v>
      </c>
      <c r="L23" s="4">
        <v>468</v>
      </c>
      <c r="M23" s="10">
        <f>Tabella8[[#This Row],[Lombardy]]*NOT(ISBLANK(Tabella8[[#This Row],[Lombardy]]))</f>
        <v>468</v>
      </c>
      <c r="N23" s="29">
        <f>Kr*EXP(-EXP(-(Tabella8[[#This Row],[Day]]-t0r)/wr))</f>
        <v>336.99910869128377</v>
      </c>
      <c r="O23" s="10">
        <f>Tabella8[[#This Row],[Lombardy fit]]*NOT(ISBLANK(Tabella8[[#This Row],[Lombardy]]))</f>
        <v>336.99910869128377</v>
      </c>
      <c r="P23" s="10">
        <f>Tabella8[[#This Row],[Lombardy fit]]+CIr</f>
        <v>515.54859503450837</v>
      </c>
      <c r="Q23" s="10">
        <f>MAX(Tabella8[[#This Row],[Lombardy fit]]-CIr,0)</f>
        <v>158.44962234805919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29">
        <f>Ko*EXP(-EXP(-(Tabella8[[#This Row],[Day]]-t0o)/wo))</f>
        <v>132.37502054743757</v>
      </c>
      <c r="U23" s="29">
        <f>Tabella8[[#This Row],[rest of Italy fit]]*NOT(ISBLANK(Tabella8[[#This Row],[rest of Italy ]]))</f>
        <v>132.37502054743757</v>
      </c>
      <c r="V23" s="10">
        <f>Tabella8[[#This Row],[rest of Italy fit]]+CIo</f>
        <v>209.34357684195595</v>
      </c>
      <c r="W23" s="10">
        <f>MAX(Tabella8[[#This Row],[rest of Italy fit]]-CIo,0)</f>
        <v>55.406464252919179</v>
      </c>
      <c r="X23" s="1"/>
      <c r="Y23" s="2" t="s">
        <v>3</v>
      </c>
      <c r="Z23" s="1">
        <f>COUNT(Tabella8[Lombardy])-COUNT(Z19:Z21)</f>
        <v>47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635.65012266407473</v>
      </c>
      <c r="G24" s="10">
        <f>Tabella8[[#This Row],[Italy sum]]*NOT(ISBLANK(Tabella8[[#This Row],[Italy cumulative]]))</f>
        <v>635.65012266407473</v>
      </c>
      <c r="H24" s="29">
        <f>Kt*EXP(-EXP(-(Tabella8[[#This Row],[Day]]-t0t)/wt))</f>
        <v>631.89798123985088</v>
      </c>
      <c r="I24" s="10">
        <f>Tabella8[[#This Row],[Italy fit]]*NOT(ISBLANK(Tabella8[[#This Row],[Italy cumulative]]))</f>
        <v>631.89798123985088</v>
      </c>
      <c r="J24" s="10">
        <f>Tabella8[[#This Row],[Italy sum]]+CI</f>
        <v>845.72396537213842</v>
      </c>
      <c r="K24" s="10">
        <f>MAX(Tabella8[[#This Row],[Italy sum]]-CI,0)</f>
        <v>425.57627995601104</v>
      </c>
      <c r="L24" s="4">
        <v>617</v>
      </c>
      <c r="M24" s="10">
        <f>Tabella8[[#This Row],[Lombardy]]*NOT(ISBLANK(Tabella8[[#This Row],[Lombardy]]))</f>
        <v>617</v>
      </c>
      <c r="N24" s="29">
        <f>Kr*EXP(-EXP(-(Tabella8[[#This Row],[Day]]-t0r)/wr))</f>
        <v>451.13675120406083</v>
      </c>
      <c r="O24" s="10">
        <f>Tabella8[[#This Row],[Lombardy fit]]*NOT(ISBLANK(Tabella8[[#This Row],[Lombardy]]))</f>
        <v>451.13675120406083</v>
      </c>
      <c r="P24" s="10">
        <f>Tabella8[[#This Row],[Lombardy fit]]+CIr</f>
        <v>629.68623754728537</v>
      </c>
      <c r="Q24" s="10">
        <f>MAX(Tabella8[[#This Row],[Lombardy fit]]-CIr,0)</f>
        <v>272.58726486083629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29">
        <f>Ko*EXP(-EXP(-(Tabella8[[#This Row],[Day]]-t0o)/wo))</f>
        <v>184.51337146001387</v>
      </c>
      <c r="U24" s="29">
        <f>Tabella8[[#This Row],[rest of Italy fit]]*NOT(ISBLANK(Tabella8[[#This Row],[rest of Italy ]]))</f>
        <v>184.51337146001387</v>
      </c>
      <c r="V24" s="10">
        <f>Tabella8[[#This Row],[rest of Italy fit]]+CIo</f>
        <v>261.48192775453225</v>
      </c>
      <c r="W24" s="10">
        <f>MAX(Tabella8[[#This Row],[rest of Italy fit]]-CIo,0)</f>
        <v>107.54481516549548</v>
      </c>
      <c r="X24" s="1"/>
      <c r="Y24" s="2" t="s">
        <v>4</v>
      </c>
      <c r="Z24" s="6" cm="1">
        <f t="array" ref="Z24">SQRT(SUM((Tabella8[Colonna4]-Tabella8[Colonna5])^2)/dfr)</f>
        <v>88.753735943903536</v>
      </c>
      <c r="AN24" s="62"/>
    </row>
    <row r="25" spans="2:40" ht="16.2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841.40153574454666</v>
      </c>
      <c r="G25" s="10">
        <f>Tabella8[[#This Row],[Italy sum]]*NOT(ISBLANK(Tabella8[[#This Row],[Italy cumulative]]))</f>
        <v>841.40153574454666</v>
      </c>
      <c r="H25" s="29">
        <f>Kt*EXP(-EXP(-(Tabella8[[#This Row],[Day]]-t0t)/wt))</f>
        <v>836.56138068880932</v>
      </c>
      <c r="I25" s="10">
        <f>Tabella8[[#This Row],[Italy fit]]*NOT(ISBLANK(Tabella8[[#This Row],[Italy cumulative]]))</f>
        <v>836.56138068880932</v>
      </c>
      <c r="J25" s="10">
        <f>Tabella8[[#This Row],[Italy sum]]+CI</f>
        <v>1051.4753784526104</v>
      </c>
      <c r="K25" s="10">
        <f>MAX(Tabella8[[#This Row],[Italy sum]]-CI,0)</f>
        <v>631.32769303648297</v>
      </c>
      <c r="L25" s="4">
        <v>744</v>
      </c>
      <c r="M25" s="10">
        <f>Tabella8[[#This Row],[Lombardy]]*NOT(ISBLANK(Tabella8[[#This Row],[Lombardy]]))</f>
        <v>744</v>
      </c>
      <c r="N25" s="29">
        <f>Kr*EXP(-EXP(-(Tabella8[[#This Row],[Day]]-t0r)/wr))</f>
        <v>590.24872384759908</v>
      </c>
      <c r="O25" s="10">
        <f>Tabella8[[#This Row],[Lombardy fit]]*NOT(ISBLANK(Tabella8[[#This Row],[Lombardy]]))</f>
        <v>590.24872384759908</v>
      </c>
      <c r="P25" s="10">
        <f>Tabella8[[#This Row],[Lombardy fit]]+CIr</f>
        <v>768.79821019082362</v>
      </c>
      <c r="Q25" s="10">
        <f>MAX(Tabella8[[#This Row],[Lombardy fit]]-CIr,0)</f>
        <v>411.69923750437454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29">
        <f>Ko*EXP(-EXP(-(Tabella8[[#This Row],[Day]]-t0o)/wo))</f>
        <v>251.15281189694761</v>
      </c>
      <c r="U25" s="29">
        <f>Tabella8[[#This Row],[rest of Italy fit]]*NOT(ISBLANK(Tabella8[[#This Row],[rest of Italy ]]))</f>
        <v>251.15281189694761</v>
      </c>
      <c r="V25" s="10">
        <f>Tabella8[[#This Row],[rest of Italy fit]]+CIo</f>
        <v>328.12136819146599</v>
      </c>
      <c r="W25" s="10">
        <f>MAX(Tabella8[[#This Row],[rest of Italy fit]]-CIo,0)</f>
        <v>174.18425560242923</v>
      </c>
      <c r="X25" s="1"/>
      <c r="Y25" s="2" t="s">
        <v>5</v>
      </c>
      <c r="Z25" s="7" cm="1">
        <f t="array" ref="Z25">1-SUM((Tabella8[Colonna4]-Tabella8[Colonna5])^2)/SUM((Tabella8[Colonna4]-Mean_of_yr)^2)</f>
        <v>0.99964761218097897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1090.5267542891465</v>
      </c>
      <c r="G26" s="10">
        <f>Tabella8[[#This Row],[Italy sum]]*NOT(ISBLANK(Tabella8[[#This Row],[Italy cumulative]]))</f>
        <v>1090.5267542891465</v>
      </c>
      <c r="H26" s="29">
        <f>Kt*EXP(-EXP(-(Tabella8[[#This Row],[Day]]-t0t)/wt))</f>
        <v>1084.6254867912742</v>
      </c>
      <c r="I26" s="10">
        <f>Tabella8[[#This Row],[Italy fit]]*NOT(ISBLANK(Tabella8[[#This Row],[Italy cumulative]]))</f>
        <v>1084.6254867912742</v>
      </c>
      <c r="J26" s="10">
        <f>Tabella8[[#This Row],[Italy sum]]+CI</f>
        <v>1300.6005969972102</v>
      </c>
      <c r="K26" s="10">
        <f>MAX(Tabella8[[#This Row],[Italy sum]]-CI,0)</f>
        <v>880.45291158108284</v>
      </c>
      <c r="L26" s="4">
        <v>890</v>
      </c>
      <c r="M26" s="10">
        <f>Tabella8[[#This Row],[Lombardy]]*NOT(ISBLANK(Tabella8[[#This Row],[Lombardy]]))</f>
        <v>890</v>
      </c>
      <c r="N26" s="29">
        <f>Kr*EXP(-EXP(-(Tabella8[[#This Row],[Day]]-t0r)/wr))</f>
        <v>756.12087582882214</v>
      </c>
      <c r="O26" s="10">
        <f>Tabella8[[#This Row],[Lombardy fit]]*NOT(ISBLANK(Tabella8[[#This Row],[Lombardy]]))</f>
        <v>756.12087582882214</v>
      </c>
      <c r="P26" s="10">
        <f>Tabella8[[#This Row],[Lombardy fit]]+CIr</f>
        <v>934.67036217204668</v>
      </c>
      <c r="Q26" s="10">
        <f>MAX(Tabella8[[#This Row],[Lombardy fit]]-CIr,0)</f>
        <v>577.57138948559759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29">
        <f>Ko*EXP(-EXP(-(Tabella8[[#This Row],[Day]]-t0o)/wo))</f>
        <v>334.40587846032435</v>
      </c>
      <c r="U26" s="29">
        <f>Tabella8[[#This Row],[rest of Italy fit]]*NOT(ISBLANK(Tabella8[[#This Row],[rest of Italy ]]))</f>
        <v>334.40587846032435</v>
      </c>
      <c r="V26" s="10">
        <f>Tabella8[[#This Row],[rest of Italy fit]]+CIo</f>
        <v>411.37443475484275</v>
      </c>
      <c r="W26" s="10">
        <f>MAX(Tabella8[[#This Row],[rest of Italy fit]]-CIo,0)</f>
        <v>257.43732216580594</v>
      </c>
      <c r="X26" s="1"/>
      <c r="Y26" s="2" t="s">
        <v>6</v>
      </c>
      <c r="Z26" s="7">
        <f>TINV(0.05,dfr)</f>
        <v>2.0117405137297668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1386.1767443618048</v>
      </c>
      <c r="G27" s="10">
        <f>Tabella8[[#This Row],[Italy sum]]*NOT(ISBLANK(Tabella8[[#This Row],[Italy cumulative]]))</f>
        <v>1386.1767443618048</v>
      </c>
      <c r="H27" s="29">
        <f>Kt*EXP(-EXP(-(Tabella8[[#This Row],[Day]]-t0t)/wt))</f>
        <v>1379.3291212215161</v>
      </c>
      <c r="I27" s="10">
        <f>Tabella8[[#This Row],[Italy fit]]*NOT(ISBLANK(Tabella8[[#This Row],[Italy cumulative]]))</f>
        <v>1379.3291212215161</v>
      </c>
      <c r="J27" s="10">
        <f>Tabella8[[#This Row],[Italy sum]]+CI</f>
        <v>1596.2505870698685</v>
      </c>
      <c r="K27" s="10">
        <f>MAX(Tabella8[[#This Row],[Italy sum]]-CI,0)</f>
        <v>1176.1029016537411</v>
      </c>
      <c r="L27" s="4">
        <v>966</v>
      </c>
      <c r="M27" s="10">
        <f>Tabella8[[#This Row],[Lombardy]]*NOT(ISBLANK(Tabella8[[#This Row],[Lombardy]]))</f>
        <v>966</v>
      </c>
      <c r="N27" s="29">
        <f>Kr*EXP(-EXP(-(Tabella8[[#This Row],[Day]]-t0r)/wr))</f>
        <v>949.94228573847738</v>
      </c>
      <c r="O27" s="10">
        <f>Tabella8[[#This Row],[Lombardy fit]]*NOT(ISBLANK(Tabella8[[#This Row],[Lombardy]]))</f>
        <v>949.94228573847738</v>
      </c>
      <c r="P27" s="10">
        <f>Tabella8[[#This Row],[Lombardy fit]]+CIr</f>
        <v>1128.491772081702</v>
      </c>
      <c r="Q27" s="10">
        <f>MAX(Tabella8[[#This Row],[Lombardy fit]]-CIr,0)</f>
        <v>771.39279939525284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29">
        <f>Ko*EXP(-EXP(-(Tabella8[[#This Row],[Day]]-t0o)/wo))</f>
        <v>436.2344586233275</v>
      </c>
      <c r="U27" s="29">
        <f>Tabella8[[#This Row],[rest of Italy fit]]*NOT(ISBLANK(Tabella8[[#This Row],[rest of Italy ]]))</f>
        <v>436.2344586233275</v>
      </c>
      <c r="V27" s="10">
        <f>Tabella8[[#This Row],[rest of Italy fit]]+CIo</f>
        <v>513.20301491784585</v>
      </c>
      <c r="W27" s="10">
        <f>MAX(Tabella8[[#This Row],[rest of Italy fit]]-CIo,0)</f>
        <v>359.26590232880909</v>
      </c>
      <c r="X27" s="1"/>
      <c r="Y27" s="2" t="s">
        <v>7</v>
      </c>
      <c r="Z27" s="1">
        <f>Critical_tr*SE_of_yr</f>
        <v>178.54948634322457</v>
      </c>
      <c r="AN27" s="64"/>
    </row>
    <row r="28" spans="2:40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1730.597884756025</v>
      </c>
      <c r="G28" s="10">
        <f>Tabella8[[#This Row],[Italy sum]]*NOT(ISBLANK(Tabella8[[#This Row],[Italy cumulative]]))</f>
        <v>1730.597884756025</v>
      </c>
      <c r="H28" s="29">
        <f>Kt*EXP(-EXP(-(Tabella8[[#This Row],[Day]]-t0t)/wt))</f>
        <v>1723.0061767172228</v>
      </c>
      <c r="I28" s="10">
        <f>Tabella8[[#This Row],[Italy fit]]*NOT(ISBLANK(Tabella8[[#This Row],[Italy cumulative]]))</f>
        <v>1723.0061767172228</v>
      </c>
      <c r="J28" s="10">
        <f>Tabella8[[#This Row],[Italy sum]]+CI</f>
        <v>1940.6717274640887</v>
      </c>
      <c r="K28" s="10">
        <f>MAX(Tabella8[[#This Row],[Italy sum]]-CI,0)</f>
        <v>1520.5240420479613</v>
      </c>
      <c r="L28" s="4">
        <v>1218</v>
      </c>
      <c r="M28" s="10">
        <f>Tabella8[[#This Row],[Lombardy]]*NOT(ISBLANK(Tabella8[[#This Row],[Lombardy]]))</f>
        <v>1218</v>
      </c>
      <c r="N28" s="29">
        <f>Kr*EXP(-EXP(-(Tabella8[[#This Row],[Day]]-t0r)/wr))</f>
        <v>1172.2410409883134</v>
      </c>
      <c r="O28" s="10">
        <f>Tabella8[[#This Row],[Lombardy fit]]*NOT(ISBLANK(Tabella8[[#This Row],[Lombardy]]))</f>
        <v>1172.2410409883134</v>
      </c>
      <c r="P28" s="10">
        <f>Tabella8[[#This Row],[Lombardy fit]]+CIr</f>
        <v>1350.790527331538</v>
      </c>
      <c r="Q28" s="10">
        <f>MAX(Tabella8[[#This Row],[Lombardy fit]]-CIr,0)</f>
        <v>993.6915546450889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29">
        <f>Ko*EXP(-EXP(-(Tabella8[[#This Row],[Day]]-t0o)/wo))</f>
        <v>558.35684376771167</v>
      </c>
      <c r="U28" s="29">
        <f>Tabella8[[#This Row],[rest of Italy fit]]*NOT(ISBLANK(Tabella8[[#This Row],[rest of Italy ]]))</f>
        <v>558.35684376771167</v>
      </c>
      <c r="V28" s="10">
        <f>Tabella8[[#This Row],[rest of Italy fit]]+CIo</f>
        <v>635.32540006223007</v>
      </c>
      <c r="W28" s="10">
        <f>MAX(Tabella8[[#This Row],[rest of Italy fit]]-CIo,0)</f>
        <v>481.38828747319326</v>
      </c>
      <c r="X28" s="1"/>
      <c r="Y28" s="22"/>
      <c r="Z28" s="38"/>
      <c r="AN28" s="65">
        <f>MAX($Z$36)</f>
        <v>0.99989895148505226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2125.0254879048057</v>
      </c>
      <c r="G29" s="10">
        <f>Tabella8[[#This Row],[Italy sum]]*NOT(ISBLANK(Tabella8[[#This Row],[Italy cumulative]]))</f>
        <v>2125.0254879048057</v>
      </c>
      <c r="H29" s="29">
        <f>Kt*EXP(-EXP(-(Tabella8[[#This Row],[Day]]-t0t)/wt))</f>
        <v>2116.9705635957985</v>
      </c>
      <c r="I29" s="10">
        <f>Tabella8[[#This Row],[Italy fit]]*NOT(ISBLANK(Tabella8[[#This Row],[Italy cumulative]]))</f>
        <v>2116.9705635957985</v>
      </c>
      <c r="J29" s="10">
        <f>Tabella8[[#This Row],[Italy sum]]+CI</f>
        <v>2335.0993306128694</v>
      </c>
      <c r="K29" s="10">
        <f>MAX(Tabella8[[#This Row],[Italy sum]]-CI,0)</f>
        <v>1914.951645196742</v>
      </c>
      <c r="L29" s="4">
        <v>1420</v>
      </c>
      <c r="M29" s="10">
        <f>Tabella8[[#This Row],[Lombardy]]*NOT(ISBLANK(Tabella8[[#This Row],[Lombardy]]))</f>
        <v>1420</v>
      </c>
      <c r="N29" s="29">
        <f>Kr*EXP(-EXP(-(Tabella8[[#This Row],[Day]]-t0r)/wr))</f>
        <v>1422.8596597653602</v>
      </c>
      <c r="O29" s="10">
        <f>Tabella8[[#This Row],[Lombardy fit]]*NOT(ISBLANK(Tabella8[[#This Row],[Lombardy]]))</f>
        <v>1422.8596597653602</v>
      </c>
      <c r="P29" s="10">
        <f>Tabella8[[#This Row],[Lombardy fit]]+CIr</f>
        <v>1601.4091461085848</v>
      </c>
      <c r="Q29" s="10">
        <f>MAX(Tabella8[[#This Row],[Lombardy fit]]-CIr,0)</f>
        <v>1244.3101734221357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29">
        <f>Ko*EXP(-EXP(-(Tabella8[[#This Row],[Day]]-t0o)/wo))</f>
        <v>702.16582813944535</v>
      </c>
      <c r="U29" s="29">
        <f>Tabella8[[#This Row],[rest of Italy fit]]*NOT(ISBLANK(Tabella8[[#This Row],[rest of Italy ]]))</f>
        <v>702.16582813944535</v>
      </c>
      <c r="V29" s="10">
        <f>Tabella8[[#This Row],[rest of Italy fit]]+CIo</f>
        <v>779.13438443396376</v>
      </c>
      <c r="W29" s="10">
        <f>MAX(Tabella8[[#This Row],[rest of Italy fit]]-CIo,0)</f>
        <v>625.19727184492695</v>
      </c>
      <c r="X29" s="1"/>
      <c r="Y29" s="39" t="s">
        <v>85</v>
      </c>
      <c r="Z29" s="40" t="s">
        <v>138</v>
      </c>
      <c r="AN29" s="66">
        <f>COUNT($Z$30,$Z$31,$Z$32)</f>
        <v>3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2569.6320061629367</v>
      </c>
      <c r="G30" s="10">
        <f>Tabella8[[#This Row],[Italy sum]]*NOT(ISBLANK(Tabella8[[#This Row],[Italy cumulative]]))</f>
        <v>2569.6320061629367</v>
      </c>
      <c r="H30" s="29">
        <f>Kt*EXP(-EXP(-(Tabella8[[#This Row],[Day]]-t0t)/wt))</f>
        <v>2561.4568961017058</v>
      </c>
      <c r="I30" s="10">
        <f>Tabella8[[#This Row],[Italy fit]]*NOT(ISBLANK(Tabella8[[#This Row],[Italy cumulative]]))</f>
        <v>2561.4568961017058</v>
      </c>
      <c r="J30" s="10">
        <f>Tabella8[[#This Row],[Italy sum]]+CI</f>
        <v>2779.7058488710004</v>
      </c>
      <c r="K30" s="10">
        <f>MAX(Tabella8[[#This Row],[Italy sum]]-CI,0)</f>
        <v>2359.558163454873</v>
      </c>
      <c r="L30" s="4">
        <v>1640</v>
      </c>
      <c r="M30" s="10">
        <f>Tabella8[[#This Row],[Lombardy]]*NOT(ISBLANK(Tabella8[[#This Row],[Lombardy]]))</f>
        <v>1640</v>
      </c>
      <c r="N30" s="29">
        <f>Kr*EXP(-EXP(-(Tabella8[[#This Row],[Day]]-t0r)/wr))</f>
        <v>1700.9687093424834</v>
      </c>
      <c r="O30" s="10">
        <f>Tabella8[[#This Row],[Lombardy fit]]*NOT(ISBLANK(Tabella8[[#This Row],[Lombardy]]))</f>
        <v>1700.9687093424834</v>
      </c>
      <c r="P30" s="10">
        <f>Tabella8[[#This Row],[Lombardy fit]]+CIr</f>
        <v>1879.518195685708</v>
      </c>
      <c r="Q30" s="10">
        <f>MAX(Tabella8[[#This Row],[Lombardy fit]]-CIr,0)</f>
        <v>1522.4192229992589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29">
        <f>Ko*EXP(-EXP(-(Tabella8[[#This Row],[Day]]-t0o)/wo))</f>
        <v>868.66329682045318</v>
      </c>
      <c r="U30" s="29">
        <f>Tabella8[[#This Row],[rest of Italy fit]]*NOT(ISBLANK(Tabella8[[#This Row],[rest of Italy ]]))</f>
        <v>868.66329682045318</v>
      </c>
      <c r="V30" s="10">
        <f>Tabella8[[#This Row],[rest of Italy fit]]+CIo</f>
        <v>945.63185311497159</v>
      </c>
      <c r="W30" s="10">
        <f>MAX(Tabella8[[#This Row],[rest of Italy fit]]-CIo,0)</f>
        <v>791.69474052593478</v>
      </c>
      <c r="X30" s="1"/>
      <c r="Y30" s="17" t="s">
        <v>0</v>
      </c>
      <c r="Z30" s="5">
        <v>13770.324956863093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3063.5290313764808</v>
      </c>
      <c r="G31" s="10">
        <f>Tabella8[[#This Row],[Italy sum]]*NOT(ISBLANK(Tabella8[[#This Row],[Italy cumulative]]))</f>
        <v>3063.5290313764808</v>
      </c>
      <c r="H31" s="29">
        <f>Kt*EXP(-EXP(-(Tabella8[[#This Row],[Day]]-t0t)/wt))</f>
        <v>3055.6168244948904</v>
      </c>
      <c r="I31" s="10">
        <f>Tabella8[[#This Row],[Italy fit]]*NOT(ISBLANK(Tabella8[[#This Row],[Italy cumulative]]))</f>
        <v>3055.6168244948904</v>
      </c>
      <c r="J31" s="10">
        <f>Tabella8[[#This Row],[Italy sum]]+CI</f>
        <v>3273.6028740845445</v>
      </c>
      <c r="K31" s="10">
        <f>MAX(Tabella8[[#This Row],[Italy sum]]-CI,0)</f>
        <v>2853.4551886684171</v>
      </c>
      <c r="L31" s="4">
        <v>1959</v>
      </c>
      <c r="M31" s="10">
        <f>Tabella8[[#This Row],[Lombardy]]*NOT(ISBLANK(Tabella8[[#This Row],[Lombardy]]))</f>
        <v>1959</v>
      </c>
      <c r="N31" s="29">
        <f>Kr*EXP(-EXP(-(Tabella8[[#This Row],[Day]]-t0r)/wr))</f>
        <v>2005.1140584820232</v>
      </c>
      <c r="O31" s="10">
        <f>Tabella8[[#This Row],[Lombardy fit]]*NOT(ISBLANK(Tabella8[[#This Row],[Lombardy]]))</f>
        <v>2005.1140584820232</v>
      </c>
      <c r="P31" s="10">
        <f>Tabella8[[#This Row],[Lombardy fit]]+CIr</f>
        <v>2183.6635448252478</v>
      </c>
      <c r="Q31" s="10">
        <f>MAX(Tabella8[[#This Row],[Lombardy fit]]-CIr,0)</f>
        <v>1826.5645721387987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29">
        <f>Ko*EXP(-EXP(-(Tabella8[[#This Row],[Day]]-t0o)/wo))</f>
        <v>1058.4149728944576</v>
      </c>
      <c r="U31" s="29">
        <f>Tabella8[[#This Row],[rest of Italy fit]]*NOT(ISBLANK(Tabella8[[#This Row],[rest of Italy ]]))</f>
        <v>1058.4149728944576</v>
      </c>
      <c r="V31" s="10">
        <f>Tabella8[[#This Row],[rest of Italy fit]]+CIo</f>
        <v>1135.3835291889759</v>
      </c>
      <c r="W31" s="10">
        <f>MAX(Tabella8[[#This Row],[rest of Italy fit]]-CIo,0)</f>
        <v>981.4464165999392</v>
      </c>
      <c r="Y31" s="17" t="s">
        <v>24</v>
      </c>
      <c r="Z31" s="37">
        <v>35.701675574816811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3604.8181362089435</v>
      </c>
      <c r="G32" s="10">
        <f>Tabella8[[#This Row],[Italy sum]]*NOT(ISBLANK(Tabella8[[#This Row],[Italy cumulative]]))</f>
        <v>3604.8181362089435</v>
      </c>
      <c r="H32" s="29">
        <f>Kt*EXP(-EXP(-(Tabella8[[#This Row],[Day]]-t0t)/wt))</f>
        <v>3597.5665236251257</v>
      </c>
      <c r="I32" s="10">
        <f>Tabella8[[#This Row],[Italy fit]]*NOT(ISBLANK(Tabella8[[#This Row],[Italy cumulative]]))</f>
        <v>3597.5665236251257</v>
      </c>
      <c r="J32" s="10">
        <f>Tabella8[[#This Row],[Italy sum]]+CI</f>
        <v>3814.8919789170072</v>
      </c>
      <c r="K32" s="10">
        <f>MAX(Tabella8[[#This Row],[Italy sum]]-CI,0)</f>
        <v>3394.7442935008798</v>
      </c>
      <c r="L32" s="4">
        <v>2168</v>
      </c>
      <c r="M32" s="10">
        <f>Tabella8[[#This Row],[Lombardy]]*NOT(ISBLANK(Tabella8[[#This Row],[Lombardy]]))</f>
        <v>2168</v>
      </c>
      <c r="N32" s="29">
        <f>Kr*EXP(-EXP(-(Tabella8[[#This Row],[Day]]-t0r)/wr))</f>
        <v>2333.2910730480335</v>
      </c>
      <c r="O32" s="10">
        <f>Tabella8[[#This Row],[Lombardy fit]]*NOT(ISBLANK(Tabella8[[#This Row],[Lombardy]]))</f>
        <v>2333.2910730480335</v>
      </c>
      <c r="P32" s="10">
        <f>Tabella8[[#This Row],[Lombardy fit]]+CIr</f>
        <v>2511.840559391258</v>
      </c>
      <c r="Q32" s="10">
        <f>MAX(Tabella8[[#This Row],[Lombardy fit]]-CIr,0)</f>
        <v>2154.7415867048089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29">
        <f>Ko*EXP(-EXP(-(Tabella8[[#This Row],[Day]]-t0o)/wo))</f>
        <v>1271.5270631609098</v>
      </c>
      <c r="U32" s="29">
        <f>Tabella8[[#This Row],[rest of Italy fit]]*NOT(ISBLANK(Tabella8[[#This Row],[rest of Italy ]]))</f>
        <v>1271.5270631609098</v>
      </c>
      <c r="V32" s="10">
        <f>Tabella8[[#This Row],[rest of Italy fit]]+CIo</f>
        <v>1348.4956194554281</v>
      </c>
      <c r="W32" s="10">
        <f>MAX(Tabella8[[#This Row],[rest of Italy fit]]-CIo,0)</f>
        <v>1194.5585068663916</v>
      </c>
      <c r="Y32" s="17" t="s">
        <v>1</v>
      </c>
      <c r="Z32" s="37">
        <v>13.480179200638544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4190.6826569185832</v>
      </c>
      <c r="G33" s="10">
        <f>Tabella8[[#This Row],[Italy sum]]*NOT(ISBLANK(Tabella8[[#This Row],[Italy cumulative]]))</f>
        <v>4190.6826569185832</v>
      </c>
      <c r="H33" s="29">
        <f>Kt*EXP(-EXP(-(Tabella8[[#This Row],[Day]]-t0t)/wt))</f>
        <v>4184.4775560770258</v>
      </c>
      <c r="I33" s="10">
        <f>Tabella8[[#This Row],[Italy fit]]*NOT(ISBLANK(Tabella8[[#This Row],[Italy cumulative]]))</f>
        <v>4184.4775560770258</v>
      </c>
      <c r="J33" s="10">
        <f>Tabella8[[#This Row],[Italy sum]]+CI</f>
        <v>4400.7564996266474</v>
      </c>
      <c r="K33" s="10">
        <f>MAX(Tabella8[[#This Row],[Italy sum]]-CI,0)</f>
        <v>3980.6088142105195</v>
      </c>
      <c r="L33" s="4">
        <v>2549</v>
      </c>
      <c r="M33" s="10">
        <f>Tabella8[[#This Row],[Lombardy]]*NOT(ISBLANK(Tabella8[[#This Row],[Lombardy]]))</f>
        <v>2549</v>
      </c>
      <c r="N33" s="29">
        <f>Kr*EXP(-EXP(-(Tabella8[[#This Row],[Day]]-t0r)/wr))</f>
        <v>2683.0379627121265</v>
      </c>
      <c r="O33" s="10">
        <f>Tabella8[[#This Row],[Lombardy fit]]*NOT(ISBLANK(Tabella8[[#This Row],[Lombardy]]))</f>
        <v>2683.0379627121265</v>
      </c>
      <c r="P33" s="10">
        <f>Tabella8[[#This Row],[Lombardy fit]]+CIr</f>
        <v>2861.587449055351</v>
      </c>
      <c r="Q33" s="10">
        <f>MAX(Tabella8[[#This Row],[Lombardy fit]]-CIr,0)</f>
        <v>2504.488476368902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29">
        <f>Ko*EXP(-EXP(-(Tabella8[[#This Row],[Day]]-t0o)/wo))</f>
        <v>1507.6446942064563</v>
      </c>
      <c r="U33" s="29">
        <f>Tabella8[[#This Row],[rest of Italy fit]]*NOT(ISBLANK(Tabella8[[#This Row],[rest of Italy ]]))</f>
        <v>1507.6446942064563</v>
      </c>
      <c r="V33" s="10">
        <f>Tabella8[[#This Row],[rest of Italy fit]]+CIo</f>
        <v>1584.6132505009746</v>
      </c>
      <c r="W33" s="10">
        <f>MAX(Tabella8[[#This Row],[rest of Italy fit]]-CIo,0)</f>
        <v>1430.676137911938</v>
      </c>
      <c r="Y33" s="2" t="s">
        <v>2</v>
      </c>
      <c r="Z33" s="1">
        <f>AVERAGE(Tabella8[[rest of Italy ]])</f>
        <v>2887.16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4817.510760762766</v>
      </c>
      <c r="G34" s="10">
        <f>Tabella8[[#This Row],[Italy sum]]*NOT(ISBLANK(Tabella8[[#This Row],[Italy cumulative]]))</f>
        <v>4817.510760762766</v>
      </c>
      <c r="H34" s="29">
        <f>Kt*EXP(-EXP(-(Tabella8[[#This Row],[Day]]-t0t)/wt))</f>
        <v>4812.7012736396646</v>
      </c>
      <c r="I34" s="10">
        <f>Tabella8[[#This Row],[Italy fit]]*NOT(ISBLANK(Tabella8[[#This Row],[Italy cumulative]]))</f>
        <v>4812.7012736396646</v>
      </c>
      <c r="J34" s="10">
        <f>Tabella8[[#This Row],[Italy sum]]+CI</f>
        <v>5027.5846034708302</v>
      </c>
      <c r="K34" s="10">
        <f>MAX(Tabella8[[#This Row],[Italy sum]]-CI,0)</f>
        <v>4607.4369180547019</v>
      </c>
      <c r="L34" s="4">
        <v>3095</v>
      </c>
      <c r="M34" s="10">
        <f>Tabella8[[#This Row],[Lombardy]]*NOT(ISBLANK(Tabella8[[#This Row],[Lombardy]]))</f>
        <v>3095</v>
      </c>
      <c r="N34" s="29">
        <f>Kr*EXP(-EXP(-(Tabella8[[#This Row],[Day]]-t0r)/wr))</f>
        <v>3051.5403099335826</v>
      </c>
      <c r="O34" s="10">
        <f>Tabella8[[#This Row],[Lombardy fit]]*NOT(ISBLANK(Tabella8[[#This Row],[Lombardy]]))</f>
        <v>3051.5403099335826</v>
      </c>
      <c r="P34" s="10">
        <f>Tabella8[[#This Row],[Lombardy fit]]+CIr</f>
        <v>3230.0897962768072</v>
      </c>
      <c r="Q34" s="10">
        <f>MAX(Tabella8[[#This Row],[Lombardy fit]]-CIr,0)</f>
        <v>2872.9908235903581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29">
        <f>Ko*EXP(-EXP(-(Tabella8[[#This Row],[Day]]-t0o)/wo))</f>
        <v>1765.9704508291836</v>
      </c>
      <c r="U34" s="29">
        <f>Tabella8[[#This Row],[rest of Italy fit]]*NOT(ISBLANK(Tabella8[[#This Row],[rest of Italy ]]))</f>
        <v>1765.9704508291836</v>
      </c>
      <c r="V34" s="10">
        <f>Tabella8[[#This Row],[rest of Italy fit]]+CIo</f>
        <v>1842.9390071237019</v>
      </c>
      <c r="W34" s="10">
        <f>MAX(Tabella8[[#This Row],[rest of Italy fit]]-CIo,0)</f>
        <v>1689.0018945346653</v>
      </c>
      <c r="Y34" s="2" t="s">
        <v>3</v>
      </c>
      <c r="Z34" s="1">
        <f>COUNT(Tabella8[[rest of Italy ]])-COUNT(Z30:Z32)</f>
        <v>47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5481.0395005519222</v>
      </c>
      <c r="G35" s="10">
        <f>Tabella8[[#This Row],[Italy sum]]*NOT(ISBLANK(Tabella8[[#This Row],[Italy cumulative]]))</f>
        <v>5481.0395005519222</v>
      </c>
      <c r="H35" s="29">
        <f>Kt*EXP(-EXP(-(Tabella8[[#This Row],[Day]]-t0t)/wt))</f>
        <v>5477.9160616910876</v>
      </c>
      <c r="I35" s="10">
        <f>Tabella8[[#This Row],[Italy fit]]*NOT(ISBLANK(Tabella8[[#This Row],[Italy cumulative]]))</f>
        <v>5477.9160616910876</v>
      </c>
      <c r="J35" s="10">
        <f>Tabella8[[#This Row],[Italy sum]]+CI</f>
        <v>5691.1133432599863</v>
      </c>
      <c r="K35" s="10">
        <f>MAX(Tabella8[[#This Row],[Italy sum]]-CI,0)</f>
        <v>5270.965657843858</v>
      </c>
      <c r="L35" s="4">
        <v>3456</v>
      </c>
      <c r="M35" s="10">
        <f>Tabella8[[#This Row],[Lombardy]]*NOT(ISBLANK(Tabella8[[#This Row],[Lombardy]]))</f>
        <v>3456</v>
      </c>
      <c r="N35" s="29">
        <f>Kr*EXP(-EXP(-(Tabella8[[#This Row],[Day]]-t0r)/wr))</f>
        <v>3435.7393690223466</v>
      </c>
      <c r="O35" s="10">
        <f>Tabella8[[#This Row],[Lombardy fit]]*NOT(ISBLANK(Tabella8[[#This Row],[Lombardy]]))</f>
        <v>3435.7393690223466</v>
      </c>
      <c r="P35" s="10">
        <f>Tabella8[[#This Row],[Lombardy fit]]+CIr</f>
        <v>3614.2888553655712</v>
      </c>
      <c r="Q35" s="10">
        <f>MAX(Tabella8[[#This Row],[Lombardy fit]]-CIr,0)</f>
        <v>3257.1898826791221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29">
        <f>Ko*EXP(-EXP(-(Tabella8[[#This Row],[Day]]-t0o)/wo))</f>
        <v>2045.3001315295755</v>
      </c>
      <c r="U35" s="29">
        <f>Tabella8[[#This Row],[rest of Italy fit]]*NOT(ISBLANK(Tabella8[[#This Row],[rest of Italy ]]))</f>
        <v>2045.3001315295755</v>
      </c>
      <c r="V35" s="10">
        <f>Tabella8[[#This Row],[rest of Italy fit]]+CIo</f>
        <v>2122.2686878240938</v>
      </c>
      <c r="W35" s="10">
        <f>MAX(Tabella8[[#This Row],[rest of Italy fit]]-CIo,0)</f>
        <v>1968.3315752350572</v>
      </c>
      <c r="Y35" s="2" t="s">
        <v>4</v>
      </c>
      <c r="Z35" s="6" cm="1">
        <f t="array" ref="Z35">SQRT(SUM((Tabella8[Colonna6]-Tabella8[Colonna7])^2)/dfo)</f>
        <v>38.259683974758104</v>
      </c>
      <c r="AN35" s="63"/>
    </row>
    <row r="36" spans="2:40" ht="16.2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6176.5098522590069</v>
      </c>
      <c r="G36" s="10">
        <f>Tabella8[[#This Row],[Italy sum]]*NOT(ISBLANK(Tabella8[[#This Row],[Italy cumulative]]))</f>
        <v>6176.5098522590069</v>
      </c>
      <c r="H36" s="29">
        <f>Kt*EXP(-EXP(-(Tabella8[[#This Row],[Day]]-t0t)/wt))</f>
        <v>6175.2868974982839</v>
      </c>
      <c r="I36" s="10">
        <f>Tabella8[[#This Row],[Italy fit]]*NOT(ISBLANK(Tabella8[[#This Row],[Italy cumulative]]))</f>
        <v>6175.2868974982839</v>
      </c>
      <c r="J36" s="10">
        <f>Tabella8[[#This Row],[Italy sum]]+CI</f>
        <v>6386.5836949670711</v>
      </c>
      <c r="K36" s="10">
        <f>MAX(Tabella8[[#This Row],[Italy sum]]-CI,0)</f>
        <v>5966.4360095509428</v>
      </c>
      <c r="L36" s="4">
        <v>3776</v>
      </c>
      <c r="M36" s="10">
        <f>Tabella8[[#This Row],[Lombardy]]*NOT(ISBLANK(Tabella8[[#This Row],[Lombardy]]))</f>
        <v>3776</v>
      </c>
      <c r="N36" s="29">
        <f>Kr*EXP(-EXP(-(Tabella8[[#This Row],[Day]]-t0r)/wr))</f>
        <v>3832.4377849928155</v>
      </c>
      <c r="O36" s="10">
        <f>Tabella8[[#This Row],[Lombardy fit]]*NOT(ISBLANK(Tabella8[[#This Row],[Lombardy]]))</f>
        <v>3832.4377849928155</v>
      </c>
      <c r="P36" s="10">
        <f>Tabella8[[#This Row],[Lombardy fit]]+CIr</f>
        <v>4010.9872713360401</v>
      </c>
      <c r="Q36" s="10">
        <f>MAX(Tabella8[[#This Row],[Lombardy fit]]-CIr,0)</f>
        <v>3653.888298649591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29">
        <f>Ko*EXP(-EXP(-(Tabella8[[#This Row],[Day]]-t0o)/wo))</f>
        <v>2344.0720672661919</v>
      </c>
      <c r="U36" s="29">
        <f>Tabella8[[#This Row],[rest of Italy fit]]*NOT(ISBLANK(Tabella8[[#This Row],[rest of Italy ]]))</f>
        <v>2344.0720672661919</v>
      </c>
      <c r="V36" s="10">
        <f>Tabella8[[#This Row],[rest of Italy fit]]+CIo</f>
        <v>2421.0406235607102</v>
      </c>
      <c r="W36" s="10">
        <f>MAX(Tabella8[[#This Row],[rest of Italy fit]]-CIo,0)</f>
        <v>2267.1035109716736</v>
      </c>
      <c r="Y36" s="2" t="s">
        <v>5</v>
      </c>
      <c r="Z36" s="7" cm="1">
        <f t="array" ref="Z36">1-SUM((Tabella8[Colonna6]-Tabella8[Colonna7])^2)/SUM((Tabella8[Colonna6]-Mean_of_yo)^2)</f>
        <v>0.99989895148505226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6898.8237233253076</v>
      </c>
      <c r="G37" s="10">
        <f>Tabella8[[#This Row],[Italy sum]]*NOT(ISBLANK(Tabella8[[#This Row],[Italy cumulative]]))</f>
        <v>6898.8237233253076</v>
      </c>
      <c r="H37" s="29">
        <f>Kt*EXP(-EXP(-(Tabella8[[#This Row],[Day]]-t0t)/wt))</f>
        <v>6899.627644959839</v>
      </c>
      <c r="I37" s="10">
        <f>Tabella8[[#This Row],[Italy fit]]*NOT(ISBLANK(Tabella8[[#This Row],[Italy cumulative]]))</f>
        <v>6899.627644959839</v>
      </c>
      <c r="J37" s="10">
        <f>Tabella8[[#This Row],[Italy sum]]+CI</f>
        <v>7108.8975660333717</v>
      </c>
      <c r="K37" s="10">
        <f>MAX(Tabella8[[#This Row],[Italy sum]]-CI,0)</f>
        <v>6688.7498806172434</v>
      </c>
      <c r="L37" s="4">
        <v>4178</v>
      </c>
      <c r="M37" s="10">
        <f>Tabella8[[#This Row],[Lombardy]]*NOT(ISBLANK(Tabella8[[#This Row],[Lombardy]]))</f>
        <v>4178</v>
      </c>
      <c r="N37" s="29">
        <f>Kr*EXP(-EXP(-(Tabella8[[#This Row],[Day]]-t0r)/wr))</f>
        <v>4238.3977248903866</v>
      </c>
      <c r="O37" s="10">
        <f>Tabella8[[#This Row],[Lombardy fit]]*NOT(ISBLANK(Tabella8[[#This Row],[Lombardy]]))</f>
        <v>4238.3977248903866</v>
      </c>
      <c r="P37" s="10">
        <f>Tabella8[[#This Row],[Lombardy fit]]+CIr</f>
        <v>4416.9472112336116</v>
      </c>
      <c r="Q37" s="10">
        <f>MAX(Tabella8[[#This Row],[Lombardy fit]]-CIr,0)</f>
        <v>4059.8482385471621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29">
        <f>Ko*EXP(-EXP(-(Tabella8[[#This Row],[Day]]-t0o)/wo))</f>
        <v>2660.4259984349214</v>
      </c>
      <c r="U37" s="29">
        <f>Tabella8[[#This Row],[rest of Italy fit]]*NOT(ISBLANK(Tabella8[[#This Row],[rest of Italy ]]))</f>
        <v>2660.4259984349214</v>
      </c>
      <c r="V37" s="10">
        <f>Tabella8[[#This Row],[rest of Italy fit]]+CIo</f>
        <v>2737.3945547294397</v>
      </c>
      <c r="W37" s="10">
        <f>MAX(Tabella8[[#This Row],[rest of Italy fit]]-CIo,0)</f>
        <v>2583.4574421404031</v>
      </c>
      <c r="Y37" s="2" t="s">
        <v>6</v>
      </c>
      <c r="Z37" s="7">
        <f>TINV(0.05,dfo)</f>
        <v>2.0117405137297668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7642.6953628890005</v>
      </c>
      <c r="G38" s="10">
        <f>Tabella8[[#This Row],[Italy sum]]*NOT(ISBLANK(Tabella8[[#This Row],[Italy cumulative]]))</f>
        <v>7642.6953628890005</v>
      </c>
      <c r="H38" s="29">
        <f>Kt*EXP(-EXP(-(Tabella8[[#This Row],[Day]]-t0t)/wt))</f>
        <v>7645.557982479113</v>
      </c>
      <c r="I38" s="10">
        <f>Tabella8[[#This Row],[Italy fit]]*NOT(ISBLANK(Tabella8[[#This Row],[Italy cumulative]]))</f>
        <v>7645.557982479113</v>
      </c>
      <c r="J38" s="10">
        <f>Tabella8[[#This Row],[Italy sum]]+CI</f>
        <v>7852.7692055970647</v>
      </c>
      <c r="K38" s="10">
        <f>MAX(Tabella8[[#This Row],[Italy sum]]-CI,0)</f>
        <v>7432.6215201809364</v>
      </c>
      <c r="L38" s="4">
        <v>4474</v>
      </c>
      <c r="M38" s="10">
        <f>Tabella8[[#This Row],[Lombardy]]*NOT(ISBLANK(Tabella8[[#This Row],[Lombardy]]))</f>
        <v>4474</v>
      </c>
      <c r="N38" s="29">
        <f>Kr*EXP(-EXP(-(Tabella8[[#This Row],[Day]]-t0r)/wr))</f>
        <v>4650.4278450399715</v>
      </c>
      <c r="O38" s="10">
        <f>Tabella8[[#This Row],[Lombardy fit]]*NOT(ISBLANK(Tabella8[[#This Row],[Lombardy]]))</f>
        <v>4650.4278450399715</v>
      </c>
      <c r="P38" s="10">
        <f>Tabella8[[#This Row],[Lombardy fit]]+CIr</f>
        <v>4828.9773313831965</v>
      </c>
      <c r="Q38" s="10">
        <f>MAX(Tabella8[[#This Row],[Lombardy fit]]-CIr,0)</f>
        <v>4471.8783586967465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29">
        <f>Ko*EXP(-EXP(-(Tabella8[[#This Row],[Day]]-t0o)/wo))</f>
        <v>2992.267517849029</v>
      </c>
      <c r="U38" s="29">
        <f>Tabella8[[#This Row],[rest of Italy fit]]*NOT(ISBLANK(Tabella8[[#This Row],[rest of Italy ]]))</f>
        <v>2992.267517849029</v>
      </c>
      <c r="V38" s="10">
        <f>Tabella8[[#This Row],[rest of Italy fit]]+CIo</f>
        <v>3069.2360741435473</v>
      </c>
      <c r="W38" s="10">
        <f>MAX(Tabella8[[#This Row],[rest of Italy fit]]-CIo,0)</f>
        <v>2915.2989615545107</v>
      </c>
      <c r="Y38" s="2" t="s">
        <v>7</v>
      </c>
      <c r="Z38" s="1">
        <f>Critical_to*SE_of_yo</f>
        <v>76.968556294518393</v>
      </c>
      <c r="AN38" s="68">
        <f>MAX($Z$47)</f>
        <v>0.99984464679962415</v>
      </c>
    </row>
    <row r="39" spans="2:40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8402.7912743264587</v>
      </c>
      <c r="G39" s="10">
        <f>Tabella8[[#This Row],[Italy sum]]*NOT(ISBLANK(Tabella8[[#This Row],[Italy cumulative]]))</f>
        <v>8402.7912743264587</v>
      </c>
      <c r="H39" s="29">
        <f>Kt*EXP(-EXP(-(Tabella8[[#This Row],[Day]]-t0t)/wt))</f>
        <v>8407.6486098488585</v>
      </c>
      <c r="I39" s="10">
        <f>Tabella8[[#This Row],[Italy fit]]*NOT(ISBLANK(Tabella8[[#This Row],[Italy cumulative]]))</f>
        <v>8407.6486098488585</v>
      </c>
      <c r="J39" s="10">
        <f>Tabella8[[#This Row],[Italy sum]]+CI</f>
        <v>8612.865117034522</v>
      </c>
      <c r="K39" s="10">
        <f>MAX(Tabella8[[#This Row],[Italy sum]]-CI,0)</f>
        <v>8192.7174316183955</v>
      </c>
      <c r="L39" s="4">
        <v>4861</v>
      </c>
      <c r="M39" s="10">
        <f>Tabella8[[#This Row],[Lombardy]]*NOT(ISBLANK(Tabella8[[#This Row],[Lombardy]]))</f>
        <v>4861</v>
      </c>
      <c r="N39" s="29">
        <f>Kr*EXP(-EXP(-(Tabella8[[#This Row],[Day]]-t0r)/wr))</f>
        <v>5065.4568877809234</v>
      </c>
      <c r="O39" s="10">
        <f>Tabella8[[#This Row],[Lombardy fit]]*NOT(ISBLANK(Tabella8[[#This Row],[Lombardy]]))</f>
        <v>5065.4568877809234</v>
      </c>
      <c r="P39" s="10">
        <f>Tabella8[[#This Row],[Lombardy fit]]+CIr</f>
        <v>5244.0063741241484</v>
      </c>
      <c r="Q39" s="10">
        <f>MAX(Tabella8[[#This Row],[Lombardy fit]]-CIr,0)</f>
        <v>4886.9074014376984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29">
        <f>Ko*EXP(-EXP(-(Tabella8[[#This Row],[Day]]-t0o)/wo))</f>
        <v>3337.3343865455349</v>
      </c>
      <c r="U39" s="29">
        <f>Tabella8[[#This Row],[rest of Italy fit]]*NOT(ISBLANK(Tabella8[[#This Row],[rest of Italy ]]))</f>
        <v>3337.3343865455349</v>
      </c>
      <c r="V39" s="10">
        <f>Tabella8[[#This Row],[rest of Italy fit]]+CIo</f>
        <v>3414.3029428400532</v>
      </c>
      <c r="W39" s="10">
        <f>MAX(Tabella8[[#This Row],[rest of Italy fit]]-CIo,0)</f>
        <v>3260.3658302510166</v>
      </c>
      <c r="Z39" s="41"/>
      <c r="AN39" s="69">
        <f>COUNT($Z$41,$Z$42,$Z$43)</f>
        <v>3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9173.8544379285049</v>
      </c>
      <c r="G40" s="10">
        <f>Tabella8[[#This Row],[Italy sum]]*NOT(ISBLANK(Tabella8[[#This Row],[Italy cumulative]]))</f>
        <v>9173.8544379285049</v>
      </c>
      <c r="H40" s="29">
        <f>Kt*EXP(-EXP(-(Tabella8[[#This Row],[Day]]-t0t)/wt))</f>
        <v>9180.5501950857888</v>
      </c>
      <c r="I40" s="10">
        <f>Tabella8[[#This Row],[Italy fit]]*NOT(ISBLANK(Tabella8[[#This Row],[Italy cumulative]]))</f>
        <v>9180.5501950857888</v>
      </c>
      <c r="J40" s="10">
        <f>Tabella8[[#This Row],[Italy sum]]+CI</f>
        <v>9383.9282806365682</v>
      </c>
      <c r="K40" s="10">
        <f>MAX(Tabella8[[#This Row],[Italy sum]]-CI,0)</f>
        <v>8963.7805952204417</v>
      </c>
      <c r="L40" s="4">
        <v>5402</v>
      </c>
      <c r="M40" s="10">
        <f>Tabella8[[#This Row],[Lombardy]]*NOT(ISBLANK(Tabella8[[#This Row],[Lombardy]]))</f>
        <v>5402</v>
      </c>
      <c r="N40" s="29">
        <f>Kr*EXP(-EXP(-(Tabella8[[#This Row],[Day]]-t0r)/wr))</f>
        <v>5480.592910459045</v>
      </c>
      <c r="O40" s="10">
        <f>Tabella8[[#This Row],[Lombardy fit]]*NOT(ISBLANK(Tabella8[[#This Row],[Lombardy]]))</f>
        <v>5480.592910459045</v>
      </c>
      <c r="P40" s="10">
        <f>Tabella8[[#This Row],[Lombardy fit]]+CIr</f>
        <v>5659.14239680227</v>
      </c>
      <c r="Q40" s="10">
        <f>MAX(Tabella8[[#This Row],[Lombardy fit]]-CIr,0)</f>
        <v>5302.04342411582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29">
        <f>Ko*EXP(-EXP(-(Tabella8[[#This Row],[Day]]-t0o)/wo))</f>
        <v>3693.2615274694599</v>
      </c>
      <c r="U40" s="29">
        <f>Tabella8[[#This Row],[rest of Italy fit]]*NOT(ISBLANK(Tabella8[[#This Row],[rest of Italy ]]))</f>
        <v>3693.2615274694599</v>
      </c>
      <c r="V40" s="10">
        <f>Tabella8[[#This Row],[rest of Italy fit]]+CIo</f>
        <v>3770.2300837639782</v>
      </c>
      <c r="W40" s="10">
        <f>MAX(Tabella8[[#This Row],[rest of Italy fit]]-CIo,0)</f>
        <v>3616.2929711749416</v>
      </c>
      <c r="Y40" s="20" t="s">
        <v>139</v>
      </c>
      <c r="Z40" s="21" t="s">
        <v>88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9950.8102569890452</v>
      </c>
      <c r="G41" s="10">
        <f>Tabella8[[#This Row],[Italy sum]]*NOT(ISBLANK(Tabella8[[#This Row],[Italy cumulative]]))</f>
        <v>9950.8102569890452</v>
      </c>
      <c r="H41" s="29">
        <f>Kt*EXP(-EXP(-(Tabella8[[#This Row],[Day]]-t0t)/wt))</f>
        <v>9959.1032437311769</v>
      </c>
      <c r="I41" s="10">
        <f>Tabella8[[#This Row],[Italy fit]]*NOT(ISBLANK(Tabella8[[#This Row],[Italy cumulative]]))</f>
        <v>9959.1032437311769</v>
      </c>
      <c r="J41" s="10">
        <f>Tabella8[[#This Row],[Italy sum]]+CI</f>
        <v>10160.884099697108</v>
      </c>
      <c r="K41" s="10">
        <f>MAX(Tabella8[[#This Row],[Italy sum]]-CI,0)</f>
        <v>9740.736414280982</v>
      </c>
      <c r="L41" s="4">
        <v>5944</v>
      </c>
      <c r="M41" s="10">
        <f>Tabella8[[#This Row],[Lombardy]]*NOT(ISBLANK(Tabella8[[#This Row],[Lombardy]]))</f>
        <v>5944</v>
      </c>
      <c r="N41" s="29">
        <f>Kr*EXP(-EXP(-(Tabella8[[#This Row],[Day]]-t0r)/wr))</f>
        <v>5893.1681417605296</v>
      </c>
      <c r="O41" s="10">
        <f>Tabella8[[#This Row],[Lombardy fit]]*NOT(ISBLANK(Tabella8[[#This Row],[Lombardy]]))</f>
        <v>5893.1681417605296</v>
      </c>
      <c r="P41" s="10">
        <f>Tabella8[[#This Row],[Lombardy fit]]+CIr</f>
        <v>6071.7176281037546</v>
      </c>
      <c r="Q41" s="10">
        <f>MAX(Tabella8[[#This Row],[Lombardy fit]]-CIr,0)</f>
        <v>5714.6186554173046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29">
        <f>Ko*EXP(-EXP(-(Tabella8[[#This Row],[Day]]-t0o)/wo))</f>
        <v>4057.6421152285152</v>
      </c>
      <c r="U41" s="29">
        <f>Tabella8[[#This Row],[rest of Italy fit]]*NOT(ISBLANK(Tabella8[[#This Row],[rest of Italy ]]))</f>
        <v>4057.6421152285152</v>
      </c>
      <c r="V41" s="10">
        <f>Tabella8[[#This Row],[rest of Italy fit]]+CIo</f>
        <v>4134.6106715230335</v>
      </c>
      <c r="W41" s="10">
        <f>MAX(Tabella8[[#This Row],[rest of Italy fit]]-CIo,0)</f>
        <v>3980.6735589339969</v>
      </c>
      <c r="Y41" s="17" t="s">
        <v>0</v>
      </c>
      <c r="Z41" s="5">
        <v>27406.823711884386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10728.853050959638</v>
      </c>
      <c r="G42" s="10">
        <f>Tabella8[[#This Row],[Italy sum]]*NOT(ISBLANK(Tabella8[[#This Row],[Italy cumulative]]))</f>
        <v>10728.853050959638</v>
      </c>
      <c r="H42" s="29">
        <f>Kt*EXP(-EXP(-(Tabella8[[#This Row],[Day]]-t0t)/wt))</f>
        <v>10738.427593540704</v>
      </c>
      <c r="I42" s="10">
        <f>Tabella8[[#This Row],[Italy fit]]*NOT(ISBLANK(Tabella8[[#This Row],[Italy cumulative]]))</f>
        <v>10738.427593540704</v>
      </c>
      <c r="J42" s="10">
        <f>Tabella8[[#This Row],[Italy sum]]+CI</f>
        <v>10938.926893667702</v>
      </c>
      <c r="K42" s="10">
        <f>MAX(Tabella8[[#This Row],[Italy sum]]-CI,0)</f>
        <v>10518.779208251575</v>
      </c>
      <c r="L42" s="4">
        <v>6360</v>
      </c>
      <c r="M42" s="10">
        <f>Tabella8[[#This Row],[Lombardy]]*NOT(ISBLANK(Tabella8[[#This Row],[Lombardy]]))</f>
        <v>6360</v>
      </c>
      <c r="N42" s="29">
        <f>Kr*EXP(-EXP(-(Tabella8[[#This Row],[Day]]-t0r)/wr))</f>
        <v>6300.7702161775178</v>
      </c>
      <c r="O42" s="10">
        <f>Tabella8[[#This Row],[Lombardy fit]]*NOT(ISBLANK(Tabella8[[#This Row],[Lombardy]]))</f>
        <v>6300.7702161775178</v>
      </c>
      <c r="P42" s="10">
        <f>Tabella8[[#This Row],[Lombardy fit]]+CIr</f>
        <v>6479.3197025207428</v>
      </c>
      <c r="Q42" s="10">
        <f>MAX(Tabella8[[#This Row],[Lombardy fit]]-CIr,0)</f>
        <v>6122.2207298342928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29">
        <f>Ko*EXP(-EXP(-(Tabella8[[#This Row],[Day]]-t0o)/wo))</f>
        <v>4428.0828347821207</v>
      </c>
      <c r="U42" s="29">
        <f>Tabella8[[#This Row],[rest of Italy fit]]*NOT(ISBLANK(Tabella8[[#This Row],[rest of Italy ]]))</f>
        <v>4428.0828347821207</v>
      </c>
      <c r="V42" s="10">
        <f>Tabella8[[#This Row],[rest of Italy fit]]+CIo</f>
        <v>4505.0513910766394</v>
      </c>
      <c r="W42" s="10">
        <f>MAX(Tabella8[[#This Row],[rest of Italy fit]]-CIo,0)</f>
        <v>4351.114278487602</v>
      </c>
      <c r="Y42" s="17" t="s">
        <v>24</v>
      </c>
      <c r="Z42" s="37">
        <v>33.158129562339184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11503.513083495447</v>
      </c>
      <c r="G43" s="10">
        <f>Tabella8[[#This Row],[Italy sum]]*NOT(ISBLANK(Tabella8[[#This Row],[Italy cumulative]]))</f>
        <v>11503.513083495447</v>
      </c>
      <c r="H43" s="29">
        <f>Kt*EXP(-EXP(-(Tabella8[[#This Row],[Day]]-t0t)/wt))</f>
        <v>11513.991496006873</v>
      </c>
      <c r="I43" s="10">
        <f>Tabella8[[#This Row],[Italy fit]]*NOT(ISBLANK(Tabella8[[#This Row],[Italy cumulative]]))</f>
        <v>11513.991496006873</v>
      </c>
      <c r="J43" s="10">
        <f>Tabella8[[#This Row],[Italy sum]]+CI</f>
        <v>11713.58692620351</v>
      </c>
      <c r="K43" s="10">
        <f>MAX(Tabella8[[#This Row],[Italy sum]]-CI,0)</f>
        <v>11293.439240787384</v>
      </c>
      <c r="L43" s="4">
        <v>6818</v>
      </c>
      <c r="M43" s="10">
        <f>Tabella8[[#This Row],[Lombardy]]*NOT(ISBLANK(Tabella8[[#This Row],[Lombardy]]))</f>
        <v>6818</v>
      </c>
      <c r="N43" s="29">
        <f>Kr*EXP(-EXP(-(Tabella8[[#This Row],[Day]]-t0r)/wr))</f>
        <v>6701.2610634986077</v>
      </c>
      <c r="O43" s="10">
        <f>Tabella8[[#This Row],[Lombardy fit]]*NOT(ISBLANK(Tabella8[[#This Row],[Lombardy]]))</f>
        <v>6701.2610634986077</v>
      </c>
      <c r="P43" s="10">
        <f>Tabella8[[#This Row],[Lombardy fit]]+CIr</f>
        <v>6879.8105498418327</v>
      </c>
      <c r="Q43" s="10">
        <f>MAX(Tabella8[[#This Row],[Lombardy fit]]-CIr,0)</f>
        <v>6522.7115771553827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29">
        <f>Ko*EXP(-EXP(-(Tabella8[[#This Row],[Day]]-t0o)/wo))</f>
        <v>4802.2520199968403</v>
      </c>
      <c r="U43" s="29">
        <f>Tabella8[[#This Row],[rest of Italy fit]]*NOT(ISBLANK(Tabella8[[#This Row],[rest of Italy ]]))</f>
        <v>4802.2520199968403</v>
      </c>
      <c r="V43" s="10">
        <f>Tabella8[[#This Row],[rest of Italy fit]]+CIo</f>
        <v>4879.2205762913591</v>
      </c>
      <c r="W43" s="10">
        <f>MAX(Tabella8[[#This Row],[rest of Italy fit]]-CIo,0)</f>
        <v>4725.2834637023216</v>
      </c>
      <c r="Y43" s="17" t="s">
        <v>1</v>
      </c>
      <c r="Z43" s="37">
        <v>12.929750878763748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12270.705014083427</v>
      </c>
      <c r="G44" s="10">
        <f>Tabella8[[#This Row],[Italy sum]]*NOT(ISBLANK(Tabella8[[#This Row],[Italy cumulative]]))</f>
        <v>12270.705014083427</v>
      </c>
      <c r="H44" s="29">
        <f>Kt*EXP(-EXP(-(Tabella8[[#This Row],[Day]]-t0t)/wt))</f>
        <v>12281.66122069986</v>
      </c>
      <c r="I44" s="10">
        <f>Tabella8[[#This Row],[Italy fit]]*NOT(ISBLANK(Tabella8[[#This Row],[Italy cumulative]]))</f>
        <v>12281.66122069986</v>
      </c>
      <c r="J44" s="10">
        <f>Tabella8[[#This Row],[Italy sum]]+CI</f>
        <v>12480.77885679149</v>
      </c>
      <c r="K44" s="10">
        <f>MAX(Tabella8[[#This Row],[Italy sum]]-CI,0)</f>
        <v>12060.631171375364</v>
      </c>
      <c r="L44" s="4">
        <v>7199</v>
      </c>
      <c r="M44" s="10">
        <f>Tabella8[[#This Row],[Lombardy]]*NOT(ISBLANK(Tabella8[[#This Row],[Lombardy]]))</f>
        <v>7199</v>
      </c>
      <c r="N44" s="29">
        <f>Kr*EXP(-EXP(-(Tabella8[[#This Row],[Day]]-t0r)/wr))</f>
        <v>7092.7850511724246</v>
      </c>
      <c r="O44" s="10">
        <f>Tabella8[[#This Row],[Lombardy fit]]*NOT(ISBLANK(Tabella8[[#This Row],[Lombardy]]))</f>
        <v>7092.7850511724246</v>
      </c>
      <c r="P44" s="10">
        <f>Tabella8[[#This Row],[Lombardy fit]]+CIr</f>
        <v>7271.3345375156496</v>
      </c>
      <c r="Q44" s="10">
        <f>MAX(Tabella8[[#This Row],[Lombardy fit]]-CIr,0)</f>
        <v>6914.2355648291996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29">
        <f>Ko*EXP(-EXP(-(Tabella8[[#This Row],[Day]]-t0o)/wo))</f>
        <v>5177.9199629110026</v>
      </c>
      <c r="U44" s="29">
        <f>Tabella8[[#This Row],[rest of Italy fit]]*NOT(ISBLANK(Tabella8[[#This Row],[rest of Italy ]]))</f>
        <v>5177.9199629110026</v>
      </c>
      <c r="V44" s="10">
        <f>Tabella8[[#This Row],[rest of Italy fit]]+CIo</f>
        <v>5254.8885192055213</v>
      </c>
      <c r="W44" s="10">
        <f>MAX(Tabella8[[#This Row],[rest of Italy fit]]-CIo,0)</f>
        <v>5100.9514066164838</v>
      </c>
      <c r="Y44" s="2" t="s">
        <v>2</v>
      </c>
      <c r="Z44" s="1">
        <f>AVERAGE(Tabella8[Italy cumulative])</f>
        <v>6758.82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13026.75930758347</v>
      </c>
      <c r="G45" s="10">
        <f>Tabella8[[#This Row],[Italy sum]]*NOT(ISBLANK(Tabella8[[#This Row],[Italy cumulative]]))</f>
        <v>13026.75930758347</v>
      </c>
      <c r="H45" s="29">
        <f>Kt*EXP(-EXP(-(Tabella8[[#This Row],[Day]]-t0t)/wt))</f>
        <v>13037.732815790197</v>
      </c>
      <c r="I45" s="10">
        <f>Tabella8[[#This Row],[Italy fit]]*NOT(ISBLANK(Tabella8[[#This Row],[Italy cumulative]]))</f>
        <v>13037.732815790197</v>
      </c>
      <c r="J45" s="10">
        <f>Tabella8[[#This Row],[Italy sum]]+CI</f>
        <v>13236.833150291533</v>
      </c>
      <c r="K45" s="10">
        <f>MAX(Tabella8[[#This Row],[Italy sum]]-CI,0)</f>
        <v>12816.685464875407</v>
      </c>
      <c r="L45" s="4">
        <v>7593</v>
      </c>
      <c r="M45" s="10">
        <f>Tabella8[[#This Row],[Lombardy]]*NOT(ISBLANK(Tabella8[[#This Row],[Lombardy]]))</f>
        <v>7593</v>
      </c>
      <c r="N45" s="29">
        <f>Kr*EXP(-EXP(-(Tabella8[[#This Row],[Day]]-t0r)/wr))</f>
        <v>7473.7681271252759</v>
      </c>
      <c r="O45" s="10">
        <f>Tabella8[[#This Row],[Lombardy fit]]*NOT(ISBLANK(Tabella8[[#This Row],[Lombardy]]))</f>
        <v>7473.7681271252759</v>
      </c>
      <c r="P45" s="10">
        <f>Tabella8[[#This Row],[Lombardy fit]]+CIr</f>
        <v>7652.3176134685009</v>
      </c>
      <c r="Q45" s="10">
        <f>MAX(Tabella8[[#This Row],[Lombardy fit]]-CIr,0)</f>
        <v>7295.2186407820509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29">
        <f>Ko*EXP(-EXP(-(Tabella8[[#This Row],[Day]]-t0o)/wo))</f>
        <v>5552.9911804581952</v>
      </c>
      <c r="U45" s="29">
        <f>Tabella8[[#This Row],[rest of Italy fit]]*NOT(ISBLANK(Tabella8[[#This Row],[rest of Italy ]]))</f>
        <v>5552.9911804581952</v>
      </c>
      <c r="V45" s="10">
        <f>Tabella8[[#This Row],[rest of Italy fit]]+CIo</f>
        <v>5629.959736752714</v>
      </c>
      <c r="W45" s="10">
        <f>MAX(Tabella8[[#This Row],[rest of Italy fit]]-CIo,0)</f>
        <v>5476.0226241636765</v>
      </c>
      <c r="Y45" s="2" t="s">
        <v>3</v>
      </c>
      <c r="Z45" s="1">
        <f>COUNT(Tabella8[Italy cumulative])-COUNT(Z41:Z43)</f>
        <v>47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13768.438551271222</v>
      </c>
      <c r="G46" s="10">
        <f>Tabella8[[#This Row],[Italy sum]]*NOT(ISBLANK(Tabella8[[#This Row],[Italy cumulative]]))</f>
        <v>13768.438551271222</v>
      </c>
      <c r="H46" s="29">
        <f>Kt*EXP(-EXP(-(Tabella8[[#This Row],[Day]]-t0t)/wt))</f>
        <v>13778.948104557354</v>
      </c>
      <c r="I46" s="10">
        <f>Tabella8[[#This Row],[Italy fit]]*NOT(ISBLANK(Tabella8[[#This Row],[Italy cumulative]]))</f>
        <v>13778.948104557354</v>
      </c>
      <c r="J46" s="10">
        <f>Tabella8[[#This Row],[Italy sum]]+CI</f>
        <v>13978.512393979285</v>
      </c>
      <c r="K46" s="10">
        <f>MAX(Tabella8[[#This Row],[Italy sum]]-CI,0)</f>
        <v>13558.364708563158</v>
      </c>
      <c r="L46" s="4">
        <v>7960</v>
      </c>
      <c r="M46" s="10">
        <f>Tabella8[[#This Row],[Lombardy]]*NOT(ISBLANK(Tabella8[[#This Row],[Lombardy]]))</f>
        <v>7960</v>
      </c>
      <c r="N46" s="29">
        <f>Kr*EXP(-EXP(-(Tabella8[[#This Row],[Day]]-t0r)/wr))</f>
        <v>7842.9097263362564</v>
      </c>
      <c r="O46" s="10">
        <f>Tabella8[[#This Row],[Lombardy fit]]*NOT(ISBLANK(Tabella8[[#This Row],[Lombardy]]))</f>
        <v>7842.9097263362564</v>
      </c>
      <c r="P46" s="10">
        <f>Tabella8[[#This Row],[Lombardy fit]]+CIr</f>
        <v>8021.4592126794814</v>
      </c>
      <c r="Q46" s="10">
        <f>MAX(Tabella8[[#This Row],[Lombardy fit]]-CIr,0)</f>
        <v>7664.3602399930314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29">
        <f>Ko*EXP(-EXP(-(Tabella8[[#This Row],[Day]]-t0o)/wo))</f>
        <v>5925.528824934966</v>
      </c>
      <c r="U46" s="29">
        <f>Tabella8[[#This Row],[rest of Italy fit]]*NOT(ISBLANK(Tabella8[[#This Row],[rest of Italy ]]))</f>
        <v>5925.528824934966</v>
      </c>
      <c r="V46" s="10">
        <f>Tabella8[[#This Row],[rest of Italy fit]]+CIo</f>
        <v>6002.4973812294847</v>
      </c>
      <c r="W46" s="10">
        <f>MAX(Tabella8[[#This Row],[rest of Italy fit]]-CIo,0)</f>
        <v>5848.5602686404472</v>
      </c>
      <c r="Y46" s="2" t="s">
        <v>4</v>
      </c>
      <c r="Z46" s="6" cm="1">
        <f t="array" ref="Z46">SQRT(SUM((Tabella8[Colonna1]-Tabella8[Colonna3])^2)/dft)</f>
        <v>106.21832172545646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14492.940848218244</v>
      </c>
      <c r="G47" s="10">
        <f>Tabella8[[#This Row],[Italy sum]]*NOT(ISBLANK(Tabella8[[#This Row],[Italy cumulative]]))</f>
        <v>14492.940848218244</v>
      </c>
      <c r="H47" s="29">
        <f>Kt*EXP(-EXP(-(Tabella8[[#This Row],[Day]]-t0t)/wt))</f>
        <v>14502.497230573155</v>
      </c>
      <c r="I47" s="10">
        <f>Tabella8[[#This Row],[Italy fit]]*NOT(ISBLANK(Tabella8[[#This Row],[Italy cumulative]]))</f>
        <v>14502.497230573155</v>
      </c>
      <c r="J47" s="10">
        <f>Tabella8[[#This Row],[Italy sum]]+CI</f>
        <v>14703.014690926308</v>
      </c>
      <c r="K47" s="10">
        <f>MAX(Tabella8[[#This Row],[Italy sum]]-CI,0)</f>
        <v>14282.867005510181</v>
      </c>
      <c r="L47" s="4">
        <v>8311</v>
      </c>
      <c r="M47" s="10">
        <f>Tabella8[[#This Row],[Lombardy]]*NOT(ISBLANK(Tabella8[[#This Row],[Lombardy]]))</f>
        <v>8311</v>
      </c>
      <c r="N47" s="29">
        <f>Kr*EXP(-EXP(-(Tabella8[[#This Row],[Day]]-t0r)/wr))</f>
        <v>8199.1691223216494</v>
      </c>
      <c r="O47" s="10">
        <f>Tabella8[[#This Row],[Lombardy fit]]*NOT(ISBLANK(Tabella8[[#This Row],[Lombardy]]))</f>
        <v>8199.1691223216494</v>
      </c>
      <c r="P47" s="10">
        <f>Tabella8[[#This Row],[Lombardy fit]]+CIr</f>
        <v>8377.7186086648744</v>
      </c>
      <c r="Q47" s="10">
        <f>MAX(Tabella8[[#This Row],[Lombardy fit]]-CIr,0)</f>
        <v>8020.6196359784244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29">
        <f>Ko*EXP(-EXP(-(Tabella8[[#This Row],[Day]]-t0o)/wo))</f>
        <v>6293.7717258965949</v>
      </c>
      <c r="U47" s="29">
        <f>Tabella8[[#This Row],[rest of Italy fit]]*NOT(ISBLANK(Tabella8[[#This Row],[rest of Italy ]]))</f>
        <v>6293.7717258965949</v>
      </c>
      <c r="V47" s="10">
        <f>Tabella8[[#This Row],[rest of Italy fit]]+CIo</f>
        <v>6370.7402821911137</v>
      </c>
      <c r="W47" s="10">
        <f>MAX(Tabella8[[#This Row],[rest of Italy fit]]-CIo,0)</f>
        <v>6216.8031696020762</v>
      </c>
      <c r="Y47" s="2" t="s">
        <v>5</v>
      </c>
      <c r="Z47" s="7" cm="1">
        <f t="array" ref="Z47">1-SUM((Tabella8[Colonna1]-Tabella8[Colonna3])^2)/SUM((Tabella8[Colonna1]-Mean_of_yt)^2)</f>
        <v>0.99984464679962415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15197.892517262986</v>
      </c>
      <c r="G48" s="10">
        <f>Tabella8[[#This Row],[Italy sum]]*NOT(ISBLANK(Tabella8[[#This Row],[Italy cumulative]]))</f>
        <v>15197.892517262986</v>
      </c>
      <c r="H48" s="29">
        <f>Kt*EXP(-EXP(-(Tabella8[[#This Row],[Day]]-t0t)/wt))</f>
        <v>15206.010125532574</v>
      </c>
      <c r="I48" s="10">
        <f>Tabella8[[#This Row],[Italy fit]]*NOT(ISBLANK(Tabella8[[#This Row],[Italy cumulative]]))</f>
        <v>15206.010125532574</v>
      </c>
      <c r="J48" s="10">
        <f>Tabella8[[#This Row],[Italy sum]]+CI</f>
        <v>15407.966359971049</v>
      </c>
      <c r="K48" s="10">
        <f>MAX(Tabella8[[#This Row],[Italy sum]]-CI,0)</f>
        <v>14987.818674554923</v>
      </c>
      <c r="L48" s="4">
        <v>8656</v>
      </c>
      <c r="M48" s="10">
        <f>Tabella8[[#This Row],[Lombardy]]*NOT(ISBLANK(Tabella8[[#This Row],[Lombardy]]))</f>
        <v>8656</v>
      </c>
      <c r="N48" s="29">
        <f>Kr*EXP(-EXP(-(Tabella8[[#This Row],[Day]]-t0r)/wr))</f>
        <v>8541.7477569891562</v>
      </c>
      <c r="O48" s="10">
        <f>Tabella8[[#This Row],[Lombardy fit]]*NOT(ISBLANK(Tabella8[[#This Row],[Lombardy]]))</f>
        <v>8541.7477569891562</v>
      </c>
      <c r="P48" s="10">
        <f>Tabella8[[#This Row],[Lombardy fit]]+CIr</f>
        <v>8720.2972433323812</v>
      </c>
      <c r="Q48" s="10">
        <f>MAX(Tabella8[[#This Row],[Lombardy fit]]-CIr,0)</f>
        <v>8363.1982706459312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29">
        <f>Ko*EXP(-EXP(-(Tabella8[[#This Row],[Day]]-t0o)/wo))</f>
        <v>6656.1447602738308</v>
      </c>
      <c r="U48" s="29">
        <f>Tabella8[[#This Row],[rest of Italy fit]]*NOT(ISBLANK(Tabella8[[#This Row],[rest of Italy ]]))</f>
        <v>6656.1447602738308</v>
      </c>
      <c r="V48" s="10">
        <f>Tabella8[[#This Row],[rest of Italy fit]]+CIo</f>
        <v>6733.1133165683495</v>
      </c>
      <c r="W48" s="10">
        <f>MAX(Tabella8[[#This Row],[rest of Italy fit]]-CIo,0)</f>
        <v>6579.176203979312</v>
      </c>
      <c r="Y48" s="2" t="s">
        <v>6</v>
      </c>
      <c r="Z48" s="7">
        <f>TINV(0.05,dft)</f>
        <v>2.0117405137297668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15881.332271254396</v>
      </c>
      <c r="G49" s="10">
        <f>Tabella8[[#This Row],[Italy sum]]*NOT(ISBLANK(Tabella8[[#This Row],[Italy cumulative]]))</f>
        <v>15881.332271254396</v>
      </c>
      <c r="H49" s="29">
        <f>Kt*EXP(-EXP(-(Tabella8[[#This Row],[Day]]-t0t)/wt))</f>
        <v>15887.539205112826</v>
      </c>
      <c r="I49" s="10">
        <f>Tabella8[[#This Row],[Italy fit]]*NOT(ISBLANK(Tabella8[[#This Row],[Italy cumulative]]))</f>
        <v>15887.539205112826</v>
      </c>
      <c r="J49" s="10">
        <f>Tabella8[[#This Row],[Italy sum]]+CI</f>
        <v>16091.406113962459</v>
      </c>
      <c r="K49" s="10">
        <f>MAX(Tabella8[[#This Row],[Italy sum]]-CI,0)</f>
        <v>15671.258428546333</v>
      </c>
      <c r="L49" s="4">
        <v>8905</v>
      </c>
      <c r="M49" s="10">
        <f>Tabella8[[#This Row],[Lombardy]]*NOT(ISBLANK(Tabella8[[#This Row],[Lombardy]]))</f>
        <v>8905</v>
      </c>
      <c r="N49" s="29">
        <f>Kr*EXP(-EXP(-(Tabella8[[#This Row],[Day]]-t0r)/wr))</f>
        <v>8870.0688962144559</v>
      </c>
      <c r="O49" s="10">
        <f>Tabella8[[#This Row],[Lombardy fit]]*NOT(ISBLANK(Tabella8[[#This Row],[Lombardy]]))</f>
        <v>8870.0688962144559</v>
      </c>
      <c r="P49" s="10">
        <f>Tabella8[[#This Row],[Lombardy fit]]+CIr</f>
        <v>9048.6183825576809</v>
      </c>
      <c r="Q49" s="10">
        <f>MAX(Tabella8[[#This Row],[Lombardy fit]]-CIr,0)</f>
        <v>8691.5194098712309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29">
        <f>Ko*EXP(-EXP(-(Tabella8[[#This Row],[Day]]-t0o)/wo))</f>
        <v>7011.2633750399391</v>
      </c>
      <c r="U49" s="29">
        <f>Tabella8[[#This Row],[rest of Italy fit]]*NOT(ISBLANK(Tabella8[[#This Row],[rest of Italy ]]))</f>
        <v>7011.2633750399391</v>
      </c>
      <c r="V49" s="10">
        <f>Tabella8[[#This Row],[rest of Italy fit]]+CIo</f>
        <v>7088.2319313344578</v>
      </c>
      <c r="W49" s="10">
        <f>MAX(Tabella8[[#This Row],[rest of Italy fit]]-CIo,0)</f>
        <v>6934.2948187454203</v>
      </c>
      <c r="Y49" s="2" t="s">
        <v>7</v>
      </c>
      <c r="Z49" s="1">
        <f>Critical_tt*SE_of_yt</f>
        <v>213.68370111548344</v>
      </c>
    </row>
    <row r="50" spans="2:26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16541.688901443184</v>
      </c>
      <c r="G50" s="10">
        <f>Tabella8[[#This Row],[Italy sum]]*NOT(ISBLANK(Tabella8[[#This Row],[Italy cumulative]]))</f>
        <v>16541.688901443184</v>
      </c>
      <c r="H50" s="29">
        <f>Kt*EXP(-EXP(-(Tabella8[[#This Row],[Day]]-t0t)/wt))</f>
        <v>16545.535438098745</v>
      </c>
      <c r="I50" s="10">
        <f>Tabella8[[#This Row],[Italy fit]]*NOT(ISBLANK(Tabella8[[#This Row],[Italy cumulative]]))</f>
        <v>16545.535438098745</v>
      </c>
      <c r="J50" s="10">
        <f>Tabella8[[#This Row],[Italy sum]]+CI</f>
        <v>16751.762744151249</v>
      </c>
      <c r="K50" s="10">
        <f>MAX(Tabella8[[#This Row],[Italy sum]]-CI,0)</f>
        <v>16331.61505873512</v>
      </c>
      <c r="L50" s="4">
        <v>9202</v>
      </c>
      <c r="M50" s="10">
        <f>Tabella8[[#This Row],[Lombardy]]*NOT(ISBLANK(Tabella8[[#This Row],[Lombardy]]))</f>
        <v>9202</v>
      </c>
      <c r="N50" s="29">
        <f>Kr*EXP(-EXP(-(Tabella8[[#This Row],[Day]]-t0r)/wr))</f>
        <v>9183.7557554391115</v>
      </c>
      <c r="O50" s="10">
        <f>Tabella8[[#This Row],[Lombardy fit]]*NOT(ISBLANK(Tabella8[[#This Row],[Lombardy]]))</f>
        <v>9183.7557554391115</v>
      </c>
      <c r="P50" s="10">
        <f>Tabella8[[#This Row],[Lombardy fit]]+CIr</f>
        <v>9362.3052417823365</v>
      </c>
      <c r="Q50" s="10">
        <f>MAX(Tabella8[[#This Row],[Lombardy fit]]-CIr,0)</f>
        <v>9005.2062690958865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29">
        <f>Ko*EXP(-EXP(-(Tabella8[[#This Row],[Day]]-t0o)/wo))</f>
        <v>7357.933146004073</v>
      </c>
      <c r="U50" s="29">
        <f>Tabella8[[#This Row],[rest of Italy fit]]*NOT(ISBLANK(Tabella8[[#This Row],[rest of Italy ]]))</f>
        <v>7357.933146004073</v>
      </c>
      <c r="V50" s="10">
        <f>Tabella8[[#This Row],[rest of Italy fit]]+CIo</f>
        <v>7434.9017022985918</v>
      </c>
      <c r="W50" s="10">
        <f>MAX(Tabella8[[#This Row],[rest of Italy fit]]-CIo,0)</f>
        <v>7280.9645897095543</v>
      </c>
      <c r="Y50" s="42"/>
      <c r="Z50" s="43"/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17177.754296953961</v>
      </c>
      <c r="G51" s="10">
        <f>Tabella8[[#This Row],[Italy sum]]*NOT(ISBLANK(Tabella8[[#This Row],[Italy cumulative]]))</f>
        <v>17177.754296953961</v>
      </c>
      <c r="H51" s="29">
        <f>Kt*EXP(-EXP(-(Tabella8[[#This Row],[Day]]-t0t)/wt))</f>
        <v>17178.819715427941</v>
      </c>
      <c r="I51" s="10">
        <f>Tabella8[[#This Row],[Italy fit]]*NOT(ISBLANK(Tabella8[[#This Row],[Italy cumulative]]))</f>
        <v>17178.819715427941</v>
      </c>
      <c r="J51" s="10">
        <f>Tabella8[[#This Row],[Italy sum]]+CI</f>
        <v>17387.828139662026</v>
      </c>
      <c r="K51" s="10">
        <f>MAX(Tabella8[[#This Row],[Italy sum]]-CI,0)</f>
        <v>16967.680454245896</v>
      </c>
      <c r="L51" s="4">
        <v>9484</v>
      </c>
      <c r="M51" s="10">
        <f>Tabella8[[#This Row],[Lombardy]]*NOT(ISBLANK(Tabella8[[#This Row],[Lombardy]]))</f>
        <v>9484</v>
      </c>
      <c r="N51" s="29">
        <f>Kr*EXP(-EXP(-(Tabella8[[#This Row],[Day]]-t0r)/wr))</f>
        <v>9482.6090356238965</v>
      </c>
      <c r="O51" s="10">
        <f>Tabella8[[#This Row],[Lombardy fit]]*NOT(ISBLANK(Tabella8[[#This Row],[Lombardy]]))</f>
        <v>9482.6090356238965</v>
      </c>
      <c r="P51" s="10">
        <f>Tabella8[[#This Row],[Lombardy fit]]+CIr</f>
        <v>9661.1585219671215</v>
      </c>
      <c r="Q51" s="10">
        <f>MAX(Tabella8[[#This Row],[Lombardy fit]]-CIr,0)</f>
        <v>9304.0595492806715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29">
        <f>Ko*EXP(-EXP(-(Tabella8[[#This Row],[Day]]-t0o)/wo))</f>
        <v>7695.1452613300635</v>
      </c>
      <c r="U51" s="29">
        <f>Tabella8[[#This Row],[rest of Italy fit]]*NOT(ISBLANK(Tabella8[[#This Row],[rest of Italy ]]))</f>
        <v>7695.1452613300635</v>
      </c>
      <c r="V51" s="10">
        <f>Tabella8[[#This Row],[rest of Italy fit]]+CIo</f>
        <v>7772.1138176245822</v>
      </c>
      <c r="W51" s="10">
        <f>MAX(Tabella8[[#This Row],[rest of Italy fit]]-CIo,0)</f>
        <v>7618.1767050355447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17788.653398966337</v>
      </c>
      <c r="G52" s="10">
        <f>Tabella8[[#This Row],[Italy sum]]*NOT(ISBLANK(Tabella8[[#This Row],[Italy cumulative]]))</f>
        <v>17788.653398966337</v>
      </c>
      <c r="H52" s="29">
        <f>Kt*EXP(-EXP(-(Tabella8[[#This Row],[Day]]-t0t)/wt))</f>
        <v>17786.551195907577</v>
      </c>
      <c r="I52" s="10">
        <f>Tabella8[[#This Row],[Italy fit]]*NOT(ISBLANK(Tabella8[[#This Row],[Italy cumulative]]))</f>
        <v>17786.551195907577</v>
      </c>
      <c r="J52" s="10">
        <f>Tabella8[[#This Row],[Italy sum]]+CI</f>
        <v>17998.727241674402</v>
      </c>
      <c r="K52" s="10">
        <f>MAX(Tabella8[[#This Row],[Italy sum]]-CI,0)</f>
        <v>17578.579556258272</v>
      </c>
      <c r="L52" s="4">
        <v>9722</v>
      </c>
      <c r="M52" s="10">
        <f>Tabella8[[#This Row],[Lombardy]]*NOT(ISBLANK(Tabella8[[#This Row],[Lombardy]]))</f>
        <v>9722</v>
      </c>
      <c r="N52" s="29">
        <f>Kr*EXP(-EXP(-(Tabella8[[#This Row],[Day]]-t0r)/wr))</f>
        <v>9766.5846162118996</v>
      </c>
      <c r="O52" s="10">
        <f>Tabella8[[#This Row],[Lombardy fit]]*NOT(ISBLANK(Tabella8[[#This Row],[Lombardy]]))</f>
        <v>9766.5846162118996</v>
      </c>
      <c r="P52" s="10">
        <f>Tabella8[[#This Row],[Lombardy fit]]+CIr</f>
        <v>9945.1341025551246</v>
      </c>
      <c r="Q52" s="10">
        <f>MAX(Tabella8[[#This Row],[Lombardy fit]]-CIr,0)</f>
        <v>9588.0351298686746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29">
        <f>Ko*EXP(-EXP(-(Tabella8[[#This Row],[Day]]-t0o)/wo))</f>
        <v>8022.0687827544352</v>
      </c>
      <c r="U52" s="29">
        <f>Tabella8[[#This Row],[rest of Italy fit]]*NOT(ISBLANK(Tabella8[[#This Row],[rest of Italy ]]))</f>
        <v>8022.0687827544352</v>
      </c>
      <c r="V52" s="10">
        <f>Tabella8[[#This Row],[rest of Italy fit]]+CIo</f>
        <v>8099.037339048954</v>
      </c>
      <c r="W52" s="10">
        <f>MAX(Tabella8[[#This Row],[rest of Italy fit]]-CIo,0)</f>
        <v>7945.1002264599165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18373.812448979967</v>
      </c>
      <c r="G53" s="10">
        <f>Tabella8[[#This Row],[Italy sum]]*NOT(ISBLANK(Tabella8[[#This Row],[Italy cumulative]]))</f>
        <v>18373.812448979967</v>
      </c>
      <c r="H53" s="29">
        <f>Kt*EXP(-EXP(-(Tabella8[[#This Row],[Day]]-t0t)/wt))</f>
        <v>18368.194045251388</v>
      </c>
      <c r="I53" s="10">
        <f>Tabella8[[#This Row],[Italy fit]]*NOT(ISBLANK(Tabella8[[#This Row],[Italy cumulative]]))</f>
        <v>18368.194045251388</v>
      </c>
      <c r="J53" s="10">
        <f>Tabella8[[#This Row],[Italy sum]]+CI</f>
        <v>18583.886291688032</v>
      </c>
      <c r="K53" s="10">
        <f>MAX(Tabella8[[#This Row],[Italy sum]]-CI,0)</f>
        <v>18163.738606271902</v>
      </c>
      <c r="L53" s="4">
        <v>10022</v>
      </c>
      <c r="M53" s="10">
        <f>Tabella8[[#This Row],[Lombardy]]*NOT(ISBLANK(Tabella8[[#This Row],[Lombardy]]))</f>
        <v>10022</v>
      </c>
      <c r="N53" s="29">
        <f>Kr*EXP(-EXP(-(Tabella8[[#This Row],[Day]]-t0r)/wr))</f>
        <v>10035.771975509855</v>
      </c>
      <c r="O53" s="10">
        <f>Tabella8[[#This Row],[Lombardy fit]]*NOT(ISBLANK(Tabella8[[#This Row],[Lombardy]]))</f>
        <v>10035.771975509855</v>
      </c>
      <c r="P53" s="10">
        <f>Tabella8[[#This Row],[Lombardy fit]]+CIr</f>
        <v>10214.32146185308</v>
      </c>
      <c r="Q53" s="10">
        <f>MAX(Tabella8[[#This Row],[Lombardy fit]]-CIr,0)</f>
        <v>9857.2224891666301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29">
        <f>Ko*EXP(-EXP(-(Tabella8[[#This Row],[Day]]-t0o)/wo))</f>
        <v>8338.0404734701133</v>
      </c>
      <c r="U53" s="29">
        <f>Tabella8[[#This Row],[rest of Italy fit]]*NOT(ISBLANK(Tabella8[[#This Row],[rest of Italy ]]))</f>
        <v>8338.0404734701133</v>
      </c>
      <c r="V53" s="10">
        <f>Tabella8[[#This Row],[rest of Italy fit]]+CIo</f>
        <v>8415.0090297646311</v>
      </c>
      <c r="W53" s="10">
        <f>MAX(Tabella8[[#This Row],[rest of Italy fit]]-CIo,0)</f>
        <v>8261.0719171755954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18932.926653777467</v>
      </c>
      <c r="G54" s="10">
        <f>Tabella8[[#This Row],[Italy sum]]*NOT(ISBLANK(Tabella8[[#This Row],[Italy cumulative]]))</f>
        <v>18932.926653777467</v>
      </c>
      <c r="H54" s="29">
        <f>Kt*EXP(-EXP(-(Tabella8[[#This Row],[Day]]-t0t)/wt))</f>
        <v>18923.483730336753</v>
      </c>
      <c r="I54" s="10">
        <f>Tabella8[[#This Row],[Italy fit]]*NOT(ISBLANK(Tabella8[[#This Row],[Italy cumulative]]))</f>
        <v>18923.483730336753</v>
      </c>
      <c r="J54" s="10">
        <f>Tabella8[[#This Row],[Italy sum]]+CI</f>
        <v>19143.000496485532</v>
      </c>
      <c r="K54" s="10">
        <f>MAX(Tabella8[[#This Row],[Italy sum]]-CI,0)</f>
        <v>18722.852811069402</v>
      </c>
      <c r="L54" s="4">
        <v>10238</v>
      </c>
      <c r="M54" s="10">
        <f>Tabella8[[#This Row],[Lombardy]]*NOT(ISBLANK(Tabella8[[#This Row],[Lombardy]]))</f>
        <v>10238</v>
      </c>
      <c r="N54" s="29">
        <f>Kr*EXP(-EXP(-(Tabella8[[#This Row],[Day]]-t0r)/wr))</f>
        <v>10290.373754018397</v>
      </c>
      <c r="O54" s="10">
        <f>Tabella8[[#This Row],[Lombardy fit]]*NOT(ISBLANK(Tabella8[[#This Row],[Lombardy]]))</f>
        <v>10290.373754018397</v>
      </c>
      <c r="P54" s="10">
        <f>Tabella8[[#This Row],[Lombardy fit]]+CIr</f>
        <v>10468.923240361622</v>
      </c>
      <c r="Q54" s="10">
        <f>MAX(Tabella8[[#This Row],[Lombardy fit]]-CIr,0)</f>
        <v>10111.824267675172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29">
        <f>Ko*EXP(-EXP(-(Tabella8[[#This Row],[Day]]-t0o)/wo))</f>
        <v>8642.5528997590718</v>
      </c>
      <c r="U54" s="29">
        <f>Tabella8[[#This Row],[rest of Italy fit]]*NOT(ISBLANK(Tabella8[[#This Row],[rest of Italy ]]))</f>
        <v>8642.5528997590718</v>
      </c>
      <c r="V54" s="10">
        <f>Tabella8[[#This Row],[rest of Italy fit]]+CIo</f>
        <v>8719.5214560535896</v>
      </c>
      <c r="W54" s="10">
        <f>MAX(Tabella8[[#This Row],[rest of Italy fit]]-CIo,0)</f>
        <v>8565.584343464554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19465.928166519523</v>
      </c>
      <c r="G55" s="10">
        <f>Tabella8[[#This Row],[Italy sum]]*NOT(ISBLANK(Tabella8[[#This Row],[Italy cumulative]]))</f>
        <v>19465.928166519523</v>
      </c>
      <c r="H55" s="29">
        <f>Kt*EXP(-EXP(-(Tabella8[[#This Row],[Day]]-t0t)/wt))</f>
        <v>19452.3937919087</v>
      </c>
      <c r="I55" s="10">
        <f>Tabella8[[#This Row],[Italy fit]]*NOT(ISBLANK(Tabella8[[#This Row],[Italy cumulative]]))</f>
        <v>19452.3937919087</v>
      </c>
      <c r="J55" s="10">
        <f>Tabella8[[#This Row],[Italy sum]]+CI</f>
        <v>19676.002009227588</v>
      </c>
      <c r="K55" s="10">
        <f>MAX(Tabella8[[#This Row],[Italy sum]]-CI,0)</f>
        <v>19255.854323811458</v>
      </c>
      <c r="L55" s="4">
        <v>10511</v>
      </c>
      <c r="M55" s="10">
        <f>Tabella8[[#This Row],[Lombardy]]*NOT(ISBLANK(Tabella8[[#This Row],[Lombardy]]))</f>
        <v>10511</v>
      </c>
      <c r="N55" s="29">
        <f>Kr*EXP(-EXP(-(Tabella8[[#This Row],[Day]]-t0r)/wr))</f>
        <v>10530.686744241868</v>
      </c>
      <c r="O55" s="10">
        <f>Tabella8[[#This Row],[Lombardy fit]]*NOT(ISBLANK(Tabella8[[#This Row],[Lombardy]]))</f>
        <v>10530.686744241868</v>
      </c>
      <c r="P55" s="10">
        <f>Tabella8[[#This Row],[Lombardy fit]]+CIr</f>
        <v>10709.236230585093</v>
      </c>
      <c r="Q55" s="10">
        <f>MAX(Tabella8[[#This Row],[Lombardy fit]]-CIr,0)</f>
        <v>10352.137257898643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29">
        <f>Ko*EXP(-EXP(-(Tabella8[[#This Row],[Day]]-t0o)/wo))</f>
        <v>8935.241422277657</v>
      </c>
      <c r="U55" s="29">
        <f>Tabella8[[#This Row],[rest of Italy fit]]*NOT(ISBLANK(Tabella8[[#This Row],[rest of Italy ]]))</f>
        <v>8935.241422277657</v>
      </c>
      <c r="V55" s="10">
        <f>Tabella8[[#This Row],[rest of Italy fit]]+CIo</f>
        <v>9012.2099785721748</v>
      </c>
      <c r="W55" s="10">
        <f>MAX(Tabella8[[#This Row],[rest of Italy fit]]-CIo,0)</f>
        <v>8858.2728659831391</v>
      </c>
    </row>
    <row r="56" spans="2:26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19972.95508027076</v>
      </c>
      <c r="G56" s="10">
        <f>Tabella8[[#This Row],[Italy sum]]*NOT(ISBLANK(Tabella8[[#This Row],[Italy cumulative]]))</f>
        <v>19972.95508027076</v>
      </c>
      <c r="H56" s="29">
        <f>Kt*EXP(-EXP(-(Tabella8[[#This Row],[Day]]-t0t)/wt))</f>
        <v>19955.103803078062</v>
      </c>
      <c r="I56" s="10">
        <f>Tabella8[[#This Row],[Italy fit]]*NOT(ISBLANK(Tabella8[[#This Row],[Italy cumulative]]))</f>
        <v>19955.103803078062</v>
      </c>
      <c r="J56" s="10">
        <f>Tabella8[[#This Row],[Italy sum]]+CI</f>
        <v>20183.028922978825</v>
      </c>
      <c r="K56" s="10">
        <f>MAX(Tabella8[[#This Row],[Italy sum]]-CI,0)</f>
        <v>19762.881237562695</v>
      </c>
      <c r="L56" s="4">
        <v>10621</v>
      </c>
      <c r="M56" s="10">
        <f>Tabella8[[#This Row],[Lombardy]]*NOT(ISBLANK(Tabella8[[#This Row],[Lombardy]]))</f>
        <v>10621</v>
      </c>
      <c r="N56" s="29">
        <f>Kr*EXP(-EXP(-(Tabella8[[#This Row],[Day]]-t0r)/wr))</f>
        <v>10757.084481166796</v>
      </c>
      <c r="O56" s="10">
        <f>Tabella8[[#This Row],[Lombardy fit]]*NOT(ISBLANK(Tabella8[[#This Row],[Lombardy]]))</f>
        <v>10757.084481166796</v>
      </c>
      <c r="P56" s="10">
        <f>Tabella8[[#This Row],[Lombardy fit]]+CIr</f>
        <v>10935.633967510021</v>
      </c>
      <c r="Q56" s="10">
        <f>MAX(Tabella8[[#This Row],[Lombardy fit]]-CIr,0)</f>
        <v>10578.534994823571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29">
        <f>Ko*EXP(-EXP(-(Tabella8[[#This Row],[Day]]-t0o)/wo))</f>
        <v>9215.8705991039624</v>
      </c>
      <c r="U56" s="29">
        <f>Tabella8[[#This Row],[rest of Italy fit]]*NOT(ISBLANK(Tabella8[[#This Row],[rest of Italy ]]))</f>
        <v>9215.8705991039624</v>
      </c>
      <c r="V56" s="10">
        <f>Tabella8[[#This Row],[rest of Italy fit]]+CIo</f>
        <v>9292.8391553984802</v>
      </c>
      <c r="W56" s="10">
        <f>MAX(Tabella8[[#This Row],[rest of Italy fit]]-CIo,0)</f>
        <v>9138.9020428094445</v>
      </c>
    </row>
    <row r="57" spans="2:26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20454.321950732621</v>
      </c>
      <c r="G57" s="10">
        <f>Tabella8[[#This Row],[Italy sum]]*NOT(ISBLANK(Tabella8[[#This Row],[Italy cumulative]]))</f>
        <v>20454.321950732621</v>
      </c>
      <c r="H57" s="29">
        <f>Kt*EXP(-EXP(-(Tabella8[[#This Row],[Day]]-t0t)/wt))</f>
        <v>20431.969031431032</v>
      </c>
      <c r="I57" s="10">
        <f>Tabella8[[#This Row],[Italy fit]]*NOT(ISBLANK(Tabella8[[#This Row],[Italy cumulative]]))</f>
        <v>20431.969031431032</v>
      </c>
      <c r="J57" s="10">
        <f>Tabella8[[#This Row],[Italy sum]]+CI</f>
        <v>20664.395793440686</v>
      </c>
      <c r="K57" s="10">
        <f>MAX(Tabella8[[#This Row],[Italy sum]]-CI,0)</f>
        <v>20244.248108024556</v>
      </c>
      <c r="L57" s="4">
        <v>10901</v>
      </c>
      <c r="M57" s="10">
        <f>Tabella8[[#This Row],[Lombardy]]*NOT(ISBLANK(Tabella8[[#This Row],[Lombardy]]))</f>
        <v>10901</v>
      </c>
      <c r="N57" s="29">
        <f>Kr*EXP(-EXP(-(Tabella8[[#This Row],[Day]]-t0r)/wr))</f>
        <v>10970.001519543579</v>
      </c>
      <c r="O57" s="10">
        <f>Tabella8[[#This Row],[Lombardy fit]]*NOT(ISBLANK(Tabella8[[#This Row],[Lombardy]]))</f>
        <v>10970.001519543579</v>
      </c>
      <c r="P57" s="10">
        <f>Tabella8[[#This Row],[Lombardy fit]]+CIr</f>
        <v>11148.551005886804</v>
      </c>
      <c r="Q57" s="10">
        <f>MAX(Tabella8[[#This Row],[Lombardy fit]]-CIr,0)</f>
        <v>10791.452033200354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29">
        <f>Ko*EXP(-EXP(-(Tabella8[[#This Row],[Day]]-t0o)/wo))</f>
        <v>9484.320431189044</v>
      </c>
      <c r="U57" s="29">
        <f>Tabella8[[#This Row],[rest of Italy fit]]*NOT(ISBLANK(Tabella8[[#This Row],[rest of Italy ]]))</f>
        <v>9484.320431189044</v>
      </c>
      <c r="V57" s="10">
        <f>Tabella8[[#This Row],[rest of Italy fit]]+CIo</f>
        <v>9561.2889874835619</v>
      </c>
      <c r="W57" s="10">
        <f>MAX(Tabella8[[#This Row],[rest of Italy fit]]-CIo,0)</f>
        <v>9407.3518748945262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20910.492210415465</v>
      </c>
      <c r="G58" s="10">
        <f>Tabella8[[#This Row],[Italy sum]]*NOT(ISBLANK(Tabella8[[#This Row],[Italy cumulative]]))</f>
        <v>0</v>
      </c>
      <c r="H58" s="29">
        <f>Kt*EXP(-EXP(-(Tabella8[[#This Row],[Day]]-t0t)/wt))</f>
        <v>20883.492160555707</v>
      </c>
      <c r="I58" s="10">
        <f>Tabella8[[#This Row],[Italy fit]]*NOT(ISBLANK(Tabella8[[#This Row],[Italy cumulative]]))</f>
        <v>0</v>
      </c>
      <c r="J58" s="10"/>
      <c r="K58" s="10"/>
      <c r="M58" s="10">
        <f>Tabella8[[#This Row],[Lombardy]]*NOT(ISBLANK(Tabella8[[#This Row],[Lombardy]]))</f>
        <v>0</v>
      </c>
      <c r="N58" s="29">
        <f>Kr*EXP(-EXP(-(Tabella8[[#This Row],[Day]]-t0r)/wr))</f>
        <v>11169.919415273589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29">
        <f>Ko*EXP(-EXP(-(Tabella8[[#This Row],[Day]]-t0o)/wo))</f>
        <v>9740.5727951418758</v>
      </c>
      <c r="U58" s="29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21342.052706676281</v>
      </c>
      <c r="G59" s="10">
        <f>Tabella8[[#This Row],[Italy sum]]*NOT(ISBLANK(Tabella8[[#This Row],[Italy cumulative]]))</f>
        <v>0</v>
      </c>
      <c r="H59" s="29">
        <f>Kt*EXP(-EXP(-(Tabella8[[#This Row],[Day]]-t0t)/wt))</f>
        <v>21310.297291758696</v>
      </c>
      <c r="I59" s="10">
        <f>Tabella8[[#This Row],[Italy fit]]*NOT(ISBLANK(Tabella8[[#This Row],[Italy cumulative]]))</f>
        <v>0</v>
      </c>
      <c r="J59" s="10"/>
      <c r="K59" s="10"/>
      <c r="M59" s="10">
        <f>Tabella8[[#This Row],[Lombardy]]*NOT(ISBLANK(Tabella8[[#This Row],[Lombardy]]))</f>
        <v>0</v>
      </c>
      <c r="N59" s="29">
        <f>Kr*EXP(-EXP(-(Tabella8[[#This Row],[Day]]-t0r)/wr))</f>
        <v>11357.354376181407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29">
        <f>Ko*EXP(-EXP(-(Tabella8[[#This Row],[Day]]-t0o)/wo))</f>
        <v>9984.6983304948735</v>
      </c>
      <c r="U59" s="29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21749.690489645494</v>
      </c>
      <c r="G60" s="10">
        <f>Tabella8[[#This Row],[Italy sum]]*NOT(ISBLANK(Tabella8[[#This Row],[Italy cumulative]]))</f>
        <v>0</v>
      </c>
      <c r="H60" s="29">
        <f>Kt*EXP(-EXP(-(Tabella8[[#This Row],[Day]]-t0t)/wt))</f>
        <v>21713.106337005054</v>
      </c>
      <c r="I60" s="10">
        <f>Tabella8[[#This Row],[Italy fit]]*NOT(ISBLANK(Tabella8[[#This Row],[Italy cumulative]]))</f>
        <v>0</v>
      </c>
      <c r="J60" s="10"/>
      <c r="K60" s="10"/>
      <c r="M60" s="10">
        <f>Tabella8[[#This Row],[Lombardy]]*NOT(ISBLANK(Tabella8[[#This Row],[Lombardy]]))</f>
        <v>0</v>
      </c>
      <c r="N60" s="29">
        <f>Kr*EXP(-EXP(-(Tabella8[[#This Row],[Day]]-t0r)/wr))</f>
        <v>11532.846509729623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29">
        <f>Ko*EXP(-EXP(-(Tabella8[[#This Row],[Day]]-t0o)/wo))</f>
        <v>10216.843979915871</v>
      </c>
      <c r="U60" s="29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22134.171891038735</v>
      </c>
      <c r="G61" s="10">
        <f>Tabella8[[#This Row],[Italy sum]]*NOT(ISBLANK(Tabella8[[#This Row],[Italy cumulative]]))</f>
        <v>0</v>
      </c>
      <c r="H61" s="29">
        <f>Kt*EXP(-EXP(-(Tabella8[[#This Row],[Day]]-t0t)/wt))</f>
        <v>22092.717827283377</v>
      </c>
      <c r="I61" s="10">
        <f>Tabella8[[#This Row],[Italy fit]]*NOT(ISBLANK(Tabella8[[#This Row],[Italy cumulative]]))</f>
        <v>0</v>
      </c>
      <c r="J61" s="10"/>
      <c r="K61" s="10"/>
      <c r="M61" s="10">
        <f>Tabella8[[#This Row],[Lombardy]]*NOT(ISBLANK(Tabella8[[#This Row],[Lombardy]]))</f>
        <v>0</v>
      </c>
      <c r="N61" s="29">
        <f>Kr*EXP(-EXP(-(Tabella8[[#This Row],[Day]]-t0r)/wr))</f>
        <v>11696.950569374603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29">
        <f>Ko*EXP(-EXP(-(Tabella8[[#This Row],[Day]]-t0o)/wo))</f>
        <v>10437.221321664132</v>
      </c>
      <c r="U61" s="29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22496.323868798216</v>
      </c>
      <c r="G62" s="10">
        <f>Tabella8[[#This Row],[Italy sum]]*NOT(ISBLANK(Tabella8[[#This Row],[Italy cumulative]]))</f>
        <v>0</v>
      </c>
      <c r="H62" s="29">
        <f>Kt*EXP(-EXP(-(Tabella8[[#This Row],[Day]]-t0t)/wt))</f>
        <v>22449.98809393464</v>
      </c>
      <c r="I62" s="10">
        <f>Tabella8[[#This Row],[Italy fit]]*NOT(ISBLANK(Tabella8[[#This Row],[Italy cumulative]]))</f>
        <v>0</v>
      </c>
      <c r="J62" s="10"/>
      <c r="K62" s="10"/>
      <c r="M62" s="10">
        <f>Tabella8[[#This Row],[Lombardy]]*NOT(ISBLANK(Tabella8[[#This Row],[Lombardy]]))</f>
        <v>0</v>
      </c>
      <c r="N62" s="29">
        <f>Kr*EXP(-EXP(-(Tabella8[[#This Row],[Day]]-t0r)/wr))</f>
        <v>11850.228085009712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29">
        <f>Ko*EXP(-EXP(-(Tabella8[[#This Row],[Day]]-t0o)/wo))</f>
        <v>10646.095783788502</v>
      </c>
      <c r="U62" s="29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22837.017542892609</v>
      </c>
      <c r="G63" s="10">
        <f>Tabella8[[#This Row],[Italy sum]]*NOT(ISBLANK(Tabella8[[#This Row],[Italy cumulative]]))</f>
        <v>0</v>
      </c>
      <c r="H63" s="29">
        <f>Kt*EXP(-EXP(-(Tabella8[[#This Row],[Day]]-t0t)/wt))</f>
        <v>22785.814731143862</v>
      </c>
      <c r="I63" s="10">
        <f>Tabella8[[#This Row],[Italy fit]]*NOT(ISBLANK(Tabella8[[#This Row],[Italy cumulative]]))</f>
        <v>0</v>
      </c>
      <c r="J63" s="10"/>
      <c r="K63" s="10"/>
      <c r="M63" s="10">
        <f>Tabella8[[#This Row],[Lombardy]]*NOT(ISBLANK(Tabella8[[#This Row],[Lombardy]]))</f>
        <v>0</v>
      </c>
      <c r="N63" s="29">
        <f>Kr*EXP(-EXP(-(Tabella8[[#This Row],[Day]]-t0r)/wr))</f>
        <v>11993.240754281633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29">
        <f>Ko*EXP(-EXP(-(Tabella8[[#This Row],[Day]]-t0o)/wo))</f>
        <v>10843.776788610974</v>
      </c>
      <c r="U63" s="29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23157.153811911325</v>
      </c>
      <c r="G64" s="10">
        <f>Tabella8[[#This Row],[Italy sum]]*NOT(ISBLANK(Tabella8[[#This Row],[Italy cumulative]]))</f>
        <v>0</v>
      </c>
      <c r="H64" s="29">
        <f>Kt*EXP(-EXP(-(Tabella8[[#This Row],[Day]]-t0t)/wt))</f>
        <v>23101.122213002523</v>
      </c>
      <c r="I64" s="10">
        <f>Tabella8[[#This Row],[Italy fit]]*NOT(ISBLANK(Tabella8[[#This Row],[Italy cumulative]]))</f>
        <v>0</v>
      </c>
      <c r="J64" s="10"/>
      <c r="K64" s="10"/>
      <c r="M64" s="10">
        <f>Tabella8[[#This Row],[Lombardy]]*NOT(ISBLANK(Tabella8[[#This Row],[Lombardy]]))</f>
        <v>0</v>
      </c>
      <c r="N64" s="29">
        <f>Kr*EXP(-EXP(-(Tabella8[[#This Row],[Day]]-t0r)/wr))</f>
        <v>12126.544968746239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29">
        <f>Ko*EXP(-EXP(-(Tabella8[[#This Row],[Day]]-t0o)/wo))</f>
        <v>11030.608843165088</v>
      </c>
      <c r="U64" s="29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23457.650915944036</v>
      </c>
      <c r="G65" s="10">
        <f>Tabella8[[#This Row],[Italy sum]]*NOT(ISBLANK(Tabella8[[#This Row],[Italy cumulative]]))</f>
        <v>0</v>
      </c>
      <c r="H65" s="29">
        <f>Kt*EXP(-EXP(-(Tabella8[[#This Row],[Day]]-t0t)/wt))</f>
        <v>23396.849515716112</v>
      </c>
      <c r="I65" s="10">
        <f>Tabella8[[#This Row],[Italy fit]]*NOT(ISBLANK(Tabella8[[#This Row],[Italy cumulative]]))</f>
        <v>0</v>
      </c>
      <c r="J65" s="10"/>
      <c r="K65" s="10"/>
      <c r="M65" s="10">
        <f>Tabella8[[#This Row],[Lombardy]]*NOT(ISBLANK(Tabella8[[#This Row],[Lombardy]]))</f>
        <v>0</v>
      </c>
      <c r="N65" s="29">
        <f>Kr*EXP(-EXP(-(Tabella8[[#This Row],[Day]]-t0r)/wr))</f>
        <v>12250.687350371532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29">
        <f>Ko*EXP(-EXP(-(Tabella8[[#This Row],[Day]]-t0o)/wo))</f>
        <v>11206.963565572503</v>
      </c>
      <c r="U65" s="29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23739.433796470432</v>
      </c>
      <c r="G66" s="10">
        <f>Tabella8[[#This Row],[Italy sum]]*NOT(ISBLANK(Tabella8[[#This Row],[Italy cumulative]]))</f>
        <v>0</v>
      </c>
      <c r="H66" s="29">
        <f>Kt*EXP(-EXP(-(Tabella8[[#This Row],[Day]]-t0t)/wt))</f>
        <v>23673.939582312934</v>
      </c>
      <c r="I66" s="10">
        <f>Tabella8[[#This Row],[Italy fit]]*NOT(ISBLANK(Tabella8[[#This Row],[Italy cumulative]]))</f>
        <v>0</v>
      </c>
      <c r="J66" s="10"/>
      <c r="K66" s="10"/>
      <c r="M66" s="10">
        <f>Tabella8[[#This Row],[Lombardy]]*NOT(ISBLANK(Tabella8[[#This Row],[Lombardy]]))</f>
        <v>0</v>
      </c>
      <c r="N66" s="29">
        <f>Kr*EXP(-EXP(-(Tabella8[[#This Row],[Day]]-t0r)/wr))</f>
        <v>12366.201178569814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29">
        <f>Ko*EXP(-EXP(-(Tabella8[[#This Row],[Day]]-t0o)/wo))</f>
        <v>11373.232617900616</v>
      </c>
      <c r="U66" s="29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24003.42509667277</v>
      </c>
      <c r="G67" s="10">
        <f>Tabella8[[#This Row],[Italy sum]]*NOT(ISBLANK(Tabella8[[#This Row],[Italy cumulative]]))</f>
        <v>0</v>
      </c>
      <c r="H67" s="29">
        <f>Kt*EXP(-EXP(-(Tabella8[[#This Row],[Day]]-t0t)/wt))</f>
        <v>23933.330461548951</v>
      </c>
      <c r="I67" s="10">
        <f>Tabella8[[#This Row],[Italy fit]]*NOT(ISBLANK(Tabella8[[#This Row],[Italy cumulative]]))</f>
        <v>0</v>
      </c>
      <c r="J67" s="10"/>
      <c r="K67" s="10"/>
      <c r="M67" s="10">
        <f>Tabella8[[#This Row],[Lombardy]]*NOT(ISBLANK(Tabella8[[#This Row],[Lombardy]]))</f>
        <v>0</v>
      </c>
      <c r="N67" s="29">
        <f>Kr*EXP(-EXP(-(Tabella8[[#This Row],[Day]]-t0r)/wr))</f>
        <v>12473.603594754932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29">
        <f>Ko*EXP(-EXP(-(Tabella8[[#This Row],[Day]]-t0o)/wo))</f>
        <v>11529.821501917839</v>
      </c>
      <c r="U67" s="29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si="0"/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24250.537644051888</v>
      </c>
      <c r="G68" s="10">
        <f>Tabella8[[#This Row],[Italy sum]]*NOT(ISBLANK(Tabella8[[#This Row],[Italy cumulative]]))</f>
        <v>0</v>
      </c>
      <c r="H68" s="29">
        <f>Kt*EXP(-EXP(-(Tabella8[[#This Row],[Day]]-t0t)/wt))</f>
        <v>24175.947952827501</v>
      </c>
      <c r="I68" s="10">
        <f>Tabella8[[#This Row],[Italy fit]]*NOT(ISBLANK(Tabella8[[#This Row],[Italy cumulative]]))</f>
        <v>0</v>
      </c>
      <c r="J68" s="10"/>
      <c r="K68" s="10"/>
      <c r="M68" s="10">
        <f>Tabella8[[#This Row],[Lombardy]]*NOT(ISBLANK(Tabella8[[#This Row],[Lombardy]]))</f>
        <v>0</v>
      </c>
      <c r="N68" s="29">
        <f>Kr*EXP(-EXP(-(Tabella8[[#This Row],[Day]]-t0r)/wr))</f>
        <v>12573.393479583379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29">
        <f>Ko*EXP(-EXP(-(Tabella8[[#This Row],[Day]]-t0o)/wo))</f>
        <v>11677.144164468509</v>
      </c>
      <c r="U68" s="29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0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24481.668260054943</v>
      </c>
      <c r="G69" s="10">
        <f>Tabella8[[#This Row],[Italy sum]]*NOT(ISBLANK(Tabella8[[#This Row],[Italy cumulative]]))</f>
        <v>0</v>
      </c>
      <c r="H69" s="29">
        <f>Kt*EXP(-EXP(-(Tabella8[[#This Row],[Day]]-t0t)/wt))</f>
        <v>24402.699593371224</v>
      </c>
      <c r="I69" s="10">
        <f>Tabella8[[#This Row],[Italy fit]]*NOT(ISBLANK(Tabella8[[#This Row],[Italy cumulative]]))</f>
        <v>0</v>
      </c>
      <c r="J69" s="10"/>
      <c r="K69" s="10"/>
      <c r="M69" s="10">
        <f>Tabella8[[#This Row],[Lombardy]]*NOT(ISBLANK(Tabella8[[#This Row],[Lombardy]]))</f>
        <v>0</v>
      </c>
      <c r="N69" s="29">
        <f>Kr*EXP(-EXP(-(Tabella8[[#This Row],[Day]]-t0r)/wr))</f>
        <v>12666.049906936771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29">
        <f>Ko*EXP(-EXP(-(Tabella8[[#This Row],[Day]]-t0o)/wo))</f>
        <v>11815.618353118172</v>
      </c>
      <c r="U69" s="29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0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24697.692747422981</v>
      </c>
      <c r="G70" s="10">
        <f>Tabella8[[#This Row],[Italy sum]]*NOT(ISBLANK(Tabella8[[#This Row],[Italy cumulative]]))</f>
        <v>0</v>
      </c>
      <c r="H70" s="29">
        <f>Kt*EXP(-EXP(-(Tabella8[[#This Row],[Day]]-t0t)/wt))</f>
        <v>24614.469831363578</v>
      </c>
      <c r="I70" s="10">
        <f>Tabella8[[#This Row],[Italy fit]]*NOT(ISBLANK(Tabella8[[#This Row],[Italy cumulative]]))</f>
        <v>0</v>
      </c>
      <c r="J70" s="10"/>
      <c r="K70" s="10"/>
      <c r="M70" s="10">
        <f>Tabella8[[#This Row],[Lombardy]]*NOT(ISBLANK(Tabella8[[#This Row],[Lombardy]]))</f>
        <v>0</v>
      </c>
      <c r="N70" s="29">
        <f>Kr*EXP(-EXP(-(Tabella8[[#This Row],[Day]]-t0r)/wr))</f>
        <v>12752.031087872436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29">
        <f>Ko*EXP(-EXP(-(Tabella8[[#This Row],[Day]]-t0o)/wo))</f>
        <v>11945.661659550547</v>
      </c>
      <c r="U70" s="29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0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24899.461914166437</v>
      </c>
      <c r="G71" s="10">
        <f>Tabella8[[#This Row],[Italy sum]]*NOT(ISBLANK(Tabella8[[#This Row],[Italy cumulative]]))</f>
        <v>0</v>
      </c>
      <c r="H71" s="29">
        <f>Kt*EXP(-EXP(-(Tabella8[[#This Row],[Day]]-t0t)/wt))</f>
        <v>24812.116238319359</v>
      </c>
      <c r="I71" s="10">
        <f>Tabella8[[#This Row],[Italy fit]]*NOT(ISBLANK(Tabella8[[#This Row],[Italy cumulative]]))</f>
        <v>0</v>
      </c>
      <c r="J71" s="10"/>
      <c r="K71" s="10"/>
      <c r="M71" s="10">
        <f>Tabella8[[#This Row],[Lombardy]]*NOT(ISBLANK(Tabella8[[#This Row],[Lombardy]]))</f>
        <v>0</v>
      </c>
      <c r="N71" s="29">
        <f>Kr*EXP(-EXP(-(Tabella8[[#This Row],[Day]]-t0r)/wr))</f>
        <v>12831.773726865969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29">
        <f>Ko*EXP(-EXP(-(Tabella8[[#This Row],[Day]]-t0o)/wo))</f>
        <v>12067.688187300468</v>
      </c>
      <c r="U71" s="29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0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25087.79850269392</v>
      </c>
      <c r="G72" s="10">
        <f>Tabella8[[#This Row],[Italy sum]]*NOT(ISBLANK(Tabella8[[#This Row],[Italy cumulative]]))</f>
        <v>0</v>
      </c>
      <c r="H72" s="29">
        <f>Kt*EXP(-EXP(-(Tabella8[[#This Row],[Day]]-t0t)/wt))</f>
        <v>24996.466624751105</v>
      </c>
      <c r="I72" s="10">
        <f>Tabella8[[#This Row],[Italy fit]]*NOT(ISBLANK(Tabella8[[#This Row],[Italy cumulative]]))</f>
        <v>0</v>
      </c>
      <c r="J72" s="10"/>
      <c r="K72" s="10"/>
      <c r="M72" s="10">
        <f>Tabella8[[#This Row],[Lombardy]]*NOT(ISBLANK(Tabella8[[#This Row],[Lombardy]]))</f>
        <v>0</v>
      </c>
      <c r="N72" s="29">
        <f>Kr*EXP(-EXP(-(Tabella8[[#This Row],[Day]]-t0r)/wr))</f>
        <v>12905.692721450512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29">
        <f>Ko*EXP(-EXP(-(Tabella8[[#This Row],[Day]]-t0o)/wo))</f>
        <v>12182.10578124341</v>
      </c>
      <c r="U72" s="29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0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25263.494903036921</v>
      </c>
      <c r="G73" s="10">
        <f>Tabella8[[#This Row],[Italy sum]]*NOT(ISBLANK(Tabella8[[#This Row],[Italy cumulative]]))</f>
        <v>0</v>
      </c>
      <c r="H73" s="29">
        <f>Kt*EXP(-EXP(-(Tabella8[[#This Row],[Day]]-t0t)/wt))</f>
        <v>25168.316934651255</v>
      </c>
      <c r="I73" s="10">
        <f>Tabella8[[#This Row],[Italy fit]]*NOT(ISBLANK(Tabella8[[#This Row],[Italy cumulative]]))</f>
        <v>0</v>
      </c>
      <c r="J73" s="10"/>
      <c r="K73" s="10"/>
      <c r="M73" s="10">
        <f>Tabella8[[#This Row],[Lombardy]]*NOT(ISBLANK(Tabella8[[#This Row],[Lombardy]]))</f>
        <v>0</v>
      </c>
      <c r="N73" s="29">
        <f>Kr*EXP(-EXP(-(Tabella8[[#This Row],[Day]]-t0r)/wr))</f>
        <v>12974.181144657654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29">
        <f>Ko*EXP(-EXP(-(Tabella8[[#This Row],[Day]]-t0o)/wo))</f>
        <v>12289.313758379267</v>
      </c>
      <c r="U73" s="29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ref="C74:C78" si="1">C73+1</f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25427.311539852213</v>
      </c>
      <c r="G74" s="10">
        <f>Tabella8[[#This Row],[Italy sum]]*NOT(ISBLANK(Tabella8[[#This Row],[Italy cumulative]]))</f>
        <v>0</v>
      </c>
      <c r="H74" s="29">
        <f>Kt*EXP(-EXP(-(Tabella8[[#This Row],[Day]]-t0t)/wt))</f>
        <v>25328.429805934582</v>
      </c>
      <c r="I74" s="10">
        <f>Tabella8[[#This Row],[Italy fit]]*NOT(ISBLANK(Tabella8[[#This Row],[Italy cumulative]]))</f>
        <v>0</v>
      </c>
      <c r="J74" s="10"/>
      <c r="K74" s="10"/>
      <c r="M74" s="10">
        <f>Tabella8[[#This Row],[Lombardy]]*NOT(ISBLANK(Tabella8[[#This Row],[Lombardy]]))</f>
        <v>0</v>
      </c>
      <c r="N74" s="29">
        <f>Kr*EXP(-EXP(-(Tabella8[[#This Row],[Day]]-t0r)/wr))</f>
        <v>13037.610457380744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29">
        <f>Ko*EXP(-EXP(-(Tabella8[[#This Row],[Day]]-t0o)/wo))</f>
        <v>12389.701082471469</v>
      </c>
      <c r="U74" s="29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25579.975833585413</v>
      </c>
      <c r="G75" s="10">
        <f>Tabella8[[#This Row],[Italy sum]]*NOT(ISBLANK(Tabella8[[#This Row],[Italy cumulative]]))</f>
        <v>0</v>
      </c>
      <c r="H75" s="29">
        <f>Kt*EXP(-EXP(-(Tabella8[[#This Row],[Day]]-t0t)/wt))</f>
        <v>25477.533695431292</v>
      </c>
      <c r="I75" s="10">
        <f>Tabella8[[#This Row],[Italy fit]]*NOT(ISBLANK(Tabella8[[#This Row],[Italy cumulative]]))</f>
        <v>0</v>
      </c>
      <c r="J75" s="10"/>
      <c r="K75" s="10"/>
      <c r="M75" s="10">
        <f>Tabella8[[#This Row],[Lombardy]]*NOT(ISBLANK(Tabella8[[#This Row],[Lombardy]]))</f>
        <v>0</v>
      </c>
      <c r="N75" s="29">
        <f>Kr*EXP(-EXP(-(Tabella8[[#This Row],[Day]]-t0r)/wr))</f>
        <v>13096.330904856668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29">
        <f>Ko*EXP(-EXP(-(Tabella8[[#This Row],[Day]]-t0o)/wo))</f>
        <v>12483.644928728747</v>
      </c>
      <c r="U75" s="29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25722.181646579396</v>
      </c>
      <c r="G76" s="10">
        <f>Tabella8[[#This Row],[Italy sum]]*NOT(ISBLANK(Tabella8[[#This Row],[Italy cumulative]]))</f>
        <v>0</v>
      </c>
      <c r="H76" s="29">
        <f>Kt*EXP(-EXP(-(Tabella8[[#This Row],[Day]]-t0t)/wt))</f>
        <v>25616.322478036789</v>
      </c>
      <c r="I76" s="10">
        <f>Tabella8[[#This Row],[Italy fit]]*NOT(ISBLANK(Tabella8[[#This Row],[Italy cumulative]]))</f>
        <v>0</v>
      </c>
      <c r="J76" s="10"/>
      <c r="K76" s="10"/>
      <c r="M76" s="10">
        <f>Tabella8[[#This Row],[Lombardy]]*NOT(ISBLANK(Tabella8[[#This Row],[Lombardy]]))</f>
        <v>0</v>
      </c>
      <c r="N76" s="29">
        <f>Kr*EXP(-EXP(-(Tabella8[[#This Row],[Day]]-t0r)/wr))</f>
        <v>13150.672057876076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29">
        <f>Ko*EXP(-EXP(-(Tabella8[[#This Row],[Day]]-t0o)/wo))</f>
        <v>12571.509588703322</v>
      </c>
      <c r="U76" s="29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25854.589134825335</v>
      </c>
      <c r="G77" s="10">
        <f>Tabella8[[#This Row],[Italy sum]]*NOT(ISBLANK(Tabella8[[#This Row],[Italy cumulative]]))</f>
        <v>0</v>
      </c>
      <c r="H77" s="29">
        <f>Kt*EXP(-EXP(-(Tabella8[[#This Row],[Day]]-t0t)/wt))</f>
        <v>25745.455440038262</v>
      </c>
      <c r="I77" s="10">
        <f>Tabella8[[#This Row],[Italy fit]]*NOT(ISBLANK(Tabella8[[#This Row],[Italy cumulative]]))</f>
        <v>0</v>
      </c>
      <c r="J77" s="10"/>
      <c r="K77" s="10"/>
      <c r="M77" s="10">
        <f>Tabella8[[#This Row],[Lombardy]]*NOT(ISBLANK(Tabella8[[#This Row],[Lombardy]]))</f>
        <v>0</v>
      </c>
      <c r="N77" s="29">
        <f>Kr*EXP(-EXP(-(Tabella8[[#This Row],[Day]]-t0r)/wr))</f>
        <v>13200.943465088909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29">
        <f>Ko*EXP(-EXP(-(Tabella8[[#This Row],[Day]]-t0o)/wo))</f>
        <v>12653.645669736426</v>
      </c>
      <c r="U77" s="29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25977.824935359728</v>
      </c>
      <c r="G78" s="10">
        <f>Tabella8[[#This Row],[Italy sum]]*NOT(ISBLANK(Tabella8[[#This Row],[Italy cumulative]]))</f>
        <v>0</v>
      </c>
      <c r="H78" s="29">
        <f>Kt*EXP(-EXP(-(Tabella8[[#This Row],[Day]]-t0t)/wt))</f>
        <v>25865.557596342333</v>
      </c>
      <c r="I78" s="10">
        <f>Tabella8[[#This Row],[Italy fit]]*NOT(ISBLANK(Tabella8[[#This Row],[Italy cumulative]]))</f>
        <v>0</v>
      </c>
      <c r="J78" s="10"/>
      <c r="K78" s="10"/>
      <c r="M78" s="10">
        <f>Tabella8[[#This Row],[Lombardy]]*NOT(ISBLANK(Tabella8[[#This Row],[Lombardy]]))</f>
        <v>0</v>
      </c>
      <c r="N78" s="29">
        <f>Kr*EXP(-EXP(-(Tabella8[[#This Row],[Day]]-t0r)/wr))</f>
        <v>13247.435387894844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29">
        <f>Ko*EXP(-EXP(-(Tabella8[[#This Row],[Day]]-t0o)/wo))</f>
        <v>12730.389547464883</v>
      </c>
      <c r="U78" s="29">
        <f>Tabella8[[#This Row],[rest of Italy fit]]*NOT(ISBLANK(Tabella8[[#This Row],[rest of Italy ]]))</f>
        <v>0</v>
      </c>
    </row>
  </sheetData>
  <mergeCells count="7">
    <mergeCell ref="B2:I2"/>
    <mergeCell ref="H3:I6"/>
    <mergeCell ref="AB3:AF3"/>
    <mergeCell ref="B4:G4"/>
    <mergeCell ref="AB4:AF4"/>
    <mergeCell ref="B5:G5"/>
    <mergeCell ref="AB5:AF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S78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89" t="s">
        <v>12</v>
      </c>
      <c r="C2" s="89"/>
      <c r="D2" s="89"/>
      <c r="E2" s="89"/>
      <c r="F2" s="89"/>
    </row>
    <row r="3" spans="2:45" ht="17.399999999999999" customHeight="1" thickBot="1" x14ac:dyDescent="0.65">
      <c r="B3" s="11"/>
      <c r="F3" s="90"/>
      <c r="AG3" s="85" t="s">
        <v>0</v>
      </c>
      <c r="AH3" s="91" t="s">
        <v>130</v>
      </c>
      <c r="AI3" s="91"/>
      <c r="AJ3" s="91"/>
      <c r="AK3" s="91"/>
      <c r="AL3" s="91"/>
    </row>
    <row r="4" spans="2:45" ht="20.399999999999999" thickBot="1" x14ac:dyDescent="0.45">
      <c r="B4" s="92" t="s">
        <v>149</v>
      </c>
      <c r="C4" s="92"/>
      <c r="D4" s="92"/>
      <c r="E4" s="92"/>
      <c r="F4" s="90"/>
      <c r="AG4" s="85" t="s">
        <v>131</v>
      </c>
      <c r="AH4" s="91" t="s">
        <v>130</v>
      </c>
      <c r="AI4" s="91"/>
      <c r="AJ4" s="91"/>
      <c r="AK4" s="91"/>
      <c r="AL4" s="91"/>
    </row>
    <row r="5" spans="2:45" ht="18.600000000000001" thickTop="1" thickBot="1" x14ac:dyDescent="0.4">
      <c r="B5" s="93" t="s">
        <v>150</v>
      </c>
      <c r="C5" s="93"/>
      <c r="D5" s="93"/>
      <c r="E5" s="93"/>
      <c r="F5" s="90"/>
      <c r="AG5" s="85" t="s">
        <v>1</v>
      </c>
      <c r="AH5" s="94" t="s">
        <v>130</v>
      </c>
      <c r="AI5" s="94"/>
      <c r="AJ5" s="94"/>
      <c r="AK5" s="94"/>
      <c r="AL5" s="94"/>
    </row>
    <row r="6" spans="2:45" ht="19.2" thickTop="1" thickBot="1" x14ac:dyDescent="0.4">
      <c r="B6" s="44"/>
      <c r="C6" s="44"/>
      <c r="D6" s="44"/>
      <c r="E6" s="44"/>
      <c r="F6" s="90"/>
      <c r="AG6" s="16"/>
      <c r="AH6" s="15"/>
      <c r="AI6" s="12"/>
      <c r="AJ6" s="12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140</v>
      </c>
      <c r="F7" s="4" t="s">
        <v>115</v>
      </c>
      <c r="G7" s="8" t="s">
        <v>101</v>
      </c>
      <c r="H7" s="8" t="s">
        <v>132</v>
      </c>
      <c r="I7" s="8" t="s">
        <v>88</v>
      </c>
      <c r="J7" s="8" t="s">
        <v>116</v>
      </c>
      <c r="K7" s="8" t="s">
        <v>141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117</v>
      </c>
      <c r="Q7" s="8" t="s">
        <v>106</v>
      </c>
      <c r="R7" s="8" t="s">
        <v>133</v>
      </c>
      <c r="S7" s="4" t="s">
        <v>142</v>
      </c>
      <c r="T7" s="8" t="s">
        <v>111</v>
      </c>
      <c r="U7" s="8" t="s">
        <v>112</v>
      </c>
      <c r="V7" s="4" t="s">
        <v>107</v>
      </c>
      <c r="W7" s="4" t="s">
        <v>138</v>
      </c>
      <c r="X7" s="4" t="s">
        <v>143</v>
      </c>
      <c r="Y7" s="8" t="s">
        <v>108</v>
      </c>
      <c r="Z7" s="8" t="s">
        <v>135</v>
      </c>
      <c r="AA7" s="4" t="s">
        <v>144</v>
      </c>
      <c r="AB7" s="8" t="s">
        <v>109</v>
      </c>
      <c r="AC7" s="8" t="s">
        <v>110</v>
      </c>
      <c r="AD7" s="8"/>
      <c r="AE7" s="45" t="s">
        <v>136</v>
      </c>
      <c r="AF7" s="28" t="s">
        <v>132</v>
      </c>
      <c r="AG7" s="3"/>
      <c r="AS7" s="72" t="s">
        <v>114</v>
      </c>
    </row>
    <row r="8" spans="2:45" x14ac:dyDescent="0.3">
      <c r="B8" s="18">
        <v>43885</v>
      </c>
      <c r="C8" s="4">
        <v>0</v>
      </c>
      <c r="D8" s="10">
        <f>'dpc-covid19-ita-andamento-naz'!K2</f>
        <v>7</v>
      </c>
      <c r="E8" s="46"/>
      <c r="F8" s="10">
        <f>Tabella3[[#This Row],[Italy]]*NOT(ISBLANK(Tabella3[[#This Row],[Italy]]))</f>
        <v>0</v>
      </c>
      <c r="G8" s="10">
        <f>Tabella3[[#This Row],[Cum_L_fit]]+Tabella3[[#This Row],[Cum_o_fit]]</f>
        <v>5.3504538076167098E-2</v>
      </c>
      <c r="H8" s="10">
        <f>Tabella3[[#This Row],[Lombardy fit]]+Tabella3[[#This Row],[rest of Italy fit]]</f>
        <v>5.5579704768469282E-2</v>
      </c>
      <c r="I8" s="10">
        <f>Kf*EXP(-EXP(-(Tabella3[[#This Row],[Day]]-t0f)/wf))*EXP(-(Tabella3[[#This Row],[Day]]-t0f)/wf)/wf</f>
        <v>6.2634289500456672E-2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138.03514545671371</v>
      </c>
      <c r="M8" s="10">
        <f>MAX(Tabella3[[#This Row],[Italy sum]]-CIw,0)</f>
        <v>0</v>
      </c>
      <c r="N8" s="4">
        <v>6</v>
      </c>
      <c r="O8" s="46"/>
      <c r="P8" s="10">
        <f>Tabella3[[#This Row],[Lombardy]]*NOT(ISBLANK(Tabella3[[#This Row],[Lombardy]]))</f>
        <v>0</v>
      </c>
      <c r="Q8" s="10">
        <f>Kl*EXP(-EXP(-(Tabella3[[#This Row],[Day]]-t0l)/wl))</f>
        <v>4.3472236691099932E-2</v>
      </c>
      <c r="R8" s="10">
        <f>Kl*EXP(-EXP(-(Tabella3[[#This Row],[Day]]-t0l)/wl))*EXP(-(Tabella3[[#This Row],[Day]]-t0l)/wl)/wl</f>
        <v>4.5062140239828186E-2</v>
      </c>
      <c r="S8" s="10">
        <f>Tabella3[[#This Row],[Lombardy fit]]*NOT(ISBLANK(Tabella3[[#This Row],[Lombardy]]))</f>
        <v>0</v>
      </c>
      <c r="T8" s="10">
        <f>Tabella3[[#This Row],[Lombardy fit]]+CIl</f>
        <v>121.81367141392747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46"/>
      <c r="X8" s="10">
        <f>Tabella3[[#This Row],[rest of Italy]]*NOT(ISBLANK(Tabella3[[#This Row],[rest of Italy]]))</f>
        <v>0</v>
      </c>
      <c r="Y8" s="10">
        <f>Ka*EXP(-EXP(-(Tabella3[[#This Row],[Day]]-t0a)/wa))</f>
        <v>1.0032301385067168E-2</v>
      </c>
      <c r="Z8" s="10">
        <f>Ka*EXP(-EXP(-(Tabella3[[#This Row],[Day]]-t0a)/wa))*EXP(-(Tabella3[[#This Row],[Day]]-t0a)/wa)/wa</f>
        <v>1.05175645286411E-2</v>
      </c>
      <c r="AA8" s="10">
        <f>Tabella3[[#This Row],[rest of Italy fit]]*NOT(ISBLANK(Tabella3[[#This Row],[rest of Italy]]))</f>
        <v>0</v>
      </c>
      <c r="AB8" s="10">
        <f>Tabella3[[#This Row],[rest of Italy fit]]+CIa</f>
        <v>65.87742673232809</v>
      </c>
      <c r="AC8" s="10">
        <f>MAX(Tabella3[[#This Row],[rest of Italy fit]]-CIa,0)</f>
        <v>0</v>
      </c>
      <c r="AD8" s="8"/>
      <c r="AE8" s="30"/>
      <c r="AF8" s="31"/>
      <c r="AG8" s="3"/>
      <c r="AS8" s="95" t="s">
        <v>148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0.14517199639100292</v>
      </c>
      <c r="H9" s="10">
        <f>Tabella3[[#This Row],[Lombardy fit]]+Tabella3[[#This Row],[rest of Italy fit]]</f>
        <v>0.13916245331606747</v>
      </c>
      <c r="I9" s="10">
        <f>Kf*EXP(-EXP(-(Tabella3[[#This Row],[Day]]-t0f)/wf))*EXP(-(Tabella3[[#This Row],[Day]]-t0f)/wf)/wf</f>
        <v>0.1524835625901621</v>
      </c>
      <c r="J9" s="10">
        <f>Tabella3[[#This Row],[Italy sum]]*NOT(ISBLANK(Tabella3[[#This Row],[Italy]]))</f>
        <v>0.13916245331606747</v>
      </c>
      <c r="K9" s="10">
        <f>Tabella3[[#This Row],[Italy fit]]*NOT(ISBLANK(Tabella3[[#This Row],[Italy]]))</f>
        <v>0.1524835625901621</v>
      </c>
      <c r="L9" s="10">
        <f>Tabella3[[#This Row],[Italy sum]]+CIw</f>
        <v>138.11872820526131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10">
        <f>Kl*EXP(-EXP(-(Tabella3[[#This Row],[Day]]-t0l)/wl))</f>
        <v>0.11761549580172699</v>
      </c>
      <c r="R9" s="10">
        <f>Kl*EXP(-EXP(-(Tabella3[[#This Row],[Day]]-t0l)/wl))*EXP(-(Tabella3[[#This Row],[Day]]-t0l)/wl)/wl</f>
        <v>0.11233858446950173</v>
      </c>
      <c r="S9" s="10">
        <f>Tabella3[[#This Row],[Lombardy fit]]*NOT(ISBLANK(Tabella3[[#This Row],[Lombardy]]))</f>
        <v>0.11233858446950173</v>
      </c>
      <c r="T9" s="10">
        <f>Tabella3[[#This Row],[Lombardy fit]]+CIl</f>
        <v>121.88094785815714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10">
        <f>Ka*EXP(-EXP(-(Tabella3[[#This Row],[Day]]-t0a)/wa))</f>
        <v>2.7556500589275945E-2</v>
      </c>
      <c r="Z9" s="10">
        <f>Ka*EXP(-EXP(-(Tabella3[[#This Row],[Day]]-t0a)/wa))*EXP(-(Tabella3[[#This Row],[Day]]-t0a)/wa)/wa</f>
        <v>2.6823868846565749E-2</v>
      </c>
      <c r="AA9" s="10">
        <f>Tabella3[[#This Row],[rest of Italy fit]]*NOT(ISBLANK(Tabella3[[#This Row],[rest of Italy]]))</f>
        <v>2.6823868846565749E-2</v>
      </c>
      <c r="AB9" s="10">
        <f>Tabella3[[#This Row],[rest of Italy fit]]+CIa</f>
        <v>65.893733036646012</v>
      </c>
      <c r="AC9" s="10">
        <f>MAX(Tabella3[[#This Row],[rest of Italy fit]]-CIa,0)</f>
        <v>0</v>
      </c>
      <c r="AD9" s="8"/>
      <c r="AE9" s="30"/>
      <c r="AF9" s="31"/>
      <c r="AG9" s="3"/>
      <c r="AS9" s="96"/>
    </row>
    <row r="10" spans="2:45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0.36469368092836751</v>
      </c>
      <c r="H10" s="10">
        <f>Tabella3[[#This Row],[Lombardy fit]]+Tabella3[[#This Row],[rest of Italy fit]]</f>
        <v>0.32263509319542105</v>
      </c>
      <c r="I10" s="10">
        <f>Kf*EXP(-EXP(-(Tabella3[[#This Row],[Day]]-t0f)/wf))*EXP(-(Tabella3[[#This Row],[Day]]-t0f)/wf)/wf</f>
        <v>0.34544195447593429</v>
      </c>
      <c r="J10" s="10">
        <f>Tabella3[[#This Row],[Italy sum]]*NOT(ISBLANK(Tabella3[[#This Row],[Italy]]))</f>
        <v>0.32263509319542105</v>
      </c>
      <c r="K10" s="10">
        <f>Tabella3[[#This Row],[Italy fit]]*NOT(ISBLANK(Tabella3[[#This Row],[Italy]]))</f>
        <v>0.34544195447593429</v>
      </c>
      <c r="L10" s="10">
        <f>Tabella3[[#This Row],[Italy sum]]+CIw</f>
        <v>138.30220084514067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10">
        <f>Kl*EXP(-EXP(-(Tabella3[[#This Row],[Day]]-t0l)/wl))</f>
        <v>0.29427750146640869</v>
      </c>
      <c r="R10" s="10">
        <f>Kl*EXP(-EXP(-(Tabella3[[#This Row],[Day]]-t0l)/wl))*EXP(-(Tabella3[[#This Row],[Day]]-t0l)/wl)/wl</f>
        <v>0.25899181431244428</v>
      </c>
      <c r="S10" s="10">
        <f>Tabella3[[#This Row],[Lombardy fit]]*NOT(ISBLANK(Tabella3[[#This Row],[Lombardy]]))</f>
        <v>0.25899181431244428</v>
      </c>
      <c r="T10" s="10">
        <f>Tabella3[[#This Row],[Lombardy fit]]+CIl</f>
        <v>122.02760108800008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10">
        <f>Ka*EXP(-EXP(-(Tabella3[[#This Row],[Day]]-t0a)/wa))</f>
        <v>7.0416179461958842E-2</v>
      </c>
      <c r="Z10" s="10">
        <f>Ka*EXP(-EXP(-(Tabella3[[#This Row],[Day]]-t0a)/wa))*EXP(-(Tabella3[[#This Row],[Day]]-t0a)/wa)/wa</f>
        <v>6.36432788829768E-2</v>
      </c>
      <c r="AA10" s="10">
        <f>Tabella3[[#This Row],[rest of Italy fit]]*NOT(ISBLANK(Tabella3[[#This Row],[rest of Italy]]))</f>
        <v>6.36432788829768E-2</v>
      </c>
      <c r="AB10" s="10">
        <f>Tabella3[[#This Row],[rest of Italy fit]]+CIa</f>
        <v>65.930552446682427</v>
      </c>
      <c r="AC10" s="10">
        <f>MAX(Tabella3[[#This Row],[rest of Italy fit]]-CIa,0)</f>
        <v>0</v>
      </c>
      <c r="AD10" s="8"/>
      <c r="AE10" s="30"/>
      <c r="AF10" s="47"/>
      <c r="AG10" s="3"/>
      <c r="AS10" s="96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0.85336890276531974</v>
      </c>
      <c r="H11" s="10">
        <f>Tabella3[[#This Row],[Lombardy fit]]+Tabella3[[#This Row],[rest of Italy fit]]</f>
        <v>0.69679141132104372</v>
      </c>
      <c r="I11" s="10">
        <f>Kf*EXP(-EXP(-(Tabella3[[#This Row],[Day]]-t0f)/wf))*EXP(-(Tabella3[[#This Row],[Day]]-t0f)/wf)/wf</f>
        <v>0.73214107950737595</v>
      </c>
      <c r="J11" s="10">
        <f>Tabella3[[#This Row],[Italy sum]]*NOT(ISBLANK(Tabella3[[#This Row],[Italy]]))</f>
        <v>0.69679141132104372</v>
      </c>
      <c r="K11" s="10">
        <f>Tabella3[[#This Row],[Italy fit]]*NOT(ISBLANK(Tabella3[[#This Row],[Italy]]))</f>
        <v>0.73214107950737595</v>
      </c>
      <c r="L11" s="10">
        <f>Tabella3[[#This Row],[Italy sum]]+CIw</f>
        <v>138.67635716326629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10">
        <f>Kl*EXP(-EXP(-(Tabella3[[#This Row],[Day]]-t0l)/wl))</f>
        <v>0.68510575374840599</v>
      </c>
      <c r="R11" s="10">
        <f>Kl*EXP(-EXP(-(Tabella3[[#This Row],[Day]]-t0l)/wl))*EXP(-(Tabella3[[#This Row],[Day]]-t0l)/wl)/wl</f>
        <v>0.55558583835390496</v>
      </c>
      <c r="S11" s="10">
        <f>Tabella3[[#This Row],[Lombardy fit]]*NOT(ISBLANK(Tabella3[[#This Row],[Lombardy]]))</f>
        <v>0.55558583835390496</v>
      </c>
      <c r="T11" s="10">
        <f>Tabella3[[#This Row],[Lombardy fit]]+CIl</f>
        <v>122.32419511204155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10">
        <f>Ka*EXP(-EXP(-(Tabella3[[#This Row],[Day]]-t0a)/wa))</f>
        <v>0.16826314901691369</v>
      </c>
      <c r="Z11" s="10">
        <f>Ka*EXP(-EXP(-(Tabella3[[#This Row],[Day]]-t0a)/wa))*EXP(-(Tabella3[[#This Row],[Day]]-t0a)/wa)/wa</f>
        <v>0.14120557296713879</v>
      </c>
      <c r="AA11" s="10">
        <f>Tabella3[[#This Row],[rest of Italy fit]]*NOT(ISBLANK(Tabella3[[#This Row],[rest of Italy]]))</f>
        <v>0.14120557296713879</v>
      </c>
      <c r="AB11" s="10">
        <f>Tabella3[[#This Row],[rest of Italy fit]]+CIa</f>
        <v>66.008114740766587</v>
      </c>
      <c r="AC11" s="10">
        <f>MAX(Tabella3[[#This Row],[rest of Italy fit]]-CIa,0)</f>
        <v>0</v>
      </c>
      <c r="AD11" s="8"/>
      <c r="AE11" s="32" t="s">
        <v>2</v>
      </c>
      <c r="AF11" s="33">
        <f>AVERAGE(Tabella3[Italy])</f>
        <v>417.51020408163265</v>
      </c>
      <c r="AG11" s="3"/>
      <c r="AS11" s="96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1.8703308462404689</v>
      </c>
      <c r="H12" s="10">
        <f>Tabella3[[#This Row],[Lombardy fit]]+Tabella3[[#This Row],[rest of Italy fit]]</f>
        <v>1.4096529706560372</v>
      </c>
      <c r="I12" s="10">
        <f>Kf*EXP(-EXP(-(Tabella3[[#This Row],[Day]]-t0f)/wf))*EXP(-(Tabella3[[#This Row],[Day]]-t0f)/wf)/wf</f>
        <v>1.4589332565567499</v>
      </c>
      <c r="J12" s="10">
        <f>Tabella3[[#This Row],[Italy sum]]*NOT(ISBLANK(Tabella3[[#This Row],[Italy]]))</f>
        <v>1.4096529706560372</v>
      </c>
      <c r="K12" s="10">
        <f>Tabella3[[#This Row],[Italy fit]]*NOT(ISBLANK(Tabella3[[#This Row],[Italy]]))</f>
        <v>1.4589332565567499</v>
      </c>
      <c r="L12" s="10">
        <f>Tabella3[[#This Row],[Italy sum]]+CIw</f>
        <v>139.38921872260127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10">
        <f>Kl*EXP(-EXP(-(Tabella3[[#This Row],[Day]]-t0l)/wl))</f>
        <v>1.492535500454214</v>
      </c>
      <c r="R12" s="10">
        <f>Kl*EXP(-EXP(-(Tabella3[[#This Row],[Day]]-t0l)/wl))*EXP(-(Tabella3[[#This Row],[Day]]-t0l)/wl)/wl</f>
        <v>1.1152771297325998</v>
      </c>
      <c r="S12" s="10">
        <f>Tabella3[[#This Row],[Lombardy fit]]*NOT(ISBLANK(Tabella3[[#This Row],[Lombardy]]))</f>
        <v>1.1152771297325998</v>
      </c>
      <c r="T12" s="10">
        <f>Tabella3[[#This Row],[Lombardy fit]]+CIl</f>
        <v>122.88388640342025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10">
        <f>Ka*EXP(-EXP(-(Tabella3[[#This Row],[Day]]-t0a)/wa))</f>
        <v>0.37779534578625473</v>
      </c>
      <c r="Z12" s="10">
        <f>Ka*EXP(-EXP(-(Tabella3[[#This Row],[Day]]-t0a)/wa))*EXP(-(Tabella3[[#This Row],[Day]]-t0a)/wa)/wa</f>
        <v>0.29437584092343733</v>
      </c>
      <c r="AA12" s="10">
        <f>Tabella3[[#This Row],[rest of Italy fit]]*NOT(ISBLANK(Tabella3[[#This Row],[rest of Italy]]))</f>
        <v>0.29437584092343733</v>
      </c>
      <c r="AB12" s="10">
        <f>Tabella3[[#This Row],[rest of Italy fit]]+CIa</f>
        <v>66.161285008722885</v>
      </c>
      <c r="AC12" s="10">
        <f>MAX(Tabella3[[#This Row],[rest of Italy fit]]-CIa,0)</f>
        <v>0</v>
      </c>
      <c r="AD12" s="1"/>
      <c r="AE12" s="32" t="s">
        <v>3</v>
      </c>
      <c r="AF12" s="33">
        <f>COUNT(Tabella3[Italy])-COUNT(AF8:AF10)</f>
        <v>49</v>
      </c>
      <c r="AS12" s="96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3.8591942016392489</v>
      </c>
      <c r="H13" s="10">
        <f>Tabella3[[#This Row],[Lombardy fit]]+Tabella3[[#This Row],[rest of Italy fit]]</f>
        <v>2.6851530922191116</v>
      </c>
      <c r="I13" s="10">
        <f>Kf*EXP(-EXP(-(Tabella3[[#This Row],[Day]]-t0f)/wf))*EXP(-(Tabella3[[#This Row],[Day]]-t0f)/wf)/wf</f>
        <v>2.745933918499198</v>
      </c>
      <c r="J13" s="10">
        <f>Tabella3[[#This Row],[Italy sum]]*NOT(ISBLANK(Tabella3[[#This Row],[Italy]]))</f>
        <v>2.6851530922191116</v>
      </c>
      <c r="K13" s="10">
        <f>Tabella3[[#This Row],[Italy fit]]*NOT(ISBLANK(Tabella3[[#This Row],[Italy]]))</f>
        <v>2.745933918499198</v>
      </c>
      <c r="L13" s="10">
        <f>Tabella3[[#This Row],[Italy sum]]+CIw</f>
        <v>140.66471884416436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10">
        <f>Kl*EXP(-EXP(-(Tabella3[[#This Row],[Day]]-t0l)/wl))</f>
        <v>3.0586060030532369</v>
      </c>
      <c r="R13" s="10">
        <f>Kl*EXP(-EXP(-(Tabella3[[#This Row],[Day]]-t0l)/wl))*EXP(-(Tabella3[[#This Row],[Day]]-t0l)/wl)/wl</f>
        <v>2.1059411836008408</v>
      </c>
      <c r="S13" s="10">
        <f>Tabella3[[#This Row],[Lombardy fit]]*NOT(ISBLANK(Tabella3[[#This Row],[Lombardy]]))</f>
        <v>2.1059411836008408</v>
      </c>
      <c r="T13" s="10">
        <f>Tabella3[[#This Row],[Lombardy fit]]+CIl</f>
        <v>123.87455045728848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10">
        <f>Ka*EXP(-EXP(-(Tabella3[[#This Row],[Day]]-t0a)/wa))</f>
        <v>0.80058819858601205</v>
      </c>
      <c r="Z13" s="10">
        <f>Ka*EXP(-EXP(-(Tabella3[[#This Row],[Day]]-t0a)/wa))*EXP(-(Tabella3[[#This Row],[Day]]-t0a)/wa)/wa</f>
        <v>0.57921190861827077</v>
      </c>
      <c r="AA13" s="10">
        <f>Tabella3[[#This Row],[rest of Italy fit]]*NOT(ISBLANK(Tabella3[[#This Row],[rest of Italy]]))</f>
        <v>0.57921190861827077</v>
      </c>
      <c r="AB13" s="10">
        <f>Tabella3[[#This Row],[rest of Italy fit]]+CIa</f>
        <v>66.446121076417725</v>
      </c>
      <c r="AC13" s="10">
        <f>MAX(Tabella3[[#This Row],[rest of Italy fit]]-CIa,0)</f>
        <v>0</v>
      </c>
      <c r="AD13" s="1"/>
      <c r="AE13" s="32" t="s">
        <v>4</v>
      </c>
      <c r="AF13" s="34" cm="1">
        <f t="array" ref="AF13">SQRT(SUM((Tabella3[Colonna1]-Tabella3[Colonna2])^2)/dfw)</f>
        <v>68.661059910876858</v>
      </c>
      <c r="AS13" s="96"/>
    </row>
    <row r="14" spans="2:45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7.532200052306016</v>
      </c>
      <c r="H14" s="10">
        <f>Tabella3[[#This Row],[Lombardy fit]]+Tabella3[[#This Row],[rest of Italy fit]]</f>
        <v>4.8386974182228553</v>
      </c>
      <c r="I14" s="10">
        <f>Kf*EXP(-EXP(-(Tabella3[[#This Row],[Day]]-t0f)/wf))*EXP(-(Tabella3[[#This Row],[Day]]-t0f)/wf)/wf</f>
        <v>4.9023404208650758</v>
      </c>
      <c r="J14" s="10">
        <f>Tabella3[[#This Row],[Italy sum]]*NOT(ISBLANK(Tabella3[[#This Row],[Italy]]))</f>
        <v>4.8386974182228553</v>
      </c>
      <c r="K14" s="10">
        <f>Tabella3[[#This Row],[Italy fit]]*NOT(ISBLANK(Tabella3[[#This Row],[Italy]]))</f>
        <v>4.9023404208650758</v>
      </c>
      <c r="L14" s="10">
        <f>Tabella3[[#This Row],[Italy sum]]+CIw</f>
        <v>142.81826317016811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10">
        <f>Kl*EXP(-EXP(-(Tabella3[[#This Row],[Day]]-t0l)/wl))</f>
        <v>5.9243615187368217</v>
      </c>
      <c r="R14" s="10">
        <f>Kl*EXP(-EXP(-(Tabella3[[#This Row],[Day]]-t0l)/wl))*EXP(-(Tabella3[[#This Row],[Day]]-t0l)/wl)/wl</f>
        <v>3.758623526817376</v>
      </c>
      <c r="S14" s="10">
        <f>Tabella3[[#This Row],[Lombardy fit]]*NOT(ISBLANK(Tabella3[[#This Row],[Lombardy]]))</f>
        <v>3.758623526817376</v>
      </c>
      <c r="T14" s="10">
        <f>Tabella3[[#This Row],[Lombardy fit]]+CIl</f>
        <v>125.52723280050502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10">
        <f>Ka*EXP(-EXP(-(Tabella3[[#This Row],[Day]]-t0a)/wa))</f>
        <v>1.607838533569194</v>
      </c>
      <c r="Z14" s="10">
        <f>Ka*EXP(-EXP(-(Tabella3[[#This Row],[Day]]-t0a)/wa))*EXP(-(Tabella3[[#This Row],[Day]]-t0a)/wa)/wa</f>
        <v>1.0800738914054797</v>
      </c>
      <c r="AA14" s="10">
        <f>Tabella3[[#This Row],[rest of Italy fit]]*NOT(ISBLANK(Tabella3[[#This Row],[rest of Italy]]))</f>
        <v>1.0800738914054797</v>
      </c>
      <c r="AB14" s="10">
        <f>Tabella3[[#This Row],[rest of Italy fit]]+CIa</f>
        <v>66.946983059204925</v>
      </c>
      <c r="AC14" s="10">
        <f>MAX(Tabella3[[#This Row],[rest of Italy fit]]-CIa,0)</f>
        <v>0</v>
      </c>
      <c r="AD14" s="1"/>
      <c r="AE14" s="32" t="s">
        <v>137</v>
      </c>
      <c r="AF14" s="35" cm="1">
        <f t="array" ref="AF14">1-SUM((Tabella3[Colonna1]-Tabella3[Colonna2])^2)/SUM((Tabella3[Colonna1]-Mean_of_yw)^2)</f>
        <v>0.97221442862463414</v>
      </c>
      <c r="AS14" s="9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13.966385705327792</v>
      </c>
      <c r="H15" s="10">
        <f>Tabella3[[#This Row],[Lombardy fit]]+Tabella3[[#This Row],[rest of Italy fit]]</f>
        <v>8.2848424098589213</v>
      </c>
      <c r="I15" s="10">
        <f>Kf*EXP(-EXP(-(Tabella3[[#This Row],[Day]]-t0f)/wf))*EXP(-(Tabella3[[#This Row],[Day]]-t0f)/wf)/wf</f>
        <v>8.3345661790384753</v>
      </c>
      <c r="J15" s="10">
        <f>Tabella3[[#This Row],[Italy sum]]*NOT(ISBLANK(Tabella3[[#This Row],[Italy]]))</f>
        <v>8.2848424098589213</v>
      </c>
      <c r="K15" s="10">
        <f>Tabella3[[#This Row],[Italy fit]]*NOT(ISBLANK(Tabella3[[#This Row],[Italy]]))</f>
        <v>8.3345661790384753</v>
      </c>
      <c r="L15" s="10">
        <f>Tabella3[[#This Row],[Italy sum]]+CIw</f>
        <v>146.26440816180417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10">
        <f>Kl*EXP(-EXP(-(Tabella3[[#This Row],[Day]]-t0l)/wl))</f>
        <v>10.894368519958226</v>
      </c>
      <c r="R15" s="10">
        <f>Kl*EXP(-EXP(-(Tabella3[[#This Row],[Day]]-t0l)/wl))*EXP(-(Tabella3[[#This Row],[Day]]-t0l)/wl)/wl</f>
        <v>6.3687457541750847</v>
      </c>
      <c r="S15" s="10">
        <f>Tabella3[[#This Row],[Lombardy fit]]*NOT(ISBLANK(Tabella3[[#This Row],[Lombardy]]))</f>
        <v>6.3687457541750847</v>
      </c>
      <c r="T15" s="10">
        <f>Tabella3[[#This Row],[Lombardy fit]]+CIl</f>
        <v>128.13735502786272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10">
        <f>Ka*EXP(-EXP(-(Tabella3[[#This Row],[Day]]-t0a)/wa))</f>
        <v>3.0720171853695648</v>
      </c>
      <c r="Z15" s="10">
        <f>Ka*EXP(-EXP(-(Tabella3[[#This Row],[Day]]-t0a)/wa))*EXP(-(Tabella3[[#This Row],[Day]]-t0a)/wa)/wa</f>
        <v>1.9160966556838364</v>
      </c>
      <c r="AA15" s="10">
        <f>Tabella3[[#This Row],[rest of Italy fit]]*NOT(ISBLANK(Tabella3[[#This Row],[rest of Italy]]))</f>
        <v>1.9160966556838364</v>
      </c>
      <c r="AB15" s="10">
        <f>Tabella3[[#This Row],[rest of Italy fit]]+CIa</f>
        <v>67.783005823483279</v>
      </c>
      <c r="AC15" s="10">
        <f>MAX(Tabella3[[#This Row],[rest of Italy fit]]-CIa,0)</f>
        <v>0</v>
      </c>
      <c r="AD15" s="1"/>
      <c r="AE15" s="32" t="s">
        <v>6</v>
      </c>
      <c r="AF15" s="35">
        <f>TINV(0.05,dfw)</f>
        <v>2.0095752371292388</v>
      </c>
      <c r="AS15" s="9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24.701570111093623</v>
      </c>
      <c r="H16" s="10">
        <f>Tabella3[[#This Row],[Lombardy fit]]+Tabella3[[#This Row],[rest of Italy fit]]</f>
        <v>13.532586621945105</v>
      </c>
      <c r="I16" s="10">
        <f>Kf*EXP(-EXP(-(Tabella3[[#This Row],[Day]]-t0f)/wf))*EXP(-(Tabella3[[#This Row],[Day]]-t0f)/wf)/wf</f>
        <v>13.542817621554519</v>
      </c>
      <c r="J16" s="10">
        <f>Tabella3[[#This Row],[Italy sum]]*NOT(ISBLANK(Tabella3[[#This Row],[Italy]]))</f>
        <v>13.532586621945105</v>
      </c>
      <c r="K16" s="10">
        <f>Tabella3[[#This Row],[Italy fit]]*NOT(ISBLANK(Tabella3[[#This Row],[Italy]]))</f>
        <v>13.542817621554519</v>
      </c>
      <c r="L16" s="10">
        <f>Tabella3[[#This Row],[Italy sum]]+CIw</f>
        <v>151.51215237389036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10">
        <f>Kl*EXP(-EXP(-(Tabella3[[#This Row],[Day]]-t0l)/wl))</f>
        <v>19.09753444327124</v>
      </c>
      <c r="R16" s="10">
        <f>Kl*EXP(-EXP(-(Tabella3[[#This Row],[Day]]-t0l)/wl))*EXP(-(Tabella3[[#This Row],[Day]]-t0l)/wl)/wl</f>
        <v>10.287118112896531</v>
      </c>
      <c r="S16" s="10">
        <f>Tabella3[[#This Row],[Lombardy fit]]*NOT(ISBLANK(Tabella3[[#This Row],[Lombardy]]))</f>
        <v>10.287118112896531</v>
      </c>
      <c r="T16" s="10">
        <f>Tabella3[[#This Row],[Lombardy fit]]+CIl</f>
        <v>132.05572738658418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10">
        <f>Ka*EXP(-EXP(-(Tabella3[[#This Row],[Day]]-t0a)/wa))</f>
        <v>5.6040356678223828</v>
      </c>
      <c r="Z16" s="10">
        <f>Ka*EXP(-EXP(-(Tabella3[[#This Row],[Day]]-t0a)/wa))*EXP(-(Tabella3[[#This Row],[Day]]-t0a)/wa)/wa</f>
        <v>3.2454685090485751</v>
      </c>
      <c r="AA16" s="10">
        <f>Tabella3[[#This Row],[rest of Italy fit]]*NOT(ISBLANK(Tabella3[[#This Row],[rest of Italy]]))</f>
        <v>3.2454685090485751</v>
      </c>
      <c r="AB16" s="10">
        <f>Tabella3[[#This Row],[rest of Italy fit]]+CIa</f>
        <v>69.112377676848027</v>
      </c>
      <c r="AC16" s="10">
        <f>MAX(Tabella3[[#This Row],[rest of Italy fit]]-CIa,0)</f>
        <v>0</v>
      </c>
      <c r="AD16" s="1"/>
      <c r="AE16" s="32" t="s">
        <v>7</v>
      </c>
      <c r="AF16" s="33">
        <f>Critical_tw*SE_of_yw</f>
        <v>137.97956575194524</v>
      </c>
      <c r="AS16" s="9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41.826102006630286</v>
      </c>
      <c r="H17" s="10">
        <f>Tabella3[[#This Row],[Lombardy fit]]+Tabella3[[#This Row],[rest of Italy fit]]</f>
        <v>21.165298017283618</v>
      </c>
      <c r="I17" s="10">
        <f>Kf*EXP(-EXP(-(Tabella3[[#This Row],[Day]]-t0f)/wf))*EXP(-(Tabella3[[#This Row],[Day]]-t0f)/wf)/wf</f>
        <v>21.103004211630349</v>
      </c>
      <c r="J17" s="10">
        <f>Tabella3[[#This Row],[Italy sum]]*NOT(ISBLANK(Tabella3[[#This Row],[Italy]]))</f>
        <v>21.165298017283618</v>
      </c>
      <c r="K17" s="10">
        <f>Tabella3[[#This Row],[Italy fit]]*NOT(ISBLANK(Tabella3[[#This Row],[Italy]]))</f>
        <v>21.103004211630349</v>
      </c>
      <c r="L17" s="10">
        <f>Tabella3[[#This Row],[Italy sum]]+CIw</f>
        <v>159.14486376922886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10">
        <f>Kl*EXP(-EXP(-(Tabella3[[#This Row],[Day]]-t0l)/wl))</f>
        <v>32.033196142043089</v>
      </c>
      <c r="R17" s="10">
        <f>Kl*EXP(-EXP(-(Tabella3[[#This Row],[Day]]-t0l)/wl))*EXP(-(Tabella3[[#This Row],[Day]]-t0l)/wl)/wl</f>
        <v>15.899419627117082</v>
      </c>
      <c r="S17" s="10">
        <f>Tabella3[[#This Row],[Lombardy fit]]*NOT(ISBLANK(Tabella3[[#This Row],[Lombardy]]))</f>
        <v>15.899419627117082</v>
      </c>
      <c r="T17" s="10">
        <f>Tabella3[[#This Row],[Lombardy fit]]+CIl</f>
        <v>137.66802890080473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10">
        <f>Ka*EXP(-EXP(-(Tabella3[[#This Row],[Day]]-t0a)/wa))</f>
        <v>9.7929058645871976</v>
      </c>
      <c r="Z17" s="10">
        <f>Ka*EXP(-EXP(-(Tabella3[[#This Row],[Day]]-t0a)/wa))*EXP(-(Tabella3[[#This Row],[Day]]-t0a)/wa)/wa</f>
        <v>5.2658783901665371</v>
      </c>
      <c r="AA17" s="10">
        <f>Tabella3[[#This Row],[rest of Italy fit]]*NOT(ISBLANK(Tabella3[[#This Row],[rest of Italy]]))</f>
        <v>5.2658783901665371</v>
      </c>
      <c r="AB17" s="10">
        <f>Tabella3[[#This Row],[rest of Italy fit]]+CIa</f>
        <v>71.132787557965983</v>
      </c>
      <c r="AC17" s="10">
        <f>MAX(Tabella3[[#This Row],[rest of Italy fit]]-CIa,0)</f>
        <v>0</v>
      </c>
      <c r="AD17" s="1"/>
      <c r="AE17" s="48" t="s">
        <v>113</v>
      </c>
      <c r="AF17" s="49">
        <f>MAX(Tabella3[Italy sum])</f>
        <v>778.27417354090267</v>
      </c>
      <c r="AS17" s="97"/>
    </row>
    <row r="18" spans="2:45" ht="15" thickTop="1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68.034557030127985</v>
      </c>
      <c r="H18" s="10">
        <f>Tabella3[[#This Row],[Lombardy fit]]+Tabella3[[#This Row],[rest of Italy fit]]</f>
        <v>31.804864043203949</v>
      </c>
      <c r="I18" s="10">
        <f>Kf*EXP(-EXP(-(Tabella3[[#This Row],[Day]]-t0f)/wf))*EXP(-(Tabella3[[#This Row],[Day]]-t0f)/wf)/wf</f>
        <v>31.63316378041964</v>
      </c>
      <c r="J18" s="10">
        <f>Tabella3[[#This Row],[Italy sum]]*NOT(ISBLANK(Tabella3[[#This Row],[Italy]]))</f>
        <v>31.804864043203949</v>
      </c>
      <c r="K18" s="10">
        <f>Tabella3[[#This Row],[Italy fit]]*NOT(ISBLANK(Tabella3[[#This Row],[Italy]]))</f>
        <v>31.63316378041964</v>
      </c>
      <c r="L18" s="10">
        <f>Tabella3[[#This Row],[Italy sum]]+CIw</f>
        <v>169.78442979514921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10">
        <f>Kl*EXP(-EXP(-(Tabella3[[#This Row],[Day]]-t0l)/wl))</f>
        <v>51.591205774976558</v>
      </c>
      <c r="R18" s="10">
        <f>Kl*EXP(-EXP(-(Tabella3[[#This Row],[Day]]-t0l)/wl))*EXP(-(Tabella3[[#This Row],[Day]]-t0l)/wl)/wl</f>
        <v>23.595068977205123</v>
      </c>
      <c r="S18" s="10">
        <f>Tabella3[[#This Row],[Lombardy fit]]*NOT(ISBLANK(Tabella3[[#This Row],[Lombardy]]))</f>
        <v>23.595068977205123</v>
      </c>
      <c r="T18" s="10">
        <f>Tabella3[[#This Row],[Lombardy fit]]+CIl</f>
        <v>145.36367825089278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10">
        <f>Ka*EXP(-EXP(-(Tabella3[[#This Row],[Day]]-t0a)/wa))</f>
        <v>16.44335125515143</v>
      </c>
      <c r="Z18" s="10">
        <f>Ka*EXP(-EXP(-(Tabella3[[#This Row],[Day]]-t0a)/wa))*EXP(-(Tabella3[[#This Row],[Day]]-t0a)/wa)/wa</f>
        <v>8.2097950659988275</v>
      </c>
      <c r="AA18" s="10">
        <f>Tabella3[[#This Row],[rest of Italy fit]]*NOT(ISBLANK(Tabella3[[#This Row],[rest of Italy]]))</f>
        <v>8.2097950659988275</v>
      </c>
      <c r="AB18" s="10">
        <f>Tabella3[[#This Row],[rest of Italy fit]]+CIa</f>
        <v>74.076704233798282</v>
      </c>
      <c r="AC18" s="10">
        <f>MAX(Tabella3[[#This Row],[rest of Italy fit]]-CIa,0)</f>
        <v>0</v>
      </c>
      <c r="AD18" s="1"/>
      <c r="AE18" s="48" t="s">
        <v>145</v>
      </c>
      <c r="AF18" s="50">
        <f>_xlfn.XLOOKUP(Peak_w,Tabella3[Italy sum],Tabella3[Date])</f>
        <v>43918</v>
      </c>
      <c r="AS18" s="73">
        <f>MAX($AF$26)</f>
        <v>0.92917873728580769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106.64265498681046</v>
      </c>
      <c r="H19" s="10">
        <f>Tabella3[[#This Row],[Lombardy fit]]+Tabella3[[#This Row],[rest of Italy fit]]</f>
        <v>46.062661119151102</v>
      </c>
      <c r="I19" s="10">
        <f>Kf*EXP(-EXP(-(Tabella3[[#This Row],[Day]]-t0f)/wf))*EXP(-(Tabella3[[#This Row],[Day]]-t0f)/wf)/wf</f>
        <v>45.746425373044332</v>
      </c>
      <c r="J19" s="10">
        <f>Tabella3[[#This Row],[Italy sum]]*NOT(ISBLANK(Tabella3[[#This Row],[Italy]]))</f>
        <v>46.062661119151102</v>
      </c>
      <c r="K19" s="10">
        <f>Tabella3[[#This Row],[Italy fit]]*NOT(ISBLANK(Tabella3[[#This Row],[Italy]]))</f>
        <v>45.746425373044332</v>
      </c>
      <c r="L19" s="10">
        <f>Tabella3[[#This Row],[Italy sum]]+CIw</f>
        <v>184.04222687109635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10">
        <f>Kl*EXP(-EXP(-(Tabella3[[#This Row],[Day]]-t0l)/wl))</f>
        <v>80.036852898447648</v>
      </c>
      <c r="R19" s="10">
        <f>Kl*EXP(-EXP(-(Tabella3[[#This Row],[Day]]-t0l)/wl))*EXP(-(Tabella3[[#This Row],[Day]]-t0l)/wl)/wl</f>
        <v>33.728742595795751</v>
      </c>
      <c r="S19" s="10">
        <f>Tabella3[[#This Row],[Lombardy fit]]*NOT(ISBLANK(Tabella3[[#This Row],[Lombardy]]))</f>
        <v>33.728742595795751</v>
      </c>
      <c r="T19" s="10">
        <f>Tabella3[[#This Row],[Lombardy fit]]+CIl</f>
        <v>155.4973518694834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10">
        <f>Ka*EXP(-EXP(-(Tabella3[[#This Row],[Day]]-t0a)/wa))</f>
        <v>26.605802088362804</v>
      </c>
      <c r="Z19" s="10">
        <f>Ka*EXP(-EXP(-(Tabella3[[#This Row],[Day]]-t0a)/wa))*EXP(-(Tabella3[[#This Row],[Day]]-t0a)/wa)/wa</f>
        <v>12.333918523355351</v>
      </c>
      <c r="AA19" s="10">
        <f>Tabella3[[#This Row],[rest of Italy fit]]*NOT(ISBLANK(Tabella3[[#This Row],[rest of Italy]]))</f>
        <v>12.333918523355351</v>
      </c>
      <c r="AB19" s="10">
        <f>Tabella3[[#This Row],[rest of Italy fit]]+CIa</f>
        <v>78.200827691154799</v>
      </c>
      <c r="AC19" s="10">
        <f>MAX(Tabella3[[#This Row],[rest of Italy fit]]-CIa,0)</f>
        <v>0</v>
      </c>
      <c r="AD19" s="1"/>
      <c r="AE19" s="23" t="s">
        <v>80</v>
      </c>
      <c r="AF19" s="3" t="s">
        <v>133</v>
      </c>
      <c r="AS19" s="74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161.54867694186783</v>
      </c>
      <c r="H20" s="10">
        <f>Tabella3[[#This Row],[Lombardy fit]]+Tabella3[[#This Row],[rest of Italy fit]]</f>
        <v>64.482653586556907</v>
      </c>
      <c r="I20" s="10">
        <f>Kf*EXP(-EXP(-(Tabella3[[#This Row],[Day]]-t0f)/wf))*EXP(-(Tabella3[[#This Row],[Day]]-t0f)/wf)/wf</f>
        <v>63.995247901664634</v>
      </c>
      <c r="J20" s="10">
        <f>Tabella3[[#This Row],[Italy sum]]*NOT(ISBLANK(Tabella3[[#This Row],[Italy]]))</f>
        <v>64.482653586556907</v>
      </c>
      <c r="K20" s="10">
        <f>Tabella3[[#This Row],[Italy fit]]*NOT(ISBLANK(Tabella3[[#This Row],[Italy]]))</f>
        <v>63.995247901664634</v>
      </c>
      <c r="L20" s="10">
        <f>Tabella3[[#This Row],[Italy sum]]+CIw</f>
        <v>202.46221933850217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10">
        <f>Kl*EXP(-EXP(-(Tabella3[[#This Row],[Day]]-t0l)/wl))</f>
        <v>119.95567676144898</v>
      </c>
      <c r="R20" s="10">
        <f>Kl*EXP(-EXP(-(Tabella3[[#This Row],[Day]]-t0l)/wl))*EXP(-(Tabella3[[#This Row],[Day]]-t0l)/wl)/wl</f>
        <v>46.57957558972295</v>
      </c>
      <c r="S20" s="10">
        <f>Tabella3[[#This Row],[Lombardy fit]]*NOT(ISBLANK(Tabella3[[#This Row],[Lombardy]]))</f>
        <v>46.57957558972295</v>
      </c>
      <c r="T20" s="10">
        <f>Tabella3[[#This Row],[Lombardy fit]]+CIl</f>
        <v>168.34818486341061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10">
        <f>Ka*EXP(-EXP(-(Tabella3[[#This Row],[Day]]-t0a)/wa))</f>
        <v>41.593000180418834</v>
      </c>
      <c r="Z20" s="10">
        <f>Ka*EXP(-EXP(-(Tabella3[[#This Row],[Day]]-t0a)/wa))*EXP(-(Tabella3[[#This Row],[Day]]-t0a)/wa)/wa</f>
        <v>17.903077996833954</v>
      </c>
      <c r="AA20" s="10">
        <f>Tabella3[[#This Row],[rest of Italy fit]]*NOT(ISBLANK(Tabella3[[#This Row],[rest of Italy]]))</f>
        <v>17.903077996833954</v>
      </c>
      <c r="AB20" s="10">
        <f>Tabella3[[#This Row],[rest of Italy fit]]+CIa</f>
        <v>83.769987164633406</v>
      </c>
      <c r="AC20" s="10">
        <f>MAX(Tabella3[[#This Row],[rest of Italy fit]]-CIa,0)</f>
        <v>0</v>
      </c>
      <c r="AD20" s="1"/>
      <c r="AE20" s="17" t="s">
        <v>0</v>
      </c>
      <c r="AF20" s="5">
        <f>Kr</f>
        <v>13805.081899783412</v>
      </c>
      <c r="AS20" s="74">
        <f>{32767;32767;0.000001;0;FALSE;FALSE;FALSE;1;2;1;0.0001;TRUE}</f>
        <v>32767</v>
      </c>
    </row>
    <row r="21" spans="2:45" ht="15.6" x14ac:dyDescent="0.35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237.13695230479973</v>
      </c>
      <c r="H21" s="10">
        <f>Tabella3[[#This Row],[Lombardy fit]]+Tabella3[[#This Row],[rest of Italy fit]]</f>
        <v>87.483691898342684</v>
      </c>
      <c r="I21" s="10">
        <f>Kf*EXP(-EXP(-(Tabella3[[#This Row],[Day]]-t0f)/wf))*EXP(-(Tabella3[[#This Row],[Day]]-t0f)/wf)/wf</f>
        <v>86.813613085992728</v>
      </c>
      <c r="J21" s="10">
        <f>Tabella3[[#This Row],[Italy sum]]*NOT(ISBLANK(Tabella3[[#This Row],[Italy]]))</f>
        <v>87.483691898342684</v>
      </c>
      <c r="K21" s="10">
        <f>Tabella3[[#This Row],[Italy fit]]*NOT(ISBLANK(Tabella3[[#This Row],[Italy]]))</f>
        <v>86.813613085992728</v>
      </c>
      <c r="L21" s="10">
        <f>Tabella3[[#This Row],[Italy sum]]+CIw</f>
        <v>225.46325765028791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10">
        <f>Kl*EXP(-EXP(-(Tabella3[[#This Row],[Day]]-t0l)/wl))</f>
        <v>174.15873758729072</v>
      </c>
      <c r="R21" s="10">
        <f>Kl*EXP(-EXP(-(Tabella3[[#This Row],[Day]]-t0l)/wl))*EXP(-(Tabella3[[#This Row],[Day]]-t0l)/wl)/wl</f>
        <v>62.313847091033864</v>
      </c>
      <c r="S21" s="10">
        <f>Tabella3[[#This Row],[Lombardy fit]]*NOT(ISBLANK(Tabella3[[#This Row],[Lombardy]]))</f>
        <v>62.313847091033864</v>
      </c>
      <c r="T21" s="10">
        <f>Tabella3[[#This Row],[Lombardy fit]]+CIl</f>
        <v>184.08245636472151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10">
        <f>Ka*EXP(-EXP(-(Tabella3[[#This Row],[Day]]-t0a)/wa))</f>
        <v>62.978214717509012</v>
      </c>
      <c r="Z21" s="10">
        <f>Ka*EXP(-EXP(-(Tabella3[[#This Row],[Day]]-t0a)/wa))*EXP(-(Tabella3[[#This Row],[Day]]-t0a)/wa)/wa</f>
        <v>25.16984480730882</v>
      </c>
      <c r="AA21" s="10">
        <f>Tabella3[[#This Row],[rest of Italy fit]]*NOT(ISBLANK(Tabella3[[#This Row],[rest of Italy]]))</f>
        <v>25.16984480730882</v>
      </c>
      <c r="AB21" s="10">
        <f>Tabella3[[#This Row],[rest of Italy fit]]+CIa</f>
        <v>91.036753975108269</v>
      </c>
      <c r="AC21" s="10">
        <f>MAX(Tabella3[[#This Row],[rest of Italy fit]]-CIa,0)</f>
        <v>0</v>
      </c>
      <c r="AD21" s="1"/>
      <c r="AE21" s="17" t="s">
        <v>24</v>
      </c>
      <c r="AF21" s="37">
        <f>t0r</f>
        <v>31.031642375412446</v>
      </c>
      <c r="AS21" s="74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338.12638611191443</v>
      </c>
      <c r="H22" s="10">
        <f>Tabella3[[#This Row],[Lombardy fit]]+Tabella3[[#This Row],[rest of Italy fit]]</f>
        <v>115.308504833421</v>
      </c>
      <c r="I22" s="10">
        <f>Kf*EXP(-EXP(-(Tabella3[[#This Row],[Day]]-t0f)/wf))*EXP(-(Tabella3[[#This Row],[Day]]-t0f)/wf)/wf</f>
        <v>114.46457492575163</v>
      </c>
      <c r="J22" s="10">
        <f>Tabella3[[#This Row],[Italy sum]]*NOT(ISBLANK(Tabella3[[#This Row],[Italy]]))</f>
        <v>115.308504833421</v>
      </c>
      <c r="K22" s="10">
        <f>Tabella3[[#This Row],[Italy fit]]*NOT(ISBLANK(Tabella3[[#This Row],[Italy]]))</f>
        <v>114.46457492575163</v>
      </c>
      <c r="L22" s="10">
        <f>Tabella3[[#This Row],[Italy sum]]+CIw</f>
        <v>253.28807058536626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10">
        <f>Kl*EXP(-EXP(-(Tabella3[[#This Row],[Day]]-t0l)/wl))</f>
        <v>245.55460925814447</v>
      </c>
      <c r="R22" s="10">
        <f>Kl*EXP(-EXP(-(Tabella3[[#This Row],[Day]]-t0l)/wl))*EXP(-(Tabella3[[#This Row],[Day]]-t0l)/wl)/wl</f>
        <v>80.956544225878687</v>
      </c>
      <c r="S22" s="10">
        <f>Tabella3[[#This Row],[Lombardy fit]]*NOT(ISBLANK(Tabella3[[#This Row],[Lombardy]]))</f>
        <v>80.956544225878687</v>
      </c>
      <c r="T22" s="10">
        <f>Tabella3[[#This Row],[Lombardy fit]]+CIl</f>
        <v>202.72515349956632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10">
        <f>Ka*EXP(-EXP(-(Tabella3[[#This Row],[Day]]-t0a)/wa))</f>
        <v>92.571776853769961</v>
      </c>
      <c r="Z22" s="10">
        <f>Ka*EXP(-EXP(-(Tabella3[[#This Row],[Day]]-t0a)/wa))*EXP(-(Tabella3[[#This Row],[Day]]-t0a)/wa)/wa</f>
        <v>34.35196060754231</v>
      </c>
      <c r="AA22" s="10">
        <f>Tabella3[[#This Row],[rest of Italy fit]]*NOT(ISBLANK(Tabella3[[#This Row],[rest of Italy]]))</f>
        <v>34.35196060754231</v>
      </c>
      <c r="AB22" s="10">
        <f>Tabella3[[#This Row],[rest of Italy fit]]+CIa</f>
        <v>100.21886977534176</v>
      </c>
      <c r="AC22" s="10">
        <f>MAX(Tabella3[[#This Row],[rest of Italy fit]]-CIa,0)</f>
        <v>0</v>
      </c>
      <c r="AD22" s="1"/>
      <c r="AE22" s="17" t="s">
        <v>1</v>
      </c>
      <c r="AF22" s="37">
        <f>wr</f>
        <v>12.221451536830706</v>
      </c>
      <c r="AS22" s="74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469.37412923872137</v>
      </c>
      <c r="H23" s="10">
        <f>Tabella3[[#This Row],[Lombardy fit]]+Tabella3[[#This Row],[rest of Italy fit]]</f>
        <v>147.98594541779283</v>
      </c>
      <c r="I23" s="10">
        <f>Kf*EXP(-EXP(-(Tabella3[[#This Row],[Day]]-t0f)/wf))*EXP(-(Tabella3[[#This Row],[Day]]-t0f)/wf)/wf</f>
        <v>146.99995396891509</v>
      </c>
      <c r="J23" s="10">
        <f>Tabella3[[#This Row],[Italy sum]]*NOT(ISBLANK(Tabella3[[#This Row],[Italy]]))</f>
        <v>147.98594541779283</v>
      </c>
      <c r="K23" s="10">
        <f>Tabella3[[#This Row],[Italy fit]]*NOT(ISBLANK(Tabella3[[#This Row],[Italy]]))</f>
        <v>146.99995396891509</v>
      </c>
      <c r="L23" s="10">
        <f>Tabella3[[#This Row],[Italy sum]]+CIw</f>
        <v>285.96551116973808</v>
      </c>
      <c r="M23" s="10">
        <f>MAX(Tabella3[[#This Row],[Italy sum]]-CIw,0)</f>
        <v>10.006379665847589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10">
        <f>Kl*EXP(-EXP(-(Tabella3[[#This Row],[Day]]-t0l)/wl))</f>
        <v>336.99910869128377</v>
      </c>
      <c r="R23" s="10">
        <f>Kl*EXP(-EXP(-(Tabella3[[#This Row],[Day]]-t0l)/wl))*EXP(-(Tabella3[[#This Row],[Day]]-t0l)/wl)/wl</f>
        <v>102.37577378064353</v>
      </c>
      <c r="S23" s="10">
        <f>Tabella3[[#This Row],[Lombardy fit]]*NOT(ISBLANK(Tabella3[[#This Row],[Lombardy]]))</f>
        <v>102.37577378064353</v>
      </c>
      <c r="T23" s="10">
        <f>Tabella3[[#This Row],[Lombardy fit]]+CIl</f>
        <v>224.14438305433117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10">
        <f>Ka*EXP(-EXP(-(Tabella3[[#This Row],[Day]]-t0a)/wa))</f>
        <v>132.37502054743757</v>
      </c>
      <c r="Z23" s="10">
        <f>Ka*EXP(-EXP(-(Tabella3[[#This Row],[Day]]-t0a)/wa))*EXP(-(Tabella3[[#This Row],[Day]]-t0a)/wa)/wa</f>
        <v>45.610171637149314</v>
      </c>
      <c r="AA23" s="10">
        <f>Tabella3[[#This Row],[rest of Italy fit]]*NOT(ISBLANK(Tabella3[[#This Row],[rest of Italy]]))</f>
        <v>45.610171637149314</v>
      </c>
      <c r="AB23" s="10">
        <f>Tabella3[[#This Row],[rest of Italy fit]]+CIa</f>
        <v>111.47708080494877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222.34693877551021</v>
      </c>
      <c r="AS23" s="75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635.65012266407473</v>
      </c>
      <c r="H24" s="10">
        <f>Tabella3[[#This Row],[Lombardy fit]]+Tabella3[[#This Row],[rest of Italy fit]]</f>
        <v>185.31104640336281</v>
      </c>
      <c r="I24" s="10">
        <f>Kf*EXP(-EXP(-(Tabella3[[#This Row],[Day]]-t0f)/wf))*EXP(-(Tabella3[[#This Row],[Day]]-t0f)/wf)/wf</f>
        <v>184.23721035059447</v>
      </c>
      <c r="J24" s="10">
        <f>Tabella3[[#This Row],[Italy sum]]*NOT(ISBLANK(Tabella3[[#This Row],[Italy]]))</f>
        <v>185.31104640336281</v>
      </c>
      <c r="K24" s="10">
        <f>Tabella3[[#This Row],[Italy fit]]*NOT(ISBLANK(Tabella3[[#This Row],[Italy]]))</f>
        <v>184.23721035059447</v>
      </c>
      <c r="L24" s="10">
        <f>Tabella3[[#This Row],[Italy sum]]+CIw</f>
        <v>323.29061215530805</v>
      </c>
      <c r="M24" s="10">
        <f>MAX(Tabella3[[#This Row],[Italy sum]]-CIw,0)</f>
        <v>47.331480651417564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10">
        <f>Kl*EXP(-EXP(-(Tabella3[[#This Row],[Day]]-t0l)/wl))</f>
        <v>451.13675120406083</v>
      </c>
      <c r="R24" s="10">
        <f>Kl*EXP(-EXP(-(Tabella3[[#This Row],[Day]]-t0l)/wl))*EXP(-(Tabella3[[#This Row],[Day]]-t0l)/wl)/wl</f>
        <v>126.28193478196675</v>
      </c>
      <c r="S24" s="10">
        <f>Tabella3[[#This Row],[Lombardy fit]]*NOT(ISBLANK(Tabella3[[#This Row],[Lombardy]]))</f>
        <v>126.28193478196675</v>
      </c>
      <c r="T24" s="10">
        <f>Tabella3[[#This Row],[Lombardy fit]]+CIl</f>
        <v>248.0505440556544</v>
      </c>
      <c r="U24" s="10">
        <f>MAX(Tabella3[[#This Row],[Lombardy fit]]-CIl,0)</f>
        <v>4.5133255082791095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10">
        <f>Ka*EXP(-EXP(-(Tabella3[[#This Row],[Day]]-t0a)/wa))</f>
        <v>184.51337146001387</v>
      </c>
      <c r="Z24" s="10">
        <f>Ka*EXP(-EXP(-(Tabella3[[#This Row],[Day]]-t0a)/wa))*EXP(-(Tabella3[[#This Row],[Day]]-t0a)/wa)/wa</f>
        <v>59.029111621396041</v>
      </c>
      <c r="AA24" s="10">
        <f>Tabella3[[#This Row],[rest of Italy fit]]*NOT(ISBLANK(Tabella3[[#This Row],[rest of Italy]]))</f>
        <v>59.029111621396041</v>
      </c>
      <c r="AB24" s="10">
        <f>Tabella3[[#This Row],[rest of Italy fit]]+CIa</f>
        <v>124.89602078919549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COUNT(Tabella3[Lombardy])-COUNT(AF20:AF22)</f>
        <v>46</v>
      </c>
      <c r="AS24" s="76"/>
    </row>
    <row r="25" spans="2:45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841.40153574454666</v>
      </c>
      <c r="H25" s="10">
        <f>Tabella3[[#This Row],[Lombardy fit]]+Tabella3[[#This Row],[rest of Italy fit]]</f>
        <v>226.84485533753849</v>
      </c>
      <c r="I25" s="10">
        <f>Kf*EXP(-EXP(-(Tabella3[[#This Row],[Day]]-t0f)/wf))*EXP(-(Tabella3[[#This Row],[Day]]-t0f)/wf)/wf</f>
        <v>225.75606097028185</v>
      </c>
      <c r="J25" s="10">
        <f>Tabella3[[#This Row],[Italy sum]]*NOT(ISBLANK(Tabella3[[#This Row],[Italy]]))</f>
        <v>226.84485533753849</v>
      </c>
      <c r="K25" s="10">
        <f>Tabella3[[#This Row],[Italy fit]]*NOT(ISBLANK(Tabella3[[#This Row],[Italy]]))</f>
        <v>225.75606097028185</v>
      </c>
      <c r="L25" s="10">
        <f>Tabella3[[#This Row],[Italy sum]]+CIw</f>
        <v>364.82442108948374</v>
      </c>
      <c r="M25" s="10">
        <f>MAX(Tabella3[[#This Row],[Italy sum]]-CIw,0)</f>
        <v>88.865289585593246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10">
        <f>Kl*EXP(-EXP(-(Tabella3[[#This Row],[Day]]-t0l)/wl))</f>
        <v>590.24872384759908</v>
      </c>
      <c r="R25" s="10">
        <f>Kl*EXP(-EXP(-(Tabella3[[#This Row],[Day]]-t0l)/wl))*EXP(-(Tabella3[[#This Row],[Day]]-t0l)/wl)/wl</f>
        <v>152.24135848815095</v>
      </c>
      <c r="S25" s="10">
        <f>Tabella3[[#This Row],[Lombardy fit]]*NOT(ISBLANK(Tabella3[[#This Row],[Lombardy]]))</f>
        <v>152.24135848815095</v>
      </c>
      <c r="T25" s="10">
        <f>Tabella3[[#This Row],[Lombardy fit]]+CIl</f>
        <v>274.0099677618386</v>
      </c>
      <c r="U25" s="10">
        <f>MAX(Tabella3[[#This Row],[Lombardy fit]]-CIl,0)</f>
        <v>30.472749214463306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10">
        <f>Ka*EXP(-EXP(-(Tabella3[[#This Row],[Day]]-t0a)/wa))</f>
        <v>251.15281189694761</v>
      </c>
      <c r="Z25" s="10">
        <f>Ka*EXP(-EXP(-(Tabella3[[#This Row],[Day]]-t0a)/wa))*EXP(-(Tabella3[[#This Row],[Day]]-t0a)/wa)/wa</f>
        <v>74.603496849387525</v>
      </c>
      <c r="AA25" s="10">
        <f>Tabella3[[#This Row],[rest of Italy fit]]*NOT(ISBLANK(Tabella3[[#This Row],[rest of Italy]]))</f>
        <v>74.603496849387525</v>
      </c>
      <c r="AB25" s="10">
        <f>Tabella3[[#This Row],[rest of Italy fit]]+CIa</f>
        <v>140.47040601718697</v>
      </c>
      <c r="AC25" s="10">
        <f>MAX(Tabella3[[#This Row],[rest of Italy fit]]-CIa,0)</f>
        <v>8.7365876815880767</v>
      </c>
      <c r="AD25" s="1"/>
      <c r="AE25" s="2" t="s">
        <v>4</v>
      </c>
      <c r="AF25" s="6" cm="1">
        <f t="array" ref="AF25">SQRT(SUM((Tabella3[Colonna3]-Tabella3[Colonna32])^2)/dfl)</f>
        <v>60.494249845374952</v>
      </c>
      <c r="AS25" s="77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1090.5267542891465</v>
      </c>
      <c r="H26" s="10">
        <f>Tabella3[[#This Row],[Lombardy fit]]+Tabella3[[#This Row],[rest of Italy fit]]</f>
        <v>271.93338430310985</v>
      </c>
      <c r="I26" s="10">
        <f>Kf*EXP(-EXP(-(Tabella3[[#This Row],[Day]]-t0f)/wf))*EXP(-(Tabella3[[#This Row],[Day]]-t0f)/wf)/wf</f>
        <v>270.91474212322652</v>
      </c>
      <c r="J26" s="10">
        <f>Tabella3[[#This Row],[Italy sum]]*NOT(ISBLANK(Tabella3[[#This Row],[Italy]]))</f>
        <v>271.93338430310985</v>
      </c>
      <c r="K26" s="10">
        <f>Tabella3[[#This Row],[Italy fit]]*NOT(ISBLANK(Tabella3[[#This Row],[Italy]]))</f>
        <v>270.91474212322652</v>
      </c>
      <c r="L26" s="10">
        <f>Tabella3[[#This Row],[Italy sum]]+CIw</f>
        <v>409.91295005505509</v>
      </c>
      <c r="M26" s="10">
        <f>MAX(Tabella3[[#This Row],[Italy sum]]-CIw,0)</f>
        <v>133.9538185511646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10">
        <f>Kl*EXP(-EXP(-(Tabella3[[#This Row],[Day]]-t0l)/wl))</f>
        <v>756.12087582882214</v>
      </c>
      <c r="R26" s="10">
        <f>Kl*EXP(-EXP(-(Tabella3[[#This Row],[Day]]-t0l)/wl))*EXP(-(Tabella3[[#This Row],[Day]]-t0l)/wl)/wl</f>
        <v>179.70220122454106</v>
      </c>
      <c r="S26" s="10">
        <f>Tabella3[[#This Row],[Lombardy fit]]*NOT(ISBLANK(Tabella3[[#This Row],[Lombardy]]))</f>
        <v>179.70220122454106</v>
      </c>
      <c r="T26" s="10">
        <f>Tabella3[[#This Row],[Lombardy fit]]+CIl</f>
        <v>301.47081049822873</v>
      </c>
      <c r="U26" s="10">
        <f>MAX(Tabella3[[#This Row],[Lombardy fit]]-CIl,0)</f>
        <v>57.933591950853412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10">
        <f>Ka*EXP(-EXP(-(Tabella3[[#This Row],[Day]]-t0a)/wa))</f>
        <v>334.40587846032435</v>
      </c>
      <c r="Z26" s="10">
        <f>Ka*EXP(-EXP(-(Tabella3[[#This Row],[Day]]-t0a)/wa))*EXP(-(Tabella3[[#This Row],[Day]]-t0a)/wa)/wa</f>
        <v>92.231183078568819</v>
      </c>
      <c r="AA26" s="10">
        <f>Tabella3[[#This Row],[rest of Italy fit]]*NOT(ISBLANK(Tabella3[[#This Row],[rest of Italy]]))</f>
        <v>92.231183078568819</v>
      </c>
      <c r="AB26" s="10">
        <f>Tabella3[[#This Row],[rest of Italy fit]]+CIa</f>
        <v>158.09809224636825</v>
      </c>
      <c r="AC26" s="10">
        <f>MAX(Tabella3[[#This Row],[rest of Italy fit]]-CIa,0)</f>
        <v>26.36427391076937</v>
      </c>
      <c r="AD26" s="1"/>
      <c r="AE26" s="2" t="s">
        <v>5</v>
      </c>
      <c r="AF26" s="7" cm="1">
        <f t="array" ref="AF26">1-SUM((Tabella3[Colonna3]-Tabella3[Colonna32])^2)/SUM((Tabella3[Colonna3]-Mean_of_yl)^2)</f>
        <v>0.92917873728580769</v>
      </c>
      <c r="AS26" s="77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1386.1767443618048</v>
      </c>
      <c r="H27" s="10">
        <f>Tabella3[[#This Row],[Lombardy fit]]+Tabella3[[#This Row],[rest of Italy fit]]</f>
        <v>319.74277632903346</v>
      </c>
      <c r="I27" s="10">
        <f>Kf*EXP(-EXP(-(Tabella3[[#This Row],[Day]]-t0f)/wf))*EXP(-(Tabella3[[#This Row],[Day]]-t0f)/wf)/wf</f>
        <v>318.88343836316693</v>
      </c>
      <c r="J27" s="10">
        <f>Tabella3[[#This Row],[Italy sum]]*NOT(ISBLANK(Tabella3[[#This Row],[Italy]]))</f>
        <v>319.74277632903346</v>
      </c>
      <c r="K27" s="10">
        <f>Tabella3[[#This Row],[Italy fit]]*NOT(ISBLANK(Tabella3[[#This Row],[Italy]]))</f>
        <v>318.88343836316693</v>
      </c>
      <c r="L27" s="10">
        <f>Tabella3[[#This Row],[Italy sum]]+CIw</f>
        <v>457.72234208097871</v>
      </c>
      <c r="M27" s="10">
        <f>MAX(Tabella3[[#This Row],[Italy sum]]-CIw,0)</f>
        <v>181.76321057708822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10">
        <f>Kl*EXP(-EXP(-(Tabella3[[#This Row],[Day]]-t0l)/wl))</f>
        <v>949.94228573847738</v>
      </c>
      <c r="R27" s="10">
        <f>Kl*EXP(-EXP(-(Tabella3[[#This Row],[Day]]-t0l)/wl))*EXP(-(Tabella3[[#This Row],[Day]]-t0l)/wl)/wl</f>
        <v>208.02903903712257</v>
      </c>
      <c r="S27" s="10">
        <f>Tabella3[[#This Row],[Lombardy fit]]*NOT(ISBLANK(Tabella3[[#This Row],[Lombardy]]))</f>
        <v>208.02903903712257</v>
      </c>
      <c r="T27" s="10">
        <f>Tabella3[[#This Row],[Lombardy fit]]+CIl</f>
        <v>329.79764831081025</v>
      </c>
      <c r="U27" s="10">
        <f>MAX(Tabella3[[#This Row],[Lombardy fit]]-CIl,0)</f>
        <v>86.260429763434928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10">
        <f>Ka*EXP(-EXP(-(Tabella3[[#This Row],[Day]]-t0a)/wa))</f>
        <v>436.2344586233275</v>
      </c>
      <c r="Z27" s="10">
        <f>Ka*EXP(-EXP(-(Tabella3[[#This Row],[Day]]-t0a)/wa))*EXP(-(Tabella3[[#This Row],[Day]]-t0a)/wa)/wa</f>
        <v>111.71373729191089</v>
      </c>
      <c r="AA27" s="10">
        <f>Tabella3[[#This Row],[rest of Italy fit]]*NOT(ISBLANK(Tabella3[[#This Row],[rest of Italy]]))</f>
        <v>111.71373729191089</v>
      </c>
      <c r="AB27" s="10">
        <f>Tabella3[[#This Row],[rest of Italy fit]]+CIa</f>
        <v>177.58064645971035</v>
      </c>
      <c r="AC27" s="10">
        <f>MAX(Tabella3[[#This Row],[rest of Italy fit]]-CIa,0)</f>
        <v>45.84682812411144</v>
      </c>
      <c r="AD27" s="1"/>
      <c r="AE27" s="2" t="s">
        <v>6</v>
      </c>
      <c r="AF27" s="7">
        <f>TINV(0.05,dfl)</f>
        <v>2.0128955989194299</v>
      </c>
      <c r="AS27" s="78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1730.597884756025</v>
      </c>
      <c r="H28" s="10">
        <f>Tabella3[[#This Row],[Lombardy fit]]+Tabella3[[#This Row],[rest of Italy fit]]</f>
        <v>369.30625062424014</v>
      </c>
      <c r="I28" s="10">
        <f>Kf*EXP(-EXP(-(Tabella3[[#This Row],[Day]]-t0f)/wf))*EXP(-(Tabella3[[#This Row],[Day]]-t0f)/wf)/wf</f>
        <v>368.69064570320819</v>
      </c>
      <c r="J28" s="10">
        <f>Tabella3[[#This Row],[Italy sum]]*NOT(ISBLANK(Tabella3[[#This Row],[Italy]]))</f>
        <v>369.30625062424014</v>
      </c>
      <c r="K28" s="10">
        <f>Tabella3[[#This Row],[Italy fit]]*NOT(ISBLANK(Tabella3[[#This Row],[Italy]]))</f>
        <v>368.69064570320819</v>
      </c>
      <c r="L28" s="10">
        <f>Tabella3[[#This Row],[Italy sum]]+CIw</f>
        <v>507.28581637618538</v>
      </c>
      <c r="M28" s="10">
        <f>MAX(Tabella3[[#This Row],[Italy sum]]-CIw,0)</f>
        <v>231.32668487229489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10">
        <f>Kl*EXP(-EXP(-(Tabella3[[#This Row],[Day]]-t0l)/wl))</f>
        <v>1172.2410409883134</v>
      </c>
      <c r="R28" s="10">
        <f>Kl*EXP(-EXP(-(Tabella3[[#This Row],[Day]]-t0l)/wl))*EXP(-(Tabella3[[#This Row],[Day]]-t0l)/wl)/wl</f>
        <v>236.54198625361093</v>
      </c>
      <c r="S28" s="10">
        <f>Tabella3[[#This Row],[Lombardy fit]]*NOT(ISBLANK(Tabella3[[#This Row],[Lombardy]]))</f>
        <v>236.54198625361093</v>
      </c>
      <c r="T28" s="10">
        <f>Tabella3[[#This Row],[Lombardy fit]]+CIl</f>
        <v>358.31059552729857</v>
      </c>
      <c r="U28" s="10">
        <f>MAX(Tabella3[[#This Row],[Lombardy fit]]-CIl,0)</f>
        <v>114.77337697992328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10">
        <f>Ka*EXP(-EXP(-(Tabella3[[#This Row],[Day]]-t0a)/wa))</f>
        <v>558.35684376771167</v>
      </c>
      <c r="Z28" s="10">
        <f>Ka*EXP(-EXP(-(Tabella3[[#This Row],[Day]]-t0a)/wa))*EXP(-(Tabella3[[#This Row],[Day]]-t0a)/wa)/wa</f>
        <v>132.76426437062921</v>
      </c>
      <c r="AA28" s="10">
        <f>Tabella3[[#This Row],[rest of Italy fit]]*NOT(ISBLANK(Tabella3[[#This Row],[rest of Italy]]))</f>
        <v>132.76426437062921</v>
      </c>
      <c r="AB28" s="10">
        <f>Tabella3[[#This Row],[rest of Italy fit]]+CIa</f>
        <v>198.63117353842864</v>
      </c>
      <c r="AC28" s="10">
        <f>MAX(Tabella3[[#This Row],[rest of Italy fit]]-CIa,0)</f>
        <v>66.897355202829758</v>
      </c>
      <c r="AD28" s="1"/>
      <c r="AE28" s="2" t="s">
        <v>7</v>
      </c>
      <c r="AF28" s="1">
        <f>Critical_tl*SE_of_yl</f>
        <v>121.76860927368764</v>
      </c>
      <c r="AS28" s="79">
        <f>MAX($AF$38)</f>
        <v>0.97495344628255787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2125.0254879048057</v>
      </c>
      <c r="H29" s="10">
        <f>Tabella3[[#This Row],[Lombardy fit]]+Tabella3[[#This Row],[rest of Italy fit]]</f>
        <v>419.57765216143588</v>
      </c>
      <c r="I29" s="10">
        <f>Kf*EXP(-EXP(-(Tabella3[[#This Row],[Day]]-t0f)/wf))*EXP(-(Tabella3[[#This Row],[Day]]-t0f)/wf)/wf</f>
        <v>419.27728041772821</v>
      </c>
      <c r="J29" s="10">
        <f>Tabella3[[#This Row],[Italy sum]]*NOT(ISBLANK(Tabella3[[#This Row],[Italy]]))</f>
        <v>419.57765216143588</v>
      </c>
      <c r="K29" s="10">
        <f>Tabella3[[#This Row],[Italy fit]]*NOT(ISBLANK(Tabella3[[#This Row],[Italy]]))</f>
        <v>419.27728041772821</v>
      </c>
      <c r="L29" s="10">
        <f>Tabella3[[#This Row],[Italy sum]]+CIw</f>
        <v>557.55721791338112</v>
      </c>
      <c r="M29" s="10">
        <f>MAX(Tabella3[[#This Row],[Italy sum]]-CIw,0)</f>
        <v>281.59808640949063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10">
        <f>Kl*EXP(-EXP(-(Tabella3[[#This Row],[Day]]-t0l)/wl))</f>
        <v>1422.8596597653602</v>
      </c>
      <c r="R29" s="10">
        <f>Kl*EXP(-EXP(-(Tabella3[[#This Row],[Day]]-t0l)/wl))*EXP(-(Tabella3[[#This Row],[Day]]-t0l)/wl)/wl</f>
        <v>264.556208623766</v>
      </c>
      <c r="S29" s="10">
        <f>Tabella3[[#This Row],[Lombardy fit]]*NOT(ISBLANK(Tabella3[[#This Row],[Lombardy]]))</f>
        <v>264.556208623766</v>
      </c>
      <c r="T29" s="10">
        <f>Tabella3[[#This Row],[Lombardy fit]]+CIl</f>
        <v>386.32481789745361</v>
      </c>
      <c r="U29" s="10">
        <f>MAX(Tabella3[[#This Row],[Lombardy fit]]-CIl,0)</f>
        <v>142.78759935007835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10">
        <f>Ka*EXP(-EXP(-(Tabella3[[#This Row],[Day]]-t0a)/wa))</f>
        <v>702.16582813944535</v>
      </c>
      <c r="Z29" s="10">
        <f>Ka*EXP(-EXP(-(Tabella3[[#This Row],[Day]]-t0a)/wa))*EXP(-(Tabella3[[#This Row],[Day]]-t0a)/wa)/wa</f>
        <v>155.02144353766988</v>
      </c>
      <c r="AA29" s="10">
        <f>Tabella3[[#This Row],[rest of Italy fit]]*NOT(ISBLANK(Tabella3[[#This Row],[rest of Italy]]))</f>
        <v>155.02144353766988</v>
      </c>
      <c r="AB29" s="10">
        <f>Tabella3[[#This Row],[rest of Italy fit]]+CIa</f>
        <v>220.88835270546934</v>
      </c>
      <c r="AC29" s="10">
        <f>MAX(Tabella3[[#This Row],[rest of Italy fit]]-CIa,0)</f>
        <v>89.154534369870433</v>
      </c>
      <c r="AD29" s="1"/>
      <c r="AE29" s="24" t="s">
        <v>113</v>
      </c>
      <c r="AF29" s="25">
        <f>Kl/(EXP(1)*wl)</f>
        <v>415.54849678152959</v>
      </c>
      <c r="AS29" s="80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2569.6320061629367</v>
      </c>
      <c r="H30" s="10">
        <f>Tabella3[[#This Row],[Lombardy fit]]+Tabella3[[#This Row],[rest of Italy fit]]</f>
        <v>469.48644967882433</v>
      </c>
      <c r="I30" s="10">
        <f>Kf*EXP(-EXP(-(Tabella3[[#This Row],[Day]]-t0f)/wf))*EXP(-(Tabella3[[#This Row],[Day]]-t0f)/wf)/wf</f>
        <v>469.55318246159351</v>
      </c>
      <c r="J30" s="10">
        <f>Tabella3[[#This Row],[Italy sum]]*NOT(ISBLANK(Tabella3[[#This Row],[Italy]]))</f>
        <v>469.48644967882433</v>
      </c>
      <c r="K30" s="10">
        <f>Tabella3[[#This Row],[Italy fit]]*NOT(ISBLANK(Tabella3[[#This Row],[Italy]]))</f>
        <v>469.55318246159351</v>
      </c>
      <c r="L30" s="10">
        <f>Tabella3[[#This Row],[Italy sum]]+CIw</f>
        <v>607.46601543076963</v>
      </c>
      <c r="M30" s="10">
        <f>MAX(Tabella3[[#This Row],[Italy sum]]-CIw,0)</f>
        <v>331.50688392687908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10">
        <f>Kl*EXP(-EXP(-(Tabella3[[#This Row],[Day]]-t0l)/wl))</f>
        <v>1700.9687093424834</v>
      </c>
      <c r="R30" s="10">
        <f>Kl*EXP(-EXP(-(Tabella3[[#This Row],[Day]]-t0l)/wl))*EXP(-(Tabella3[[#This Row],[Day]]-t0l)/wl)/wl</f>
        <v>291.41827980482009</v>
      </c>
      <c r="S30" s="10">
        <f>Tabella3[[#This Row],[Lombardy fit]]*NOT(ISBLANK(Tabella3[[#This Row],[Lombardy]]))</f>
        <v>291.41827980482009</v>
      </c>
      <c r="T30" s="10">
        <f>Tabella3[[#This Row],[Lombardy fit]]+CIl</f>
        <v>413.18688907850776</v>
      </c>
      <c r="U30" s="10">
        <f>MAX(Tabella3[[#This Row],[Lombardy fit]]-CIl,0)</f>
        <v>169.64967053113244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10">
        <f>Ka*EXP(-EXP(-(Tabella3[[#This Row],[Day]]-t0a)/wa))</f>
        <v>868.66329682045318</v>
      </c>
      <c r="Z30" s="10">
        <f>Ka*EXP(-EXP(-(Tabella3[[#This Row],[Day]]-t0a)/wa))*EXP(-(Tabella3[[#This Row],[Day]]-t0a)/wa)/wa</f>
        <v>178.06816987400421</v>
      </c>
      <c r="AA30" s="10">
        <f>Tabella3[[#This Row],[rest of Italy fit]]*NOT(ISBLANK(Tabella3[[#This Row],[rest of Italy]]))</f>
        <v>178.06816987400421</v>
      </c>
      <c r="AB30" s="10">
        <f>Tabella3[[#This Row],[rest of Italy fit]]+CIa</f>
        <v>243.93507904180365</v>
      </c>
      <c r="AC30" s="10">
        <f>MAX(Tabella3[[#This Row],[rest of Italy fit]]-CIa,0)</f>
        <v>112.20126070620476</v>
      </c>
      <c r="AD30" s="1"/>
      <c r="AE30" s="24" t="s">
        <v>145</v>
      </c>
      <c r="AF30" s="51">
        <f>_xlfn.XLOOKUP(ROUND(t0l,0),Tabella3[Day],Tabella3[Date])</f>
        <v>43916</v>
      </c>
      <c r="AS30" s="80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3063.5290313764808</v>
      </c>
      <c r="H31" s="10">
        <f>Tabella3[[#This Row],[Lombardy fit]]+Tabella3[[#This Row],[rest of Italy fit]]</f>
        <v>517.98964303640321</v>
      </c>
      <c r="I31" s="10">
        <f>Kf*EXP(-EXP(-(Tabella3[[#This Row],[Day]]-t0f)/wf))*EXP(-(Tabella3[[#This Row],[Day]]-t0f)/wf)/wf</f>
        <v>518.45116517759755</v>
      </c>
      <c r="J31" s="10">
        <f>Tabella3[[#This Row],[Italy sum]]*NOT(ISBLANK(Tabella3[[#This Row],[Italy]]))</f>
        <v>517.98964303640321</v>
      </c>
      <c r="K31" s="10">
        <f>Tabella3[[#This Row],[Italy fit]]*NOT(ISBLANK(Tabella3[[#This Row],[Italy]]))</f>
        <v>518.45116517759755</v>
      </c>
      <c r="L31" s="10">
        <f>Tabella3[[#This Row],[Italy sum]]+CIw</f>
        <v>655.9692087883484</v>
      </c>
      <c r="M31" s="10">
        <f>MAX(Tabella3[[#This Row],[Italy sum]]-CIw,0)</f>
        <v>380.01007728445796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10">
        <f>Kl*EXP(-EXP(-(Tabella3[[#This Row],[Day]]-t0l)/wl))</f>
        <v>2005.1140584820232</v>
      </c>
      <c r="R31" s="10">
        <f>Kl*EXP(-EXP(-(Tabella3[[#This Row],[Day]]-t0l)/wl))*EXP(-(Tabella3[[#This Row],[Day]]-t0l)/wl)/wl</f>
        <v>316.53673773962265</v>
      </c>
      <c r="S31" s="10">
        <f>Tabella3[[#This Row],[Lombardy fit]]*NOT(ISBLANK(Tabella3[[#This Row],[Lombardy]]))</f>
        <v>316.53673773962265</v>
      </c>
      <c r="T31" s="10">
        <f>Tabella3[[#This Row],[Lombardy fit]]+CIl</f>
        <v>438.30534701331032</v>
      </c>
      <c r="U31" s="10">
        <f>MAX(Tabella3[[#This Row],[Lombardy fit]]-CIl,0)</f>
        <v>194.76812846593501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10">
        <f>Ka*EXP(-EXP(-(Tabella3[[#This Row],[Day]]-t0a)/wa))</f>
        <v>1058.4149728944576</v>
      </c>
      <c r="Z31" s="10">
        <f>Ka*EXP(-EXP(-(Tabella3[[#This Row],[Day]]-t0a)/wa))*EXP(-(Tabella3[[#This Row],[Day]]-t0a)/wa)/wa</f>
        <v>201.45290529678059</v>
      </c>
      <c r="AA31" s="10">
        <f>Tabella3[[#This Row],[rest of Italy fit]]*NOT(ISBLANK(Tabella3[[#This Row],[rest of Italy]]))</f>
        <v>201.45290529678059</v>
      </c>
      <c r="AB31" s="10">
        <f>Tabella3[[#This Row],[rest of Italy fit]]+CIa</f>
        <v>267.31981446458002</v>
      </c>
      <c r="AC31" s="10">
        <f>MAX(Tabella3[[#This Row],[rest of Italy fit]]-CIa,0)</f>
        <v>135.58599612898115</v>
      </c>
      <c r="AD31" s="1"/>
      <c r="AE31" s="52" t="s">
        <v>85</v>
      </c>
      <c r="AF31" s="53" t="s">
        <v>135</v>
      </c>
      <c r="AS31" s="80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3604.8181362089435</v>
      </c>
      <c r="H32" s="10">
        <f>Tabella3[[#This Row],[Lombardy fit]]+Tabella3[[#This Row],[rest of Italy fit]]</f>
        <v>564.11704665595107</v>
      </c>
      <c r="I32" s="10">
        <f>Kf*EXP(-EXP(-(Tabella3[[#This Row],[Day]]-t0f)/wf))*EXP(-(Tabella3[[#This Row],[Day]]-t0f)/wf)/wf</f>
        <v>564.97472761190681</v>
      </c>
      <c r="J32" s="10">
        <f>Tabella3[[#This Row],[Italy sum]]*NOT(ISBLANK(Tabella3[[#This Row],[Italy]]))</f>
        <v>564.11704665595107</v>
      </c>
      <c r="K32" s="10">
        <f>Tabella3[[#This Row],[Italy fit]]*NOT(ISBLANK(Tabella3[[#This Row],[Italy]]))</f>
        <v>564.97472761190681</v>
      </c>
      <c r="L32" s="10">
        <f>Tabella3[[#This Row],[Italy sum]]+CIw</f>
        <v>702.09661240789637</v>
      </c>
      <c r="M32" s="10">
        <f>MAX(Tabella3[[#This Row],[Italy sum]]-CIw,0)</f>
        <v>426.13748090400583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10">
        <f>Kl*EXP(-EXP(-(Tabella3[[#This Row],[Day]]-t0l)/wl))</f>
        <v>2333.2910730480335</v>
      </c>
      <c r="R32" s="10">
        <f>Kl*EXP(-EXP(-(Tabella3[[#This Row],[Day]]-t0l)/wl))*EXP(-(Tabella3[[#This Row],[Day]]-t0l)/wl)/wl</f>
        <v>339.40523300656412</v>
      </c>
      <c r="S32" s="10">
        <f>Tabella3[[#This Row],[Lombardy fit]]*NOT(ISBLANK(Tabella3[[#This Row],[Lombardy]]))</f>
        <v>339.40523300656412</v>
      </c>
      <c r="T32" s="10">
        <f>Tabella3[[#This Row],[Lombardy fit]]+CIl</f>
        <v>461.17384228025173</v>
      </c>
      <c r="U32" s="10">
        <f>MAX(Tabella3[[#This Row],[Lombardy fit]]-CIl,0)</f>
        <v>217.63662373287647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10">
        <f>Ka*EXP(-EXP(-(Tabella3[[#This Row],[Day]]-t0a)/wa))</f>
        <v>1271.5270631609098</v>
      </c>
      <c r="Z32" s="10">
        <f>Ka*EXP(-EXP(-(Tabella3[[#This Row],[Day]]-t0a)/wa))*EXP(-(Tabella3[[#This Row],[Day]]-t0a)/wa)/wa</f>
        <v>224.71181364938701</v>
      </c>
      <c r="AA32" s="10">
        <f>Tabella3[[#This Row],[rest of Italy fit]]*NOT(ISBLANK(Tabella3[[#This Row],[rest of Italy]]))</f>
        <v>224.71181364938701</v>
      </c>
      <c r="AB32" s="10">
        <f>Tabella3[[#This Row],[rest of Italy fit]]+CIa</f>
        <v>290.57872281718647</v>
      </c>
      <c r="AC32" s="10">
        <f>MAX(Tabella3[[#This Row],[rest of Italy fit]]-CIa,0)</f>
        <v>158.84490448158755</v>
      </c>
      <c r="AD32" s="1"/>
      <c r="AE32" s="17" t="s">
        <v>0</v>
      </c>
      <c r="AF32" s="5">
        <f>Ko</f>
        <v>13770.324956863093</v>
      </c>
      <c r="AS32" s="80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4190.6826569185832</v>
      </c>
      <c r="H33" s="10">
        <f>Tabella3[[#This Row],[Lombardy fit]]+Tabella3[[#This Row],[rest of Italy fit]]</f>
        <v>607.00759763332223</v>
      </c>
      <c r="I33" s="10">
        <f>Kf*EXP(-EXP(-(Tabella3[[#This Row],[Day]]-t0f)/wf))*EXP(-(Tabella3[[#This Row],[Day]]-t0f)/wf)/wf</f>
        <v>608.23674980165026</v>
      </c>
      <c r="J33" s="10">
        <f>Tabella3[[#This Row],[Italy sum]]*NOT(ISBLANK(Tabella3[[#This Row],[Italy]]))</f>
        <v>607.00759763332223</v>
      </c>
      <c r="K33" s="10">
        <f>Tabella3[[#This Row],[Italy fit]]*NOT(ISBLANK(Tabella3[[#This Row],[Italy]]))</f>
        <v>608.23674980165026</v>
      </c>
      <c r="L33" s="10">
        <f>Tabella3[[#This Row],[Italy sum]]+CIw</f>
        <v>744.98716338526742</v>
      </c>
      <c r="M33" s="10">
        <f>MAX(Tabella3[[#This Row],[Italy sum]]-CIw,0)</f>
        <v>469.02803188137699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10">
        <f>Kl*EXP(-EXP(-(Tabella3[[#This Row],[Day]]-t0l)/wl))</f>
        <v>2683.0379627121265</v>
      </c>
      <c r="R33" s="10">
        <f>Kl*EXP(-EXP(-(Tabella3[[#This Row],[Day]]-t0l)/wl))*EXP(-(Tabella3[[#This Row],[Day]]-t0l)/wl)/wl</f>
        <v>359.61765651825579</v>
      </c>
      <c r="S33" s="10">
        <f>Tabella3[[#This Row],[Lombardy fit]]*NOT(ISBLANK(Tabella3[[#This Row],[Lombardy]]))</f>
        <v>359.61765651825579</v>
      </c>
      <c r="T33" s="10">
        <f>Tabella3[[#This Row],[Lombardy fit]]+CIl</f>
        <v>481.3862657919434</v>
      </c>
      <c r="U33" s="10">
        <f>MAX(Tabella3[[#This Row],[Lombardy fit]]-CIl,0)</f>
        <v>237.84904724456814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10">
        <f>Ka*EXP(-EXP(-(Tabella3[[#This Row],[Day]]-t0a)/wa))</f>
        <v>1507.6446942064563</v>
      </c>
      <c r="Z33" s="10">
        <f>Ka*EXP(-EXP(-(Tabella3[[#This Row],[Day]]-t0a)/wa))*EXP(-(Tabella3[[#This Row],[Day]]-t0a)/wa)/wa</f>
        <v>247.38994111506648</v>
      </c>
      <c r="AA33" s="10">
        <f>Tabella3[[#This Row],[rest of Italy fit]]*NOT(ISBLANK(Tabella3[[#This Row],[rest of Italy]]))</f>
        <v>247.38994111506648</v>
      </c>
      <c r="AB33" s="10">
        <f>Tabella3[[#This Row],[rest of Italy fit]]+CIa</f>
        <v>313.25685028286591</v>
      </c>
      <c r="AC33" s="10">
        <f>MAX(Tabella3[[#This Row],[rest of Italy fit]]-CIa,0)</f>
        <v>181.52303194726704</v>
      </c>
      <c r="AD33" s="1"/>
      <c r="AE33" s="17" t="s">
        <v>24</v>
      </c>
      <c r="AF33" s="37">
        <f>t0o</f>
        <v>35.701675574816811</v>
      </c>
      <c r="AS33" s="80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4817.510760762766</v>
      </c>
      <c r="H34" s="10">
        <f>Tabella3[[#This Row],[Lombardy fit]]+Tabella3[[#This Row],[rest of Italy fit]]</f>
        <v>645.93551326095621</v>
      </c>
      <c r="I34" s="10">
        <f>Kf*EXP(-EXP(-(Tabella3[[#This Row],[Day]]-t0f)/wf))*EXP(-(Tabella3[[#This Row],[Day]]-t0f)/wf)/wf</f>
        <v>647.48773390533381</v>
      </c>
      <c r="J34" s="10">
        <f>Tabella3[[#This Row],[Italy sum]]*NOT(ISBLANK(Tabella3[[#This Row],[Italy]]))</f>
        <v>645.93551326095621</v>
      </c>
      <c r="K34" s="10">
        <f>Tabella3[[#This Row],[Italy fit]]*NOT(ISBLANK(Tabella3[[#This Row],[Italy]]))</f>
        <v>647.48773390533381</v>
      </c>
      <c r="L34" s="10">
        <f>Tabella3[[#This Row],[Italy sum]]+CIw</f>
        <v>783.91507901290151</v>
      </c>
      <c r="M34" s="10">
        <f>MAX(Tabella3[[#This Row],[Italy sum]]-CIw,0)</f>
        <v>507.95594750901097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10">
        <f>Kl*EXP(-EXP(-(Tabella3[[#This Row],[Day]]-t0l)/wl))</f>
        <v>3051.5403099335826</v>
      </c>
      <c r="R34" s="10">
        <f>Kl*EXP(-EXP(-(Tabella3[[#This Row],[Day]]-t0l)/wl))*EXP(-(Tabella3[[#This Row],[Day]]-t0l)/wl)/wl</f>
        <v>376.87547304177673</v>
      </c>
      <c r="S34" s="10">
        <f>Tabella3[[#This Row],[Lombardy fit]]*NOT(ISBLANK(Tabella3[[#This Row],[Lombardy]]))</f>
        <v>376.87547304177673</v>
      </c>
      <c r="T34" s="10">
        <f>Tabella3[[#This Row],[Lombardy fit]]+CIl</f>
        <v>498.6440823154644</v>
      </c>
      <c r="U34" s="10">
        <f>MAX(Tabella3[[#This Row],[Lombardy fit]]-CIl,0)</f>
        <v>255.10686376808908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10">
        <f>Ka*EXP(-EXP(-(Tabella3[[#This Row],[Day]]-t0a)/wa))</f>
        <v>1765.9704508291836</v>
      </c>
      <c r="Z34" s="10">
        <f>Ka*EXP(-EXP(-(Tabella3[[#This Row],[Day]]-t0a)/wa))*EXP(-(Tabella3[[#This Row],[Day]]-t0a)/wa)/wa</f>
        <v>269.06004021917943</v>
      </c>
      <c r="AA34" s="10">
        <f>Tabella3[[#This Row],[rest of Italy fit]]*NOT(ISBLANK(Tabella3[[#This Row],[rest of Italy]]))</f>
        <v>269.06004021917943</v>
      </c>
      <c r="AB34" s="10">
        <f>Tabella3[[#This Row],[rest of Italy fit]]+CIa</f>
        <v>334.92694938697889</v>
      </c>
      <c r="AC34" s="10">
        <f>MAX(Tabella3[[#This Row],[rest of Italy fit]]-CIa,0)</f>
        <v>203.19313105137996</v>
      </c>
      <c r="AD34" s="1"/>
      <c r="AE34" s="17" t="s">
        <v>1</v>
      </c>
      <c r="AF34" s="37">
        <f>wo</f>
        <v>13.480179200638544</v>
      </c>
      <c r="AS34" s="81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5481.0395005519222</v>
      </c>
      <c r="H35" s="10">
        <f>Tabella3[[#This Row],[Lombardy fit]]+Tabella3[[#This Row],[rest of Italy fit]]</f>
        <v>680.32616073364238</v>
      </c>
      <c r="I35" s="10">
        <f>Kf*EXP(-EXP(-(Tabella3[[#This Row],[Day]]-t0f)/wf))*EXP(-(Tabella3[[#This Row],[Day]]-t0f)/wf)/wf</f>
        <v>682.13328076317134</v>
      </c>
      <c r="J35" s="10">
        <f>Tabella3[[#This Row],[Italy sum]]*NOT(ISBLANK(Tabella3[[#This Row],[Italy]]))</f>
        <v>680.32616073364238</v>
      </c>
      <c r="K35" s="10">
        <f>Tabella3[[#This Row],[Italy fit]]*NOT(ISBLANK(Tabella3[[#This Row],[Italy]]))</f>
        <v>682.13328076317134</v>
      </c>
      <c r="L35" s="10">
        <f>Tabella3[[#This Row],[Italy sum]]+CIw</f>
        <v>818.30572648558768</v>
      </c>
      <c r="M35" s="10">
        <f>MAX(Tabella3[[#This Row],[Italy sum]]-CIw,0)</f>
        <v>542.34659498169708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10">
        <f>Kl*EXP(-EXP(-(Tabella3[[#This Row],[Day]]-t0l)/wl))</f>
        <v>3435.7393690223466</v>
      </c>
      <c r="R35" s="10">
        <f>Kl*EXP(-EXP(-(Tabella3[[#This Row],[Day]]-t0l)/wl))*EXP(-(Tabella3[[#This Row],[Day]]-t0l)/wl)/wl</f>
        <v>390.98810862809012</v>
      </c>
      <c r="S35" s="10">
        <f>Tabella3[[#This Row],[Lombardy fit]]*NOT(ISBLANK(Tabella3[[#This Row],[Lombardy]]))</f>
        <v>390.98810862809012</v>
      </c>
      <c r="T35" s="10">
        <f>Tabella3[[#This Row],[Lombardy fit]]+CIl</f>
        <v>512.75671790177773</v>
      </c>
      <c r="U35" s="10">
        <f>MAX(Tabella3[[#This Row],[Lombardy fit]]-CIl,0)</f>
        <v>269.2194993544025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10">
        <f>Ka*EXP(-EXP(-(Tabella3[[#This Row],[Day]]-t0a)/wa))</f>
        <v>2045.3001315295755</v>
      </c>
      <c r="Z35" s="10">
        <f>Ka*EXP(-EXP(-(Tabella3[[#This Row],[Day]]-t0a)/wa))*EXP(-(Tabella3[[#This Row],[Day]]-t0a)/wa)/wa</f>
        <v>289.33805210555226</v>
      </c>
      <c r="AA35" s="10">
        <f>Tabella3[[#This Row],[rest of Italy fit]]*NOT(ISBLANK(Tabella3[[#This Row],[rest of Italy]]))</f>
        <v>289.33805210555226</v>
      </c>
      <c r="AB35" s="10">
        <f>Tabella3[[#This Row],[rest of Italy fit]]+CIa</f>
        <v>355.20496127335173</v>
      </c>
      <c r="AC35" s="10">
        <f>MAX(Tabella3[[#This Row],[rest of Italy fit]]-CIa,0)</f>
        <v>223.4711429377528</v>
      </c>
      <c r="AE35" s="2" t="s">
        <v>2</v>
      </c>
      <c r="AF35" s="1">
        <f>AVERAGE(Tabella3[rest of Italy])</f>
        <v>195.16326530612244</v>
      </c>
      <c r="AI35" s="1"/>
      <c r="AS35" s="77"/>
    </row>
    <row r="36" spans="2:45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6176.5098522590069</v>
      </c>
      <c r="H36" s="10">
        <f>Tabella3[[#This Row],[Lombardy fit]]+Tabella3[[#This Row],[rest of Italy fit]]</f>
        <v>709.76232302523113</v>
      </c>
      <c r="I36" s="10">
        <f>Kf*EXP(-EXP(-(Tabella3[[#This Row],[Day]]-t0f)/wf))*EXP(-(Tabella3[[#This Row],[Day]]-t0f)/wf)/wf</f>
        <v>711.7414042185037</v>
      </c>
      <c r="J36" s="10">
        <f>Tabella3[[#This Row],[Italy sum]]*NOT(ISBLANK(Tabella3[[#This Row],[Italy]]))</f>
        <v>709.76232302523113</v>
      </c>
      <c r="K36" s="10">
        <f>Tabella3[[#This Row],[Italy fit]]*NOT(ISBLANK(Tabella3[[#This Row],[Italy]]))</f>
        <v>711.7414042185037</v>
      </c>
      <c r="L36" s="10">
        <f>Tabella3[[#This Row],[Italy sum]]+CIw</f>
        <v>847.74188877717643</v>
      </c>
      <c r="M36" s="10">
        <f>MAX(Tabella3[[#This Row],[Italy sum]]-CIw,0)</f>
        <v>571.78275727328582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10">
        <f>Kl*EXP(-EXP(-(Tabella3[[#This Row],[Day]]-t0l)/wl))</f>
        <v>3832.4377849928155</v>
      </c>
      <c r="R36" s="10">
        <f>Kl*EXP(-EXP(-(Tabella3[[#This Row],[Day]]-t0l)/wl))*EXP(-(Tabella3[[#This Row],[Day]]-t0l)/wl)/wl</f>
        <v>401.86762984662278</v>
      </c>
      <c r="S36" s="10">
        <f>Tabella3[[#This Row],[Lombardy fit]]*NOT(ISBLANK(Tabella3[[#This Row],[Lombardy]]))</f>
        <v>401.86762984662278</v>
      </c>
      <c r="T36" s="10">
        <f>Tabella3[[#This Row],[Lombardy fit]]+CIl</f>
        <v>523.63623912031039</v>
      </c>
      <c r="U36" s="10">
        <f>MAX(Tabella3[[#This Row],[Lombardy fit]]-CIl,0)</f>
        <v>280.09902057293516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10">
        <f>Ka*EXP(-EXP(-(Tabella3[[#This Row],[Day]]-t0a)/wa))</f>
        <v>2344.0720672661919</v>
      </c>
      <c r="Z36" s="10">
        <f>Ka*EXP(-EXP(-(Tabella3[[#This Row],[Day]]-t0a)/wa))*EXP(-(Tabella3[[#This Row],[Day]]-t0a)/wa)/wa</f>
        <v>307.89469317860835</v>
      </c>
      <c r="AA36" s="10">
        <f>Tabella3[[#This Row],[rest of Italy fit]]*NOT(ISBLANK(Tabella3[[#This Row],[rest of Italy]]))</f>
        <v>307.89469317860835</v>
      </c>
      <c r="AB36" s="10">
        <f>Tabella3[[#This Row],[rest of Italy fit]]+CIa</f>
        <v>373.76160234640781</v>
      </c>
      <c r="AC36" s="10">
        <f>MAX(Tabella3[[#This Row],[rest of Italy fit]]-CIa,0)</f>
        <v>242.02778401080889</v>
      </c>
      <c r="AE36" s="2" t="s">
        <v>3</v>
      </c>
      <c r="AF36" s="1">
        <f>COUNT(Tabella3[rest of Italy])-COUNT(AF32:AF34)</f>
        <v>46</v>
      </c>
      <c r="AS36" s="77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6898.8237233253076</v>
      </c>
      <c r="H37" s="10">
        <f>Tabella3[[#This Row],[Lombardy fit]]+Tabella3[[#This Row],[rest of Italy fit]]</f>
        <v>733.9821188172757</v>
      </c>
      <c r="I37" s="10">
        <f>Kf*EXP(-EXP(-(Tabella3[[#This Row],[Day]]-t0f)/wf))*EXP(-(Tabella3[[#This Row],[Day]]-t0f)/wf)/wf</f>
        <v>736.04093955738051</v>
      </c>
      <c r="J37" s="10">
        <f>Tabella3[[#This Row],[Italy sum]]*NOT(ISBLANK(Tabella3[[#This Row],[Italy]]))</f>
        <v>733.9821188172757</v>
      </c>
      <c r="K37" s="10">
        <f>Tabella3[[#This Row],[Italy fit]]*NOT(ISBLANK(Tabella3[[#This Row],[Italy]]))</f>
        <v>736.04093955738051</v>
      </c>
      <c r="L37" s="10">
        <f>Tabella3[[#This Row],[Italy sum]]+CIw</f>
        <v>871.96168456922101</v>
      </c>
      <c r="M37" s="10">
        <f>MAX(Tabella3[[#This Row],[Italy sum]]-CIw,0)</f>
        <v>596.0025530653304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10">
        <f>Kl*EXP(-EXP(-(Tabella3[[#This Row],[Day]]-t0l)/wl))</f>
        <v>4238.3977248903866</v>
      </c>
      <c r="R37" s="10">
        <f>Kl*EXP(-EXP(-(Tabella3[[#This Row],[Day]]-t0l)/wl))*EXP(-(Tabella3[[#This Row],[Day]]-t0l)/wl)/wl</f>
        <v>409.51913043810373</v>
      </c>
      <c r="S37" s="10">
        <f>Tabella3[[#This Row],[Lombardy fit]]*NOT(ISBLANK(Tabella3[[#This Row],[Lombardy]]))</f>
        <v>409.51913043810373</v>
      </c>
      <c r="T37" s="10">
        <f>Tabella3[[#This Row],[Lombardy fit]]+CIl</f>
        <v>531.28773971179135</v>
      </c>
      <c r="U37" s="10">
        <f>MAX(Tabella3[[#This Row],[Lombardy fit]]-CIl,0)</f>
        <v>287.75052116441611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10">
        <f>Ka*EXP(-EXP(-(Tabella3[[#This Row],[Day]]-t0a)/wa))</f>
        <v>2660.4259984349214</v>
      </c>
      <c r="Z37" s="10">
        <f>Ka*EXP(-EXP(-(Tabella3[[#This Row],[Day]]-t0a)/wa))*EXP(-(Tabella3[[#This Row],[Day]]-t0a)/wa)/wa</f>
        <v>324.46298837917203</v>
      </c>
      <c r="AA37" s="10">
        <f>Tabella3[[#This Row],[rest of Italy fit]]*NOT(ISBLANK(Tabella3[[#This Row],[rest of Italy]]))</f>
        <v>324.46298837917203</v>
      </c>
      <c r="AB37" s="10">
        <f>Tabella3[[#This Row],[rest of Italy fit]]+CIa</f>
        <v>390.32989754697149</v>
      </c>
      <c r="AC37" s="10">
        <f>MAX(Tabella3[[#This Row],[rest of Italy fit]]-CIa,0)</f>
        <v>258.59607921137257</v>
      </c>
      <c r="AE37" s="2" t="s">
        <v>4</v>
      </c>
      <c r="AF37" s="6" cm="1">
        <f t="array" ref="AF37">SQRT(SUM((Tabella3[Colonna33]-Tabella3[Colonna322])^2)/dfa)</f>
        <v>32.722466680913989</v>
      </c>
      <c r="AS37" s="77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7642.6953628890005</v>
      </c>
      <c r="H38" s="10">
        <f>Tabella3[[#This Row],[Lombardy fit]]+Tabella3[[#This Row],[rest of Italy fit]]</f>
        <v>752.87016774984818</v>
      </c>
      <c r="I38" s="10">
        <f>Kf*EXP(-EXP(-(Tabella3[[#This Row],[Day]]-t0f)/wf))*EXP(-(Tabella3[[#This Row],[Day]]-t0f)/wf)/wf</f>
        <v>754.91269637435403</v>
      </c>
      <c r="J38" s="10">
        <f>Tabella3[[#This Row],[Italy sum]]*NOT(ISBLANK(Tabella3[[#This Row],[Italy]]))</f>
        <v>752.87016774984818</v>
      </c>
      <c r="K38" s="10">
        <f>Tabella3[[#This Row],[Italy fit]]*NOT(ISBLANK(Tabella3[[#This Row],[Italy]]))</f>
        <v>754.91269637435403</v>
      </c>
      <c r="L38" s="10">
        <f>Tabella3[[#This Row],[Italy sum]]+CIw</f>
        <v>890.84973350179348</v>
      </c>
      <c r="M38" s="10">
        <f>MAX(Tabella3[[#This Row],[Italy sum]]-CIw,0)</f>
        <v>614.89060199790288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10">
        <f>Kl*EXP(-EXP(-(Tabella3[[#This Row],[Day]]-t0l)/wl))</f>
        <v>4650.4278450399715</v>
      </c>
      <c r="R38" s="10">
        <f>Kl*EXP(-EXP(-(Tabella3[[#This Row],[Day]]-t0l)/wl))*EXP(-(Tabella3[[#This Row],[Day]]-t0l)/wl)/wl</f>
        <v>414.02824651853763</v>
      </c>
      <c r="S38" s="10">
        <f>Tabella3[[#This Row],[Lombardy fit]]*NOT(ISBLANK(Tabella3[[#This Row],[Lombardy]]))</f>
        <v>414.02824651853763</v>
      </c>
      <c r="T38" s="10">
        <f>Tabella3[[#This Row],[Lombardy fit]]+CIl</f>
        <v>535.7968557922253</v>
      </c>
      <c r="U38" s="10">
        <f>MAX(Tabella3[[#This Row],[Lombardy fit]]-CIl,0)</f>
        <v>292.25963724484996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10">
        <f>Ka*EXP(-EXP(-(Tabella3[[#This Row],[Day]]-t0a)/wa))</f>
        <v>2992.267517849029</v>
      </c>
      <c r="Z38" s="10">
        <f>Ka*EXP(-EXP(-(Tabella3[[#This Row],[Day]]-t0a)/wa))*EXP(-(Tabella3[[#This Row],[Day]]-t0a)/wa)/wa</f>
        <v>338.84192123131049</v>
      </c>
      <c r="AA38" s="10">
        <f>Tabella3[[#This Row],[rest of Italy fit]]*NOT(ISBLANK(Tabella3[[#This Row],[rest of Italy]]))</f>
        <v>338.84192123131049</v>
      </c>
      <c r="AB38" s="10">
        <f>Tabella3[[#This Row],[rest of Italy fit]]+CIa</f>
        <v>404.70883039910996</v>
      </c>
      <c r="AC38" s="10">
        <f>MAX(Tabella3[[#This Row],[rest of Italy fit]]-CIa,0)</f>
        <v>272.97501206351103</v>
      </c>
      <c r="AE38" s="2" t="s">
        <v>5</v>
      </c>
      <c r="AF38" s="7" cm="1">
        <f t="array" ref="AF38">1-SUM((Tabella3[Colonna33]-Tabella3[Colonna322])^2)/SUM((Tabella3[Colonna33]-Mean_of_ya)^2)</f>
        <v>0.97495344628255787</v>
      </c>
      <c r="AS38" s="77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8402.7912743264587</v>
      </c>
      <c r="H39" s="10">
        <f>Tabella3[[#This Row],[Lombardy fit]]+Tabella3[[#This Row],[rest of Italy fit]]</f>
        <v>766.44371670473595</v>
      </c>
      <c r="I39" s="10">
        <f>Kf*EXP(-EXP(-(Tabella3[[#This Row],[Day]]-t0f)/wf))*EXP(-(Tabella3[[#This Row],[Day]]-t0f)/wf)/wf</f>
        <v>768.37516889802691</v>
      </c>
      <c r="J39" s="10">
        <f>Tabella3[[#This Row],[Italy sum]]*NOT(ISBLANK(Tabella3[[#This Row],[Italy]]))</f>
        <v>766.44371670473595</v>
      </c>
      <c r="K39" s="10">
        <f>Tabella3[[#This Row],[Italy fit]]*NOT(ISBLANK(Tabella3[[#This Row],[Italy]]))</f>
        <v>768.37516889802691</v>
      </c>
      <c r="L39" s="10">
        <f>Tabella3[[#This Row],[Italy sum]]+CIw</f>
        <v>904.42328245668114</v>
      </c>
      <c r="M39" s="10">
        <f>MAX(Tabella3[[#This Row],[Italy sum]]-CIw,0)</f>
        <v>628.46415095279076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10">
        <f>Kl*EXP(-EXP(-(Tabella3[[#This Row],[Day]]-t0l)/wl))</f>
        <v>5065.4568877809234</v>
      </c>
      <c r="R39" s="10">
        <f>Kl*EXP(-EXP(-(Tabella3[[#This Row],[Day]]-t0l)/wl))*EXP(-(Tabella3[[#This Row],[Day]]-t0l)/wl)/wl</f>
        <v>415.54710279538057</v>
      </c>
      <c r="S39" s="10">
        <f>Tabella3[[#This Row],[Lombardy fit]]*NOT(ISBLANK(Tabella3[[#This Row],[Lombardy]]))</f>
        <v>415.54710279538057</v>
      </c>
      <c r="T39" s="10">
        <f>Tabella3[[#This Row],[Lombardy fit]]+CIl</f>
        <v>537.31571206906824</v>
      </c>
      <c r="U39" s="10">
        <f>MAX(Tabella3[[#This Row],[Lombardy fit]]-CIl,0)</f>
        <v>293.77849352169289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10">
        <f>Ka*EXP(-EXP(-(Tabella3[[#This Row],[Day]]-t0a)/wa))</f>
        <v>3337.3343865455349</v>
      </c>
      <c r="Z39" s="10">
        <f>Ka*EXP(-EXP(-(Tabella3[[#This Row],[Day]]-t0a)/wa))*EXP(-(Tabella3[[#This Row],[Day]]-t0a)/wa)/wa</f>
        <v>350.89661390935538</v>
      </c>
      <c r="AA39" s="10">
        <f>Tabella3[[#This Row],[rest of Italy fit]]*NOT(ISBLANK(Tabella3[[#This Row],[rest of Italy]]))</f>
        <v>350.89661390935538</v>
      </c>
      <c r="AB39" s="10">
        <f>Tabella3[[#This Row],[rest of Italy fit]]+CIa</f>
        <v>416.76352307715484</v>
      </c>
      <c r="AC39" s="10">
        <f>MAX(Tabella3[[#This Row],[rest of Italy fit]]-CIa,0)</f>
        <v>285.02970474155592</v>
      </c>
      <c r="AE39" s="2" t="s">
        <v>6</v>
      </c>
      <c r="AF39" s="7">
        <f>TINV(0.05,dfa)</f>
        <v>2.0128955989194299</v>
      </c>
      <c r="AS39" s="77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9173.8544379285049</v>
      </c>
      <c r="H40" s="10">
        <f>Tabella3[[#This Row],[Lombardy fit]]+Tabella3[[#This Row],[rest of Italy fit]]</f>
        <v>774.83540290640667</v>
      </c>
      <c r="I40" s="10">
        <f>Kf*EXP(-EXP(-(Tabella3[[#This Row],[Day]]-t0f)/wf))*EXP(-(Tabella3[[#This Row],[Day]]-t0f)/wf)/wf</f>
        <v>776.56659427752061</v>
      </c>
      <c r="J40" s="10">
        <f>Tabella3[[#This Row],[Italy sum]]*NOT(ISBLANK(Tabella3[[#This Row],[Italy]]))</f>
        <v>774.83540290640667</v>
      </c>
      <c r="K40" s="10">
        <f>Tabella3[[#This Row],[Italy fit]]*NOT(ISBLANK(Tabella3[[#This Row],[Italy]]))</f>
        <v>776.56659427752061</v>
      </c>
      <c r="L40" s="10">
        <f>Tabella3[[#This Row],[Italy sum]]+CIw</f>
        <v>912.81496865835197</v>
      </c>
      <c r="M40" s="10">
        <f>MAX(Tabella3[[#This Row],[Italy sum]]-CIw,0)</f>
        <v>636.85583715446137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10">
        <f>Kl*EXP(-EXP(-(Tabella3[[#This Row],[Day]]-t0l)/wl))</f>
        <v>5480.592910459045</v>
      </c>
      <c r="R40" s="10">
        <f>Kl*EXP(-EXP(-(Tabella3[[#This Row],[Day]]-t0l)/wl))*EXP(-(Tabella3[[#This Row],[Day]]-t0l)/wl)/wl</f>
        <v>414.2797965564227</v>
      </c>
      <c r="S40" s="10">
        <f>Tabella3[[#This Row],[Lombardy fit]]*NOT(ISBLANK(Tabella3[[#This Row],[Lombardy]]))</f>
        <v>414.2797965564227</v>
      </c>
      <c r="T40" s="10">
        <f>Tabella3[[#This Row],[Lombardy fit]]+CIl</f>
        <v>536.04840583011037</v>
      </c>
      <c r="U40" s="10">
        <f>MAX(Tabella3[[#This Row],[Lombardy fit]]-CIl,0)</f>
        <v>292.51118728273502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10">
        <f>Ka*EXP(-EXP(-(Tabella3[[#This Row],[Day]]-t0a)/wa))</f>
        <v>3693.2615274694599</v>
      </c>
      <c r="Z40" s="10">
        <f>Ka*EXP(-EXP(-(Tabella3[[#This Row],[Day]]-t0a)/wa))*EXP(-(Tabella3[[#This Row],[Day]]-t0a)/wa)/wa</f>
        <v>360.55560634998392</v>
      </c>
      <c r="AA40" s="10">
        <f>Tabella3[[#This Row],[rest of Italy fit]]*NOT(ISBLANK(Tabella3[[#This Row],[rest of Italy]]))</f>
        <v>360.55560634998392</v>
      </c>
      <c r="AB40" s="10">
        <f>Tabella3[[#This Row],[rest of Italy fit]]+CIa</f>
        <v>426.42251551778338</v>
      </c>
      <c r="AC40" s="10">
        <f>MAX(Tabella3[[#This Row],[rest of Italy fit]]-CIa,0)</f>
        <v>294.68869718218446</v>
      </c>
      <c r="AE40" s="2" t="s">
        <v>7</v>
      </c>
      <c r="AF40" s="1">
        <f>Critical_ta*SE_of_ya</f>
        <v>65.866909167799449</v>
      </c>
      <c r="AS40" s="77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9950.8102569890452</v>
      </c>
      <c r="H41" s="10">
        <f>Tabella3[[#This Row],[Lombardy fit]]+Tabella3[[#This Row],[rest of Italy fit]]</f>
        <v>778.27417354090267</v>
      </c>
      <c r="I41" s="10">
        <f>Kf*EXP(-EXP(-(Tabella3[[#This Row],[Day]]-t0f)/wf))*EXP(-(Tabella3[[#This Row],[Day]]-t0f)/wf)/wf</f>
        <v>779.72499362040207</v>
      </c>
      <c r="J41" s="10">
        <f>Tabella3[[#This Row],[Italy sum]]*NOT(ISBLANK(Tabella3[[#This Row],[Italy]]))</f>
        <v>778.27417354090267</v>
      </c>
      <c r="K41" s="10">
        <f>Tabella3[[#This Row],[Italy fit]]*NOT(ISBLANK(Tabella3[[#This Row],[Italy]]))</f>
        <v>779.72499362040207</v>
      </c>
      <c r="L41" s="10">
        <f>Tabella3[[#This Row],[Italy sum]]+CIw</f>
        <v>916.25373929284797</v>
      </c>
      <c r="M41" s="10">
        <f>MAX(Tabella3[[#This Row],[Italy sum]]-CIw,0)</f>
        <v>640.29460778895736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10">
        <f>Kl*EXP(-EXP(-(Tabella3[[#This Row],[Day]]-t0l)/wl))</f>
        <v>5893.1681417605296</v>
      </c>
      <c r="R41" s="10">
        <f>Kl*EXP(-EXP(-(Tabella3[[#This Row],[Day]]-t0l)/wl))*EXP(-(Tabella3[[#This Row],[Day]]-t0l)/wl)/wl</f>
        <v>410.46829417628379</v>
      </c>
      <c r="S41" s="10">
        <f>Tabella3[[#This Row],[Lombardy fit]]*NOT(ISBLANK(Tabella3[[#This Row],[Lombardy]]))</f>
        <v>410.46829417628379</v>
      </c>
      <c r="T41" s="10">
        <f>Tabella3[[#This Row],[Lombardy fit]]+CIl</f>
        <v>532.23690344997146</v>
      </c>
      <c r="U41" s="10">
        <f>MAX(Tabella3[[#This Row],[Lombardy fit]]-CIl,0)</f>
        <v>288.69968490259612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10">
        <f>Ka*EXP(-EXP(-(Tabella3[[#This Row],[Day]]-t0a)/wa))</f>
        <v>4057.6421152285152</v>
      </c>
      <c r="Z41" s="10">
        <f>Ka*EXP(-EXP(-(Tabella3[[#This Row],[Day]]-t0a)/wa))*EXP(-(Tabella3[[#This Row],[Day]]-t0a)/wa)/wa</f>
        <v>367.80587936461882</v>
      </c>
      <c r="AA41" s="10">
        <f>Tabella3[[#This Row],[rest of Italy fit]]*NOT(ISBLANK(Tabella3[[#This Row],[rest of Italy]]))</f>
        <v>367.80587936461882</v>
      </c>
      <c r="AB41" s="10">
        <f>Tabella3[[#This Row],[rest of Italy fit]]+CIa</f>
        <v>433.67278853241828</v>
      </c>
      <c r="AC41" s="10">
        <f>MAX(Tabella3[[#This Row],[rest of Italy fit]]-CIa,0)</f>
        <v>301.93897019681935</v>
      </c>
      <c r="AE41" s="54" t="s">
        <v>113</v>
      </c>
      <c r="AF41" s="55">
        <f>Ka/(EXP(1)*wa)</f>
        <v>375.79763402848511</v>
      </c>
      <c r="AS41" s="77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10728.853050959638</v>
      </c>
      <c r="H42" s="10">
        <f>Tabella3[[#This Row],[Lombardy fit]]+Tabella3[[#This Row],[rest of Italy fit]]</f>
        <v>777.06565456093165</v>
      </c>
      <c r="I42" s="10">
        <f>Kf*EXP(-EXP(-(Tabella3[[#This Row],[Day]]-t0f)/wf))*EXP(-(Tabella3[[#This Row],[Day]]-t0f)/wf)/wf</f>
        <v>778.16759183103943</v>
      </c>
      <c r="J42" s="10">
        <f>Tabella3[[#This Row],[Italy sum]]*NOT(ISBLANK(Tabella3[[#This Row],[Italy]]))</f>
        <v>777.06565456093165</v>
      </c>
      <c r="K42" s="10">
        <f>Tabella3[[#This Row],[Italy fit]]*NOT(ISBLANK(Tabella3[[#This Row],[Italy]]))</f>
        <v>778.16759183103943</v>
      </c>
      <c r="L42" s="10">
        <f>Tabella3[[#This Row],[Italy sum]]+CIw</f>
        <v>915.04522031287684</v>
      </c>
      <c r="M42" s="10">
        <f>MAX(Tabella3[[#This Row],[Italy sum]]-CIw,0)</f>
        <v>639.08608880898646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10">
        <f>Kl*EXP(-EXP(-(Tabella3[[#This Row],[Day]]-t0l)/wl))</f>
        <v>6300.7702161775178</v>
      </c>
      <c r="R42" s="10">
        <f>Kl*EXP(-EXP(-(Tabella3[[#This Row],[Day]]-t0l)/wl))*EXP(-(Tabella3[[#This Row],[Day]]-t0l)/wl)/wl</f>
        <v>404.37937813038621</v>
      </c>
      <c r="S42" s="10">
        <f>Tabella3[[#This Row],[Lombardy fit]]*NOT(ISBLANK(Tabella3[[#This Row],[Lombardy]]))</f>
        <v>404.37937813038621</v>
      </c>
      <c r="T42" s="10">
        <f>Tabella3[[#This Row],[Lombardy fit]]+CIl</f>
        <v>526.14798740407389</v>
      </c>
      <c r="U42" s="10">
        <f>MAX(Tabella3[[#This Row],[Lombardy fit]]-CIl,0)</f>
        <v>282.61076885669854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10">
        <f>Ka*EXP(-EXP(-(Tabella3[[#This Row],[Day]]-t0a)/wa))</f>
        <v>4428.0828347821207</v>
      </c>
      <c r="Z42" s="10">
        <f>Ka*EXP(-EXP(-(Tabella3[[#This Row],[Day]]-t0a)/wa))*EXP(-(Tabella3[[#This Row],[Day]]-t0a)/wa)/wa</f>
        <v>372.68627643054543</v>
      </c>
      <c r="AA42" s="10">
        <f>Tabella3[[#This Row],[rest of Italy fit]]*NOT(ISBLANK(Tabella3[[#This Row],[rest of Italy]]))</f>
        <v>372.68627643054543</v>
      </c>
      <c r="AB42" s="10">
        <f>Tabella3[[#This Row],[rest of Italy fit]]+CIa</f>
        <v>438.5531855983449</v>
      </c>
      <c r="AC42" s="10">
        <f>MAX(Tabella3[[#This Row],[rest of Italy fit]]-CIa,0)</f>
        <v>306.81936726274597</v>
      </c>
      <c r="AE42" s="54" t="s">
        <v>145</v>
      </c>
      <c r="AF42" s="56">
        <f>_xlfn.XLOOKUP(ROUND(t0a,0),Tabella3[Day],Tabella3[Date])</f>
        <v>43921</v>
      </c>
      <c r="AS42" s="78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11503.513083495447</v>
      </c>
      <c r="H43" s="10">
        <f>Tabella3[[#This Row],[Lombardy fit]]+Tabella3[[#This Row],[rest of Italy fit]]</f>
        <v>771.57300165274</v>
      </c>
      <c r="I43" s="10">
        <f>Kf*EXP(-EXP(-(Tabella3[[#This Row],[Day]]-t0f)/wf))*EXP(-(Tabella3[[#This Row],[Day]]-t0f)/wf)/wf</f>
        <v>772.27073372457869</v>
      </c>
      <c r="J43" s="10">
        <f>Tabella3[[#This Row],[Italy sum]]*NOT(ISBLANK(Tabella3[[#This Row],[Italy]]))</f>
        <v>771.57300165274</v>
      </c>
      <c r="K43" s="10">
        <f>Tabella3[[#This Row],[Italy fit]]*NOT(ISBLANK(Tabella3[[#This Row],[Italy]]))</f>
        <v>772.27073372457869</v>
      </c>
      <c r="L43" s="10">
        <f>Tabella3[[#This Row],[Italy sum]]+CIw</f>
        <v>909.55256740468531</v>
      </c>
      <c r="M43" s="10">
        <f>MAX(Tabella3[[#This Row],[Italy sum]]-CIw,0)</f>
        <v>633.5934359007947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10">
        <f>Kl*EXP(-EXP(-(Tabella3[[#This Row],[Day]]-t0l)/wl))</f>
        <v>6701.2610634986077</v>
      </c>
      <c r="R43" s="10">
        <f>Kl*EXP(-EXP(-(Tabella3[[#This Row],[Day]]-t0l)/wl))*EXP(-(Tabella3[[#This Row],[Day]]-t0l)/wl)/wl</f>
        <v>396.29306294315637</v>
      </c>
      <c r="S43" s="10">
        <f>Tabella3[[#This Row],[Lombardy fit]]*NOT(ISBLANK(Tabella3[[#This Row],[Lombardy]]))</f>
        <v>396.29306294315637</v>
      </c>
      <c r="T43" s="10">
        <f>Tabella3[[#This Row],[Lombardy fit]]+CIl</f>
        <v>518.06167221684404</v>
      </c>
      <c r="U43" s="10">
        <f>MAX(Tabella3[[#This Row],[Lombardy fit]]-CIl,0)</f>
        <v>274.5244536694687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10">
        <f>Ka*EXP(-EXP(-(Tabella3[[#This Row],[Day]]-t0a)/wa))</f>
        <v>4802.2520199968403</v>
      </c>
      <c r="Z43" s="10">
        <f>Ka*EXP(-EXP(-(Tabella3[[#This Row],[Day]]-t0a)/wa))*EXP(-(Tabella3[[#This Row],[Day]]-t0a)/wa)/wa</f>
        <v>375.27993870958358</v>
      </c>
      <c r="AA43" s="10">
        <f>Tabella3[[#This Row],[rest of Italy fit]]*NOT(ISBLANK(Tabella3[[#This Row],[rest of Italy]]))</f>
        <v>375.27993870958358</v>
      </c>
      <c r="AB43" s="10">
        <f>Tabella3[[#This Row],[rest of Italy fit]]+CIa</f>
        <v>441.14684787738304</v>
      </c>
      <c r="AC43" s="10">
        <f>MAX(Tabella3[[#This Row],[rest of Italy fit]]-CIa,0)</f>
        <v>309.41302954178411</v>
      </c>
      <c r="AE43" s="57" t="s">
        <v>146</v>
      </c>
      <c r="AF43" s="21" t="s">
        <v>88</v>
      </c>
      <c r="AS43" s="82">
        <f>MAX($AF$50)</f>
        <v>0.97217869407169011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12270.705014083427</v>
      </c>
      <c r="H44" s="10">
        <f>Tabella3[[#This Row],[Lombardy fit]]+Tabella3[[#This Row],[rest of Italy fit]]</f>
        <v>762.19900360896918</v>
      </c>
      <c r="I44" s="10">
        <f>Kf*EXP(-EXP(-(Tabella3[[#This Row],[Day]]-t0f)/wf))*EXP(-(Tabella3[[#This Row],[Day]]-t0f)/wf)/wf</f>
        <v>762.45112932246445</v>
      </c>
      <c r="J44" s="10">
        <f>Tabella3[[#This Row],[Italy sum]]*NOT(ISBLANK(Tabella3[[#This Row],[Italy]]))</f>
        <v>762.19900360896918</v>
      </c>
      <c r="K44" s="10">
        <f>Tabella3[[#This Row],[Italy fit]]*NOT(ISBLANK(Tabella3[[#This Row],[Italy]]))</f>
        <v>762.45112932246445</v>
      </c>
      <c r="L44" s="10">
        <f>Tabella3[[#This Row],[Italy sum]]+CIw</f>
        <v>900.17856936091448</v>
      </c>
      <c r="M44" s="10">
        <f>MAX(Tabella3[[#This Row],[Italy sum]]-CIw,0)</f>
        <v>624.21943785702388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10">
        <f>Kl*EXP(-EXP(-(Tabella3[[#This Row],[Day]]-t0l)/wl))</f>
        <v>7092.7850511724246</v>
      </c>
      <c r="R44" s="10">
        <f>Kl*EXP(-EXP(-(Tabella3[[#This Row],[Day]]-t0l)/wl))*EXP(-(Tabella3[[#This Row],[Day]]-t0l)/wl)/wl</f>
        <v>386.49270931097186</v>
      </c>
      <c r="S44" s="10">
        <f>Tabella3[[#This Row],[Lombardy fit]]*NOT(ISBLANK(Tabella3[[#This Row],[Lombardy]]))</f>
        <v>386.49270931097186</v>
      </c>
      <c r="T44" s="10">
        <f>Tabella3[[#This Row],[Lombardy fit]]+CIl</f>
        <v>508.26131858465953</v>
      </c>
      <c r="U44" s="10">
        <f>MAX(Tabella3[[#This Row],[Lombardy fit]]-CIl,0)</f>
        <v>264.72410003728419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10">
        <f>Ka*EXP(-EXP(-(Tabella3[[#This Row],[Day]]-t0a)/wa))</f>
        <v>5177.9199629110026</v>
      </c>
      <c r="Z44" s="10">
        <f>Ka*EXP(-EXP(-(Tabella3[[#This Row],[Day]]-t0a)/wa))*EXP(-(Tabella3[[#This Row],[Day]]-t0a)/wa)/wa</f>
        <v>375.70629429799737</v>
      </c>
      <c r="AA44" s="10">
        <f>Tabella3[[#This Row],[rest of Italy fit]]*NOT(ISBLANK(Tabella3[[#This Row],[rest of Italy]]))</f>
        <v>375.70629429799737</v>
      </c>
      <c r="AB44" s="10">
        <f>Tabella3[[#This Row],[rest of Italy fit]]+CIa</f>
        <v>441.57320346579684</v>
      </c>
      <c r="AC44" s="10">
        <f>MAX(Tabella3[[#This Row],[rest of Italy fit]]-CIa,0)</f>
        <v>309.83938513019791</v>
      </c>
      <c r="AE44" s="17" t="s">
        <v>0</v>
      </c>
      <c r="AF44" s="5">
        <f>Kt</f>
        <v>27406.823711884386</v>
      </c>
      <c r="AS44" s="83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13026.75930758347</v>
      </c>
      <c r="H45" s="10">
        <f>Tabella3[[#This Row],[Lombardy fit]]+Tabella3[[#This Row],[rest of Italy fit]]</f>
        <v>749.36996340489122</v>
      </c>
      <c r="I45" s="10">
        <f>Kf*EXP(-EXP(-(Tabella3[[#This Row],[Day]]-t0f)/wf))*EXP(-(Tabella3[[#This Row],[Day]]-t0f)/wf)/wf</f>
        <v>749.14899468865372</v>
      </c>
      <c r="J45" s="10">
        <f>Tabella3[[#This Row],[Italy sum]]*NOT(ISBLANK(Tabella3[[#This Row],[Italy]]))</f>
        <v>749.36996340489122</v>
      </c>
      <c r="K45" s="10">
        <f>Tabella3[[#This Row],[Italy fit]]*NOT(ISBLANK(Tabella3[[#This Row],[Italy]]))</f>
        <v>749.14899468865372</v>
      </c>
      <c r="L45" s="10">
        <f>Tabella3[[#This Row],[Italy sum]]+CIw</f>
        <v>887.34952915683652</v>
      </c>
      <c r="M45" s="10">
        <f>MAX(Tabella3[[#This Row],[Italy sum]]-CIw,0)</f>
        <v>611.39039765294592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10">
        <f>Kl*EXP(-EXP(-(Tabella3[[#This Row],[Day]]-t0l)/wl))</f>
        <v>7473.7681271252759</v>
      </c>
      <c r="R45" s="10">
        <f>Kl*EXP(-EXP(-(Tabella3[[#This Row],[Day]]-t0l)/wl))*EXP(-(Tabella3[[#This Row],[Day]]-t0l)/wl)/wl</f>
        <v>375.25691289909741</v>
      </c>
      <c r="S45" s="10">
        <f>Tabella3[[#This Row],[Lombardy fit]]*NOT(ISBLANK(Tabella3[[#This Row],[Lombardy]]))</f>
        <v>375.25691289909741</v>
      </c>
      <c r="T45" s="10">
        <f>Tabella3[[#This Row],[Lombardy fit]]+CIl</f>
        <v>497.02552217278503</v>
      </c>
      <c r="U45" s="10">
        <f>MAX(Tabella3[[#This Row],[Lombardy fit]]-CIl,0)</f>
        <v>253.48830362540977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10">
        <f>Ka*EXP(-EXP(-(Tabella3[[#This Row],[Day]]-t0a)/wa))</f>
        <v>5552.9911804581952</v>
      </c>
      <c r="Z45" s="10">
        <f>Ka*EXP(-EXP(-(Tabella3[[#This Row],[Day]]-t0a)/wa))*EXP(-(Tabella3[[#This Row],[Day]]-t0a)/wa)/wa</f>
        <v>374.11305050579381</v>
      </c>
      <c r="AA45" s="10">
        <f>Tabella3[[#This Row],[rest of Italy fit]]*NOT(ISBLANK(Tabella3[[#This Row],[rest of Italy]]))</f>
        <v>374.11305050579381</v>
      </c>
      <c r="AB45" s="10">
        <f>Tabella3[[#This Row],[rest of Italy fit]]+CIa</f>
        <v>439.97995967359327</v>
      </c>
      <c r="AC45" s="10">
        <f>MAX(Tabella3[[#This Row],[rest of Italy fit]]-CIa,0)</f>
        <v>308.24614133799435</v>
      </c>
      <c r="AE45" s="17" t="s">
        <v>24</v>
      </c>
      <c r="AF45" s="37">
        <f>t0t</f>
        <v>33.158129562339184</v>
      </c>
      <c r="AS45" s="83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13768.438551271222</v>
      </c>
      <c r="H46" s="10">
        <f>Tabella3[[#This Row],[Lombardy fit]]+Tabella3[[#This Row],[rest of Italy fit]]</f>
        <v>733.52166802050317</v>
      </c>
      <c r="I46" s="10">
        <f>Kf*EXP(-EXP(-(Tabella3[[#This Row],[Day]]-t0f)/wf))*EXP(-(Tabella3[[#This Row],[Day]]-t0f)/wf)/wf</f>
        <v>732.8134211687277</v>
      </c>
      <c r="J46" s="10">
        <f>Tabella3[[#This Row],[Italy sum]]*NOT(ISBLANK(Tabella3[[#This Row],[Italy]]))</f>
        <v>733.52166802050317</v>
      </c>
      <c r="K46" s="10">
        <f>Tabella3[[#This Row],[Italy fit]]*NOT(ISBLANK(Tabella3[[#This Row],[Italy]]))</f>
        <v>732.8134211687277</v>
      </c>
      <c r="L46" s="10">
        <f>Tabella3[[#This Row],[Italy sum]]+CIw</f>
        <v>871.50123377244836</v>
      </c>
      <c r="M46" s="10">
        <f>MAX(Tabella3[[#This Row],[Italy sum]]-CIw,0)</f>
        <v>595.54210226855798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10">
        <f>Kl*EXP(-EXP(-(Tabella3[[#This Row],[Day]]-t0l)/wl))</f>
        <v>7842.9097263362564</v>
      </c>
      <c r="R46" s="10">
        <f>Kl*EXP(-EXP(-(Tabella3[[#This Row],[Day]]-t0l)/wl))*EXP(-(Tabella3[[#This Row],[Day]]-t0l)/wl)/wl</f>
        <v>362.85312882564921</v>
      </c>
      <c r="S46" s="10">
        <f>Tabella3[[#This Row],[Lombardy fit]]*NOT(ISBLANK(Tabella3[[#This Row],[Lombardy]]))</f>
        <v>362.85312882564921</v>
      </c>
      <c r="T46" s="10">
        <f>Tabella3[[#This Row],[Lombardy fit]]+CIl</f>
        <v>484.62173809933688</v>
      </c>
      <c r="U46" s="10">
        <f>MAX(Tabella3[[#This Row],[Lombardy fit]]-CIl,0)</f>
        <v>241.08451955196156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10">
        <f>Ka*EXP(-EXP(-(Tabella3[[#This Row],[Day]]-t0a)/wa))</f>
        <v>5925.528824934966</v>
      </c>
      <c r="Z46" s="10">
        <f>Ka*EXP(-EXP(-(Tabella3[[#This Row],[Day]]-t0a)/wa))*EXP(-(Tabella3[[#This Row],[Day]]-t0a)/wa)/wa</f>
        <v>370.66853919485396</v>
      </c>
      <c r="AA46" s="10">
        <f>Tabella3[[#This Row],[rest of Italy fit]]*NOT(ISBLANK(Tabella3[[#This Row],[rest of Italy]]))</f>
        <v>370.66853919485396</v>
      </c>
      <c r="AB46" s="10">
        <f>Tabella3[[#This Row],[rest of Italy fit]]+CIa</f>
        <v>436.53544836265343</v>
      </c>
      <c r="AC46" s="10">
        <f>MAX(Tabella3[[#This Row],[rest of Italy fit]]-CIa,0)</f>
        <v>304.8016300270545</v>
      </c>
      <c r="AE46" s="17" t="s">
        <v>1</v>
      </c>
      <c r="AF46" s="37">
        <f>wt</f>
        <v>12.929750878763748</v>
      </c>
      <c r="AS46" s="8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14492.940848218244</v>
      </c>
      <c r="H47" s="10">
        <f>Tabella3[[#This Row],[Lombardy fit]]+Tabella3[[#This Row],[rest of Italy fit]]</f>
        <v>715.08758089231378</v>
      </c>
      <c r="I47" s="10">
        <f>Kf*EXP(-EXP(-(Tabella3[[#This Row],[Day]]-t0f)/wf))*EXP(-(Tabella3[[#This Row],[Day]]-t0f)/wf)/wf</f>
        <v>713.89011301150845</v>
      </c>
      <c r="J47" s="10">
        <f>Tabella3[[#This Row],[Italy sum]]*NOT(ISBLANK(Tabella3[[#This Row],[Italy]]))</f>
        <v>715.08758089231378</v>
      </c>
      <c r="K47" s="10">
        <f>Tabella3[[#This Row],[Italy fit]]*NOT(ISBLANK(Tabella3[[#This Row],[Italy]]))</f>
        <v>713.89011301150845</v>
      </c>
      <c r="L47" s="10">
        <f>Tabella3[[#This Row],[Italy sum]]+CIw</f>
        <v>853.06714664425908</v>
      </c>
      <c r="M47" s="10">
        <f>MAX(Tabella3[[#This Row],[Italy sum]]-CIw,0)</f>
        <v>577.10801514036848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10">
        <f>Kl*EXP(-EXP(-(Tabella3[[#This Row],[Day]]-t0l)/wl))</f>
        <v>8199.1691223216494</v>
      </c>
      <c r="R47" s="10">
        <f>Kl*EXP(-EXP(-(Tabella3[[#This Row],[Day]]-t0l)/wl))*EXP(-(Tabella3[[#This Row],[Day]]-t0l)/wl)/wl</f>
        <v>349.53291192800873</v>
      </c>
      <c r="S47" s="10">
        <f>Tabella3[[#This Row],[Lombardy fit]]*NOT(ISBLANK(Tabella3[[#This Row],[Lombardy]]))</f>
        <v>349.53291192800873</v>
      </c>
      <c r="T47" s="10">
        <f>Tabella3[[#This Row],[Lombardy fit]]+CIl</f>
        <v>471.30152120169635</v>
      </c>
      <c r="U47" s="10">
        <f>MAX(Tabella3[[#This Row],[Lombardy fit]]-CIl,0)</f>
        <v>227.76430265432109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10">
        <f>Ka*EXP(-EXP(-(Tabella3[[#This Row],[Day]]-t0a)/wa))</f>
        <v>6293.7717258965949</v>
      </c>
      <c r="Z47" s="10">
        <f>Ka*EXP(-EXP(-(Tabella3[[#This Row],[Day]]-t0a)/wa))*EXP(-(Tabella3[[#This Row],[Day]]-t0a)/wa)/wa</f>
        <v>365.55466896430505</v>
      </c>
      <c r="AA47" s="10">
        <f>Tabella3[[#This Row],[rest of Italy fit]]*NOT(ISBLANK(Tabella3[[#This Row],[rest of Italy]]))</f>
        <v>365.55466896430505</v>
      </c>
      <c r="AB47" s="10">
        <f>Tabella3[[#This Row],[rest of Italy fit]]+CIa</f>
        <v>431.42157813210451</v>
      </c>
      <c r="AC47" s="10">
        <f>MAX(Tabella3[[#This Row],[rest of Italy fit]]-CIa,0)</f>
        <v>299.68775979650559</v>
      </c>
      <c r="AE47" s="2" t="s">
        <v>2</v>
      </c>
      <c r="AF47" s="1">
        <f>AVERAGE(Tabella3[Italy])</f>
        <v>417.51020408163265</v>
      </c>
      <c r="AS47" s="8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15197.892517262986</v>
      </c>
      <c r="H48" s="10">
        <f>Tabella3[[#This Row],[Lombardy fit]]+Tabella3[[#This Row],[rest of Italy fit]]</f>
        <v>694.48925229840222</v>
      </c>
      <c r="I48" s="10">
        <f>Kf*EXP(-EXP(-(Tabella3[[#This Row],[Day]]-t0f)/wf))*EXP(-(Tabella3[[#This Row],[Day]]-t0f)/wf)/wf</f>
        <v>692.81148296736797</v>
      </c>
      <c r="J48" s="10">
        <f>Tabella3[[#This Row],[Italy sum]]*NOT(ISBLANK(Tabella3[[#This Row],[Italy]]))</f>
        <v>694.48925229840222</v>
      </c>
      <c r="K48" s="10">
        <f>Tabella3[[#This Row],[Italy fit]]*NOT(ISBLANK(Tabella3[[#This Row],[Italy]]))</f>
        <v>692.81148296736797</v>
      </c>
      <c r="L48" s="10">
        <f>Tabella3[[#This Row],[Italy sum]]+CIw</f>
        <v>832.46881805034741</v>
      </c>
      <c r="M48" s="10">
        <f>MAX(Tabella3[[#This Row],[Italy sum]]-CIw,0)</f>
        <v>556.50968654645703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10">
        <f>Kl*EXP(-EXP(-(Tabella3[[#This Row],[Day]]-t0l)/wl))</f>
        <v>8541.7477569891562</v>
      </c>
      <c r="R48" s="10">
        <f>Kl*EXP(-EXP(-(Tabella3[[#This Row],[Day]]-t0l)/wl))*EXP(-(Tabella3[[#This Row],[Day]]-t0l)/wl)/wl</f>
        <v>335.52860186083791</v>
      </c>
      <c r="S48" s="10">
        <f>Tabella3[[#This Row],[Lombardy fit]]*NOT(ISBLANK(Tabella3[[#This Row],[Lombardy]]))</f>
        <v>335.52860186083791</v>
      </c>
      <c r="T48" s="10">
        <f>Tabella3[[#This Row],[Lombardy fit]]+CIl</f>
        <v>457.29721113452558</v>
      </c>
      <c r="U48" s="10">
        <f>MAX(Tabella3[[#This Row],[Lombardy fit]]-CIl,0)</f>
        <v>213.75999258715026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10">
        <f>Ka*EXP(-EXP(-(Tabella3[[#This Row],[Day]]-t0a)/wa))</f>
        <v>6656.1447602738308</v>
      </c>
      <c r="Z48" s="10">
        <f>Ka*EXP(-EXP(-(Tabella3[[#This Row],[Day]]-t0a)/wa))*EXP(-(Tabella3[[#This Row],[Day]]-t0a)/wa)/wa</f>
        <v>358.96065043756431</v>
      </c>
      <c r="AA48" s="10">
        <f>Tabella3[[#This Row],[rest of Italy fit]]*NOT(ISBLANK(Tabella3[[#This Row],[rest of Italy]]))</f>
        <v>358.96065043756431</v>
      </c>
      <c r="AB48" s="10">
        <f>Tabella3[[#This Row],[rest of Italy fit]]+CIa</f>
        <v>424.82755960536377</v>
      </c>
      <c r="AC48" s="10">
        <f>MAX(Tabella3[[#This Row],[rest of Italy fit]]-CIa,0)</f>
        <v>293.09374126976485</v>
      </c>
      <c r="AE48" s="2" t="s">
        <v>3</v>
      </c>
      <c r="AF48" s="1">
        <f>COUNT(Tabella3[Italy])-COUNT(AF44:AF46)</f>
        <v>46</v>
      </c>
      <c r="AG48" s="6"/>
      <c r="AS48" s="84"/>
    </row>
    <row r="49" spans="2:34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15881.332271254396</v>
      </c>
      <c r="H49" s="10">
        <f>Tabella3[[#This Row],[Lombardy fit]]+Tabella3[[#This Row],[rest of Italy fit]]</f>
        <v>672.12884104761815</v>
      </c>
      <c r="I49" s="10">
        <f>Kf*EXP(-EXP(-(Tabella3[[#This Row],[Day]]-t0f)/wf))*EXP(-(Tabella3[[#This Row],[Day]]-t0f)/wf)/wf</f>
        <v>669.98898550243212</v>
      </c>
      <c r="J49" s="10">
        <f>Tabella3[[#This Row],[Italy sum]]*NOT(ISBLANK(Tabella3[[#This Row],[Italy]]))</f>
        <v>672.12884104761815</v>
      </c>
      <c r="K49" s="10">
        <f>Tabella3[[#This Row],[Italy fit]]*NOT(ISBLANK(Tabella3[[#This Row],[Italy]]))</f>
        <v>669.98898550243212</v>
      </c>
      <c r="L49" s="10">
        <f>Tabella3[[#This Row],[Italy sum]]+CIw</f>
        <v>810.10840679956345</v>
      </c>
      <c r="M49" s="10">
        <f>MAX(Tabella3[[#This Row],[Italy sum]]-CIw,0)</f>
        <v>534.14927529567285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10">
        <f>Kl*EXP(-EXP(-(Tabella3[[#This Row],[Day]]-t0l)/wl))</f>
        <v>8870.0688962144559</v>
      </c>
      <c r="R49" s="10">
        <f>Kl*EXP(-EXP(-(Tabella3[[#This Row],[Day]]-t0l)/wl))*EXP(-(Tabella3[[#This Row],[Day]]-t0l)/wl)/wl</f>
        <v>321.05125533473233</v>
      </c>
      <c r="S49" s="10">
        <f>Tabella3[[#This Row],[Lombardy fit]]*NOT(ISBLANK(Tabella3[[#This Row],[Lombardy]]))</f>
        <v>321.05125533473233</v>
      </c>
      <c r="T49" s="10">
        <f>Tabella3[[#This Row],[Lombardy fit]]+CIl</f>
        <v>442.81986460841995</v>
      </c>
      <c r="U49" s="10">
        <f>MAX(Tabella3[[#This Row],[Lombardy fit]]-CIl,0)</f>
        <v>199.28264606104469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10">
        <f>Ka*EXP(-EXP(-(Tabella3[[#This Row],[Day]]-t0a)/wa))</f>
        <v>7011.2633750399391</v>
      </c>
      <c r="Z49" s="10">
        <f>Ka*EXP(-EXP(-(Tabella3[[#This Row],[Day]]-t0a)/wa))*EXP(-(Tabella3[[#This Row],[Day]]-t0a)/wa)/wa</f>
        <v>351.07758571288588</v>
      </c>
      <c r="AA49" s="10">
        <f>Tabella3[[#This Row],[rest of Italy fit]]*NOT(ISBLANK(Tabella3[[#This Row],[rest of Italy]]))</f>
        <v>351.07758571288588</v>
      </c>
      <c r="AB49" s="10">
        <f>Tabella3[[#This Row],[rest of Italy fit]]+CIa</f>
        <v>416.94449488068534</v>
      </c>
      <c r="AC49" s="10">
        <f>MAX(Tabella3[[#This Row],[rest of Italy fit]]-CIa,0)</f>
        <v>285.21067654508641</v>
      </c>
      <c r="AE49" s="2" t="s">
        <v>4</v>
      </c>
      <c r="AF49" s="6" cm="1">
        <f t="array" ref="AF49">SQRT(SUM((Tabella3[Colonna1]-Tabella3[Colonna22])^2)/dff)</f>
        <v>70.910201163886711</v>
      </c>
    </row>
    <row r="50" spans="2:34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16541.688901443184</v>
      </c>
      <c r="H50" s="10">
        <f>Tabella3[[#This Row],[Lombardy fit]]+Tabella3[[#This Row],[rest of Italy fit]]</f>
        <v>648.38357151594869</v>
      </c>
      <c r="I50" s="10">
        <f>Kf*EXP(-EXP(-(Tabella3[[#This Row],[Day]]-t0f)/wf))*EXP(-(Tabella3[[#This Row],[Day]]-t0f)/wf)/wf</f>
        <v>645.80749323422629</v>
      </c>
      <c r="J50" s="10">
        <f>Tabella3[[#This Row],[Italy sum]]*NOT(ISBLANK(Tabella3[[#This Row],[Italy]]))</f>
        <v>648.38357151594869</v>
      </c>
      <c r="K50" s="10">
        <f>Tabella3[[#This Row],[Italy fit]]*NOT(ISBLANK(Tabella3[[#This Row],[Italy]]))</f>
        <v>645.80749323422629</v>
      </c>
      <c r="L50" s="10">
        <f>Tabella3[[#This Row],[Italy sum]]+CIw</f>
        <v>786.36313726789399</v>
      </c>
      <c r="M50" s="10">
        <f>MAX(Tabella3[[#This Row],[Italy sum]]-CIw,0)</f>
        <v>510.40400576400344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10">
        <f>Kl*EXP(-EXP(-(Tabella3[[#This Row],[Day]]-t0l)/wl))</f>
        <v>9183.7557554391115</v>
      </c>
      <c r="R50" s="10">
        <f>Kl*EXP(-EXP(-(Tabella3[[#This Row],[Day]]-t0l)/wl))*EXP(-(Tabella3[[#This Row],[Day]]-t0l)/wl)/wl</f>
        <v>306.28961974145039</v>
      </c>
      <c r="S50" s="10">
        <f>Tabella3[[#This Row],[Lombardy fit]]*NOT(ISBLANK(Tabella3[[#This Row],[Lombardy]]))</f>
        <v>306.28961974145039</v>
      </c>
      <c r="T50" s="10">
        <f>Tabella3[[#This Row],[Lombardy fit]]+CIl</f>
        <v>428.05822901513807</v>
      </c>
      <c r="U50" s="10">
        <f>MAX(Tabella3[[#This Row],[Lombardy fit]]-CIl,0)</f>
        <v>184.52101046776275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10">
        <f>Ka*EXP(-EXP(-(Tabella3[[#This Row],[Day]]-t0a)/wa))</f>
        <v>7357.933146004073</v>
      </c>
      <c r="Z50" s="10">
        <f>Ka*EXP(-EXP(-(Tabella3[[#This Row],[Day]]-t0a)/wa))*EXP(-(Tabella3[[#This Row],[Day]]-t0a)/wa)/wa</f>
        <v>342.09395177449824</v>
      </c>
      <c r="AA50" s="10">
        <f>Tabella3[[#This Row],[rest of Italy fit]]*NOT(ISBLANK(Tabella3[[#This Row],[rest of Italy]]))</f>
        <v>342.09395177449824</v>
      </c>
      <c r="AB50" s="10">
        <f>Tabella3[[#This Row],[rest of Italy fit]]+CIa</f>
        <v>407.9608609422977</v>
      </c>
      <c r="AC50" s="10">
        <f>MAX(Tabella3[[#This Row],[rest of Italy fit]]-CIa,0)</f>
        <v>276.22704260669877</v>
      </c>
      <c r="AE50" s="2" t="s">
        <v>5</v>
      </c>
      <c r="AF50" s="7" cm="1">
        <f t="array" ref="AF50">1-SUM((Tabella3[Colonna1]-Tabella3[Colonna22])^2)/SUM((Tabella3[Colonna1]-Mean_of_yf)^2)</f>
        <v>0.97217869407169011</v>
      </c>
      <c r="AG50" s="6"/>
      <c r="AH50" s="6"/>
    </row>
    <row r="51" spans="2:34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17177.754296953961</v>
      </c>
      <c r="H51" s="10">
        <f>Tabella3[[#This Row],[Lombardy fit]]+Tabella3[[#This Row],[rest of Italy fit]]</f>
        <v>623.60190823169285</v>
      </c>
      <c r="I51" s="10">
        <f>Kf*EXP(-EXP(-(Tabella3[[#This Row],[Day]]-t0f)/wf))*EXP(-(Tabella3[[#This Row],[Day]]-t0f)/wf)/wf</f>
        <v>620.62147833449785</v>
      </c>
      <c r="J51" s="10">
        <f>Tabella3[[#This Row],[Italy sum]]*NOT(ISBLANK(Tabella3[[#This Row],[Italy]]))</f>
        <v>623.60190823169285</v>
      </c>
      <c r="K51" s="10">
        <f>Tabella3[[#This Row],[Italy fit]]*NOT(ISBLANK(Tabella3[[#This Row],[Italy]]))</f>
        <v>620.62147833449785</v>
      </c>
      <c r="L51" s="10">
        <f>Tabella3[[#This Row],[Italy sum]]+CIw</f>
        <v>761.58147398363803</v>
      </c>
      <c r="M51" s="10">
        <f>MAX(Tabella3[[#This Row],[Italy sum]]-CIw,0)</f>
        <v>485.6223424797476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10">
        <f>Kl*EXP(-EXP(-(Tabella3[[#This Row],[Day]]-t0l)/wl))</f>
        <v>9482.6090356238965</v>
      </c>
      <c r="R51" s="10">
        <f>Kl*EXP(-EXP(-(Tabella3[[#This Row],[Day]]-t0l)/wl))*EXP(-(Tabella3[[#This Row],[Day]]-t0l)/wl)/wl</f>
        <v>291.40994784243674</v>
      </c>
      <c r="S51" s="10">
        <f>Tabella3[[#This Row],[Lombardy fit]]*NOT(ISBLANK(Tabella3[[#This Row],[Lombardy]]))</f>
        <v>291.40994784243674</v>
      </c>
      <c r="T51" s="10">
        <f>Tabella3[[#This Row],[Lombardy fit]]+CIl</f>
        <v>413.17855711612435</v>
      </c>
      <c r="U51" s="10">
        <f>MAX(Tabella3[[#This Row],[Lombardy fit]]-CIl,0)</f>
        <v>169.64133856874909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10">
        <f>Ka*EXP(-EXP(-(Tabella3[[#This Row],[Day]]-t0a)/wa))</f>
        <v>7695.1452613300635</v>
      </c>
      <c r="Z51" s="10">
        <f>Ka*EXP(-EXP(-(Tabella3[[#This Row],[Day]]-t0a)/wa))*EXP(-(Tabella3[[#This Row],[Day]]-t0a)/wa)/wa</f>
        <v>332.19196038925611</v>
      </c>
      <c r="AA51" s="10">
        <f>Tabella3[[#This Row],[rest of Italy fit]]*NOT(ISBLANK(Tabella3[[#This Row],[rest of Italy]]))</f>
        <v>332.19196038925611</v>
      </c>
      <c r="AB51" s="10">
        <f>Tabella3[[#This Row],[rest of Italy fit]]+CIa</f>
        <v>398.05886955705557</v>
      </c>
      <c r="AC51" s="10">
        <f>MAX(Tabella3[[#This Row],[rest of Italy fit]]-CIa,0)</f>
        <v>266.32505122145665</v>
      </c>
      <c r="AE51" s="2" t="s">
        <v>6</v>
      </c>
      <c r="AF51" s="7">
        <f>TINV(0.05,dff)</f>
        <v>2.0128955989194299</v>
      </c>
    </row>
    <row r="52" spans="2:34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17788.653398966337</v>
      </c>
      <c r="H52" s="10">
        <f>Tabella3[[#This Row],[Lombardy fit]]+Tabella3[[#This Row],[rest of Italy fit]]</f>
        <v>598.10121042696585</v>
      </c>
      <c r="I52" s="10">
        <f>Kf*EXP(-EXP(-(Tabella3[[#This Row],[Day]]-t0f)/wf))*EXP(-(Tabella3[[#This Row],[Day]]-t0f)/wf)/wf</f>
        <v>594.75274086166712</v>
      </c>
      <c r="J52" s="10">
        <f>Tabella3[[#This Row],[Italy sum]]*NOT(ISBLANK(Tabella3[[#This Row],[Italy]]))</f>
        <v>598.10121042696585</v>
      </c>
      <c r="K52" s="10">
        <f>Tabella3[[#This Row],[Italy fit]]*NOT(ISBLANK(Tabella3[[#This Row],[Italy]]))</f>
        <v>594.75274086166712</v>
      </c>
      <c r="L52" s="10">
        <f>Tabella3[[#This Row],[Italy sum]]+CIw</f>
        <v>736.08077617891104</v>
      </c>
      <c r="M52" s="10">
        <f>MAX(Tabella3[[#This Row],[Italy sum]]-CIw,0)</f>
        <v>460.1216446750206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10">
        <f>Kl*EXP(-EXP(-(Tabella3[[#This Row],[Day]]-t0l)/wl))</f>
        <v>9766.5846162118996</v>
      </c>
      <c r="R52" s="10">
        <f>Kl*EXP(-EXP(-(Tabella3[[#This Row],[Day]]-t0l)/wl))*EXP(-(Tabella3[[#This Row],[Day]]-t0l)/wl)/wl</f>
        <v>276.55646766185316</v>
      </c>
      <c r="S52" s="10">
        <f>Tabella3[[#This Row],[Lombardy fit]]*NOT(ISBLANK(Tabella3[[#This Row],[Lombardy]]))</f>
        <v>276.55646766185316</v>
      </c>
      <c r="T52" s="10">
        <f>Tabella3[[#This Row],[Lombardy fit]]+CIl</f>
        <v>398.32507693554078</v>
      </c>
      <c r="U52" s="10">
        <f>MAX(Tabella3[[#This Row],[Lombardy fit]]-CIl,0)</f>
        <v>154.78785838816552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10">
        <f>Ka*EXP(-EXP(-(Tabella3[[#This Row],[Day]]-t0a)/wa))</f>
        <v>8022.0687827544352</v>
      </c>
      <c r="Z52" s="10">
        <f>Ka*EXP(-EXP(-(Tabella3[[#This Row],[Day]]-t0a)/wa))*EXP(-(Tabella3[[#This Row],[Day]]-t0a)/wa)/wa</f>
        <v>321.54474276511269</v>
      </c>
      <c r="AA52" s="10">
        <f>Tabella3[[#This Row],[rest of Italy fit]]*NOT(ISBLANK(Tabella3[[#This Row],[rest of Italy]]))</f>
        <v>321.54474276511269</v>
      </c>
      <c r="AB52" s="10">
        <f>Tabella3[[#This Row],[rest of Italy fit]]+CIa</f>
        <v>387.41165193291215</v>
      </c>
      <c r="AC52" s="10">
        <f>MAX(Tabella3[[#This Row],[rest of Italy fit]]-CIa,0)</f>
        <v>255.67783359731322</v>
      </c>
      <c r="AE52" s="2" t="s">
        <v>7</v>
      </c>
      <c r="AF52" s="1">
        <f>Critical_tf*SE_of_yf</f>
        <v>142.734831841279</v>
      </c>
    </row>
    <row r="53" spans="2:34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18373.812448979967</v>
      </c>
      <c r="H53" s="10">
        <f>Tabella3[[#This Row],[Lombardy fit]]+Tabella3[[#This Row],[rest of Italy fit]]</f>
        <v>572.16662602747704</v>
      </c>
      <c r="I53" s="10">
        <f>Kf*EXP(-EXP(-(Tabella3[[#This Row],[Day]]-t0f)/wf))*EXP(-(Tabella3[[#This Row],[Day]]-t0f)/wf)/wf</f>
        <v>568.48942443398653</v>
      </c>
      <c r="J53" s="10">
        <f>Tabella3[[#This Row],[Italy sum]]*NOT(ISBLANK(Tabella3[[#This Row],[Italy]]))</f>
        <v>572.16662602747704</v>
      </c>
      <c r="K53" s="10">
        <f>Tabella3[[#This Row],[Italy fit]]*NOT(ISBLANK(Tabella3[[#This Row],[Italy]]))</f>
        <v>568.48942443398653</v>
      </c>
      <c r="L53" s="10">
        <f>Tabella3[[#This Row],[Italy sum]]+CIw</f>
        <v>710.14619177942222</v>
      </c>
      <c r="M53" s="10">
        <f>MAX(Tabella3[[#This Row],[Italy sum]]-CIw,0)</f>
        <v>434.18706027553179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10">
        <f>Kl*EXP(-EXP(-(Tabella3[[#This Row],[Day]]-t0l)/wl))</f>
        <v>10035.771975509855</v>
      </c>
      <c r="R53" s="10">
        <f>Kl*EXP(-EXP(-(Tabella3[[#This Row],[Day]]-t0l)/wl))*EXP(-(Tabella3[[#This Row],[Day]]-t0l)/wl)/wl</f>
        <v>261.85234159357503</v>
      </c>
      <c r="S53" s="10">
        <f>Tabella3[[#This Row],[Lombardy fit]]*NOT(ISBLANK(Tabella3[[#This Row],[Lombardy]]))</f>
        <v>261.85234159357503</v>
      </c>
      <c r="T53" s="10">
        <f>Tabella3[[#This Row],[Lombardy fit]]+CIl</f>
        <v>383.62095086726265</v>
      </c>
      <c r="U53" s="10">
        <f>MAX(Tabella3[[#This Row],[Lombardy fit]]-CIl,0)</f>
        <v>140.08373231988739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10">
        <f>Ka*EXP(-EXP(-(Tabella3[[#This Row],[Day]]-t0a)/wa))</f>
        <v>8338.0404734701133</v>
      </c>
      <c r="Z53" s="10">
        <f>Ka*EXP(-EXP(-(Tabella3[[#This Row],[Day]]-t0a)/wa))*EXP(-(Tabella3[[#This Row],[Day]]-t0a)/wa)/wa</f>
        <v>310.314284433902</v>
      </c>
      <c r="AA53" s="10">
        <f>Tabella3[[#This Row],[rest of Italy fit]]*NOT(ISBLANK(Tabella3[[#This Row],[rest of Italy]]))</f>
        <v>310.314284433902</v>
      </c>
      <c r="AB53" s="10">
        <f>Tabella3[[#This Row],[rest of Italy fit]]+CIa</f>
        <v>376.18119360170147</v>
      </c>
      <c r="AC53" s="10">
        <f>MAX(Tabella3[[#This Row],[rest of Italy fit]]-CIa,0)</f>
        <v>244.44737526610254</v>
      </c>
      <c r="AE53" s="54" t="s">
        <v>113</v>
      </c>
      <c r="AF53" s="55">
        <f>Kf/(EXP(1)*wf)</f>
        <v>779.78354617581567</v>
      </c>
    </row>
    <row r="54" spans="2:34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18932.926653777467</v>
      </c>
      <c r="H54" s="10">
        <f>Tabella3[[#This Row],[Lombardy fit]]+Tabella3[[#This Row],[rest of Italy fit]]</f>
        <v>546.0509937559342</v>
      </c>
      <c r="I54" s="10">
        <f>Kf*EXP(-EXP(-(Tabella3[[#This Row],[Day]]-t0f)/wf))*EXP(-(Tabella3[[#This Row],[Day]]-t0f)/wf)/wf</f>
        <v>542.08607110780633</v>
      </c>
      <c r="J54" s="10">
        <f>Tabella3[[#This Row],[Italy sum]]*NOT(ISBLANK(Tabella3[[#This Row],[Italy]]))</f>
        <v>546.0509937559342</v>
      </c>
      <c r="K54" s="10">
        <f>Tabella3[[#This Row],[Italy fit]]*NOT(ISBLANK(Tabella3[[#This Row],[Italy]]))</f>
        <v>542.08607110780633</v>
      </c>
      <c r="L54" s="10">
        <f>Tabella3[[#This Row],[Italy sum]]+CIw</f>
        <v>684.03055950787939</v>
      </c>
      <c r="M54" s="10">
        <f>MAX(Tabella3[[#This Row],[Italy sum]]-CIw,0)</f>
        <v>408.07142800398896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10">
        <f>Kl*EXP(-EXP(-(Tabella3[[#This Row],[Day]]-t0l)/wl))</f>
        <v>10290.373754018397</v>
      </c>
      <c r="R54" s="10">
        <f>Kl*EXP(-EXP(-(Tabella3[[#This Row],[Day]]-t0l)/wl))*EXP(-(Tabella3[[#This Row],[Day]]-t0l)/wl)/wl</f>
        <v>247.40097119702202</v>
      </c>
      <c r="S54" s="10">
        <f>Tabella3[[#This Row],[Lombardy fit]]*NOT(ISBLANK(Tabella3[[#This Row],[Lombardy]]))</f>
        <v>247.40097119702202</v>
      </c>
      <c r="T54" s="10">
        <f>Tabella3[[#This Row],[Lombardy fit]]+CIl</f>
        <v>369.16958047070966</v>
      </c>
      <c r="U54" s="10">
        <f>MAX(Tabella3[[#This Row],[Lombardy fit]]-CIl,0)</f>
        <v>125.63236192333437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10">
        <f>Ka*EXP(-EXP(-(Tabella3[[#This Row],[Day]]-t0a)/wa))</f>
        <v>8642.5528997590718</v>
      </c>
      <c r="Z54" s="10">
        <f>Ka*EXP(-EXP(-(Tabella3[[#This Row],[Day]]-t0a)/wa))*EXP(-(Tabella3[[#This Row],[Day]]-t0a)/wa)/wa</f>
        <v>298.65002255891216</v>
      </c>
      <c r="AA54" s="10">
        <f>Tabella3[[#This Row],[rest of Italy fit]]*NOT(ISBLANK(Tabella3[[#This Row],[rest of Italy]]))</f>
        <v>298.65002255891216</v>
      </c>
      <c r="AB54" s="10">
        <f>Tabella3[[#This Row],[rest of Italy fit]]+CIa</f>
        <v>364.51693172671162</v>
      </c>
      <c r="AC54" s="10">
        <f>MAX(Tabella3[[#This Row],[rest of Italy fit]]-CIa,0)</f>
        <v>232.78311339111269</v>
      </c>
      <c r="AE54" s="54" t="s">
        <v>145</v>
      </c>
      <c r="AF54" s="56">
        <f>_xlfn.XLOOKUP(ROUND(t0f,0),Tabella3[Day],Tabella3[Date])</f>
        <v>43918</v>
      </c>
    </row>
    <row r="55" spans="2:34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19465.928166519523</v>
      </c>
      <c r="H55" s="10">
        <f>Tabella3[[#This Row],[Lombardy fit]]+Tabella3[[#This Row],[rest of Italy fit]]</f>
        <v>519.97553937929433</v>
      </c>
      <c r="I55" s="10">
        <f>Kf*EXP(-EXP(-(Tabella3[[#This Row],[Day]]-t0f)/wf))*EXP(-(Tabella3[[#This Row],[Day]]-t0f)/wf)/wf</f>
        <v>515.76448735576753</v>
      </c>
      <c r="J55" s="10">
        <f>Tabella3[[#This Row],[Italy sum]]*NOT(ISBLANK(Tabella3[[#This Row],[Italy]]))</f>
        <v>519.97553937929433</v>
      </c>
      <c r="K55" s="10">
        <f>Tabella3[[#This Row],[Italy fit]]*NOT(ISBLANK(Tabella3[[#This Row],[Italy]]))</f>
        <v>515.76448735576753</v>
      </c>
      <c r="L55" s="10">
        <f>Tabella3[[#This Row],[Italy sum]]+CIw</f>
        <v>657.95510513123963</v>
      </c>
      <c r="M55" s="10">
        <f>MAX(Tabella3[[#This Row],[Italy sum]]-CIw,0)</f>
        <v>381.99597362734909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10">
        <f>Kl*EXP(-EXP(-(Tabella3[[#This Row],[Day]]-t0l)/wl))</f>
        <v>10530.686744241868</v>
      </c>
      <c r="R55" s="10">
        <f>Kl*EXP(-EXP(-(Tabella3[[#This Row],[Day]]-t0l)/wl))*EXP(-(Tabella3[[#This Row],[Day]]-t0l)/wl)/wl</f>
        <v>233.2875271608315</v>
      </c>
      <c r="S55" s="10">
        <f>Tabella3[[#This Row],[Lombardy fit]]*NOT(ISBLANK(Tabella3[[#This Row],[Lombardy]]))</f>
        <v>233.2875271608315</v>
      </c>
      <c r="T55" s="10">
        <f>Tabella3[[#This Row],[Lombardy fit]]+CIl</f>
        <v>355.05613643451915</v>
      </c>
      <c r="U55" s="10">
        <f>MAX(Tabella3[[#This Row],[Lombardy fit]]-CIl,0)</f>
        <v>111.51891788714386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10">
        <f>Ka*EXP(-EXP(-(Tabella3[[#This Row],[Day]]-t0a)/wa))</f>
        <v>8935.241422277657</v>
      </c>
      <c r="Z55" s="10">
        <f>Ka*EXP(-EXP(-(Tabella3[[#This Row],[Day]]-t0a)/wa))*EXP(-(Tabella3[[#This Row],[Day]]-t0a)/wa)/wa</f>
        <v>286.68801221846286</v>
      </c>
      <c r="AA55" s="10">
        <f>Tabella3[[#This Row],[rest of Italy fit]]*NOT(ISBLANK(Tabella3[[#This Row],[rest of Italy]]))</f>
        <v>286.68801221846286</v>
      </c>
      <c r="AB55" s="10">
        <f>Tabella3[[#This Row],[rest of Italy fit]]+CIa</f>
        <v>352.55492138626232</v>
      </c>
      <c r="AC55" s="10">
        <f>MAX(Tabella3[[#This Row],[rest of Italy fit]]-CIa,0)</f>
        <v>220.8211030506634</v>
      </c>
    </row>
    <row r="56" spans="2:34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19972.95508027076</v>
      </c>
      <c r="H56" s="10">
        <f>Tabella3[[#This Row],[Lombardy fit]]+Tabella3[[#This Row],[rest of Italy fit]]</f>
        <v>494.1311743812762</v>
      </c>
      <c r="I56" s="10">
        <f>Kf*EXP(-EXP(-(Tabella3[[#This Row],[Day]]-t0f)/wf))*EXP(-(Tabella3[[#This Row],[Day]]-t0f)/wf)/wf</f>
        <v>489.71521807077522</v>
      </c>
      <c r="J56" s="10">
        <f>Tabella3[[#This Row],[Italy sum]]*NOT(ISBLANK(Tabella3[[#This Row],[Italy]]))</f>
        <v>494.1311743812762</v>
      </c>
      <c r="K56" s="10">
        <f>Tabella3[[#This Row],[Italy fit]]*NOT(ISBLANK(Tabella3[[#This Row],[Italy]]))</f>
        <v>489.71521807077522</v>
      </c>
      <c r="L56" s="10">
        <f>Tabella3[[#This Row],[Italy sum]]+CIw</f>
        <v>632.1107401332215</v>
      </c>
      <c r="M56" s="10">
        <f>MAX(Tabella3[[#This Row],[Italy sum]]-CIw,0)</f>
        <v>356.15160862933095</v>
      </c>
      <c r="N56" s="4"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10">
        <f>Kl*EXP(-EXP(-(Tabella3[[#This Row],[Day]]-t0l)/wl))</f>
        <v>10757.084481166796</v>
      </c>
      <c r="R56" s="10">
        <f>Kl*EXP(-EXP(-(Tabella3[[#This Row],[Day]]-t0l)/wl))*EXP(-(Tabella3[[#This Row],[Day]]-t0l)/wl)/wl</f>
        <v>219.58060603596988</v>
      </c>
      <c r="S56" s="10">
        <f>Tabella3[[#This Row],[Lombardy fit]]*NOT(ISBLANK(Tabella3[[#This Row],[Lombardy]]))</f>
        <v>219.58060603596988</v>
      </c>
      <c r="T56" s="10">
        <f>Tabella3[[#This Row],[Lombardy fit]]+CIl</f>
        <v>341.34921530965755</v>
      </c>
      <c r="U56" s="10">
        <f>MAX(Tabella3[[#This Row],[Lombardy fit]]-CIl,0)</f>
        <v>97.811996762282234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10">
        <f>Ka*EXP(-EXP(-(Tabella3[[#This Row],[Day]]-t0a)/wa))</f>
        <v>9215.8705991039624</v>
      </c>
      <c r="Z56" s="10">
        <f>Ka*EXP(-EXP(-(Tabella3[[#This Row],[Day]]-t0a)/wa))*EXP(-(Tabella3[[#This Row],[Day]]-t0a)/wa)/wa</f>
        <v>274.55056834530632</v>
      </c>
      <c r="AA56" s="10">
        <f>Tabella3[[#This Row],[rest of Italy fit]]*NOT(ISBLANK(Tabella3[[#This Row],[rest of Italy]]))</f>
        <v>274.55056834530632</v>
      </c>
      <c r="AB56" s="10">
        <f>Tabella3[[#This Row],[rest of Italy fit]]+CIa</f>
        <v>340.41747751310578</v>
      </c>
      <c r="AC56" s="10">
        <f>MAX(Tabella3[[#This Row],[rest of Italy fit]]-CIa,0)</f>
        <v>208.68365917750685</v>
      </c>
    </row>
    <row r="57" spans="2:34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20454.321950732621</v>
      </c>
      <c r="H57" s="10">
        <f>Tabella3[[#This Row],[Lombardy fit]]+Tabella3[[#This Row],[rest of Italy fit]]</f>
        <v>468.68022995176375</v>
      </c>
      <c r="I57" s="10">
        <f>Kf*EXP(-EXP(-(Tabella3[[#This Row],[Day]]-t0f)/wf))*EXP(-(Tabella3[[#This Row],[Day]]-t0f)/wf)/wf</f>
        <v>464.09945279315656</v>
      </c>
      <c r="J57" s="10">
        <f>Tabella3[[#This Row],[Italy sum]]*NOT(ISBLANK(Tabella3[[#This Row],[Italy]]))</f>
        <v>468.68022995176375</v>
      </c>
      <c r="K57" s="10">
        <f>Tabella3[[#This Row],[Italy fit]]*NOT(ISBLANK(Tabella3[[#This Row],[Italy]]))</f>
        <v>464.09945279315656</v>
      </c>
      <c r="L57" s="10">
        <f>Tabella3[[#This Row],[Italy sum]]+CIw</f>
        <v>606.65979570370905</v>
      </c>
      <c r="M57" s="10">
        <f>MAX(Tabella3[[#This Row],[Italy sum]]-CIw,0)</f>
        <v>330.7006641998185</v>
      </c>
      <c r="N57" s="4"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10">
        <f>Kl*EXP(-EXP(-(Tabella3[[#This Row],[Day]]-t0l)/wl))</f>
        <v>10970.001519543579</v>
      </c>
      <c r="R57" s="10">
        <f>Kl*EXP(-EXP(-(Tabella3[[#This Row],[Day]]-t0l)/wl))*EXP(-(Tabella3[[#This Row],[Day]]-t0l)/wl)/wl</f>
        <v>206.33393567777841</v>
      </c>
      <c r="S57" s="10">
        <f>Tabella3[[#This Row],[Lombardy fit]]*NOT(ISBLANK(Tabella3[[#This Row],[Lombardy]]))</f>
        <v>206.33393567777841</v>
      </c>
      <c r="T57" s="10">
        <f>Tabella3[[#This Row],[Lombardy fit]]+CIl</f>
        <v>328.10254495146603</v>
      </c>
      <c r="U57" s="10">
        <f>MAX(Tabella3[[#This Row],[Lombardy fit]]-CIl,0)</f>
        <v>84.565326404090769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10">
        <f>Ka*EXP(-EXP(-(Tabella3[[#This Row],[Day]]-t0a)/wa))</f>
        <v>9484.320431189044</v>
      </c>
      <c r="Z57" s="10">
        <f>Ka*EXP(-EXP(-(Tabella3[[#This Row],[Day]]-t0a)/wa))*EXP(-(Tabella3[[#This Row],[Day]]-t0a)/wa)/wa</f>
        <v>262.34629427398534</v>
      </c>
      <c r="AA57" s="10">
        <f>Tabella3[[#This Row],[rest of Italy fit]]*NOT(ISBLANK(Tabella3[[#This Row],[rest of Italy]]))</f>
        <v>262.34629427398534</v>
      </c>
      <c r="AB57" s="10">
        <f>Tabella3[[#This Row],[rest of Italy fit]]+CIa</f>
        <v>328.2132034417848</v>
      </c>
      <c r="AC57" s="10">
        <f>MAX(Tabella3[[#This Row],[rest of Italy fit]]-CIa,0)</f>
        <v>196.47938510618587</v>
      </c>
    </row>
    <row r="58" spans="2:34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20910.492210415465</v>
      </c>
      <c r="H58" s="10">
        <f>Tabella3[[#This Row],[Lombardy fit]]+Tabella3[[#This Row],[rest of Italy fit]]</f>
        <v>443.75848426470662</v>
      </c>
      <c r="I58" s="10">
        <f>Kf*EXP(-EXP(-(Tabella3[[#This Row],[Day]]-t0f)/wf))*EXP(-(Tabella3[[#This Row],[Day]]-t0f)/wf)/wf</f>
        <v>439.05121584124544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10">
        <f>Kl*EXP(-EXP(-(Tabella3[[#This Row],[Day]]-t0l)/wl))</f>
        <v>11169.919415273589</v>
      </c>
      <c r="R58" s="10">
        <f>Kl*EXP(-EXP(-(Tabella3[[#This Row],[Day]]-t0l)/wl))*EXP(-(Tabella3[[#This Row],[Day]]-t0l)/wl)/wl</f>
        <v>193.58806938657776</v>
      </c>
      <c r="S58" s="10">
        <f>Tabella3[[#This Row],[Lombardy fit]]*NOT(ISBLANK(Tabella3[[#This Row],[Lombardy]]))</f>
        <v>0</v>
      </c>
      <c r="T58" s="10"/>
      <c r="U58" s="10"/>
      <c r="W58" s="10"/>
      <c r="X58" s="10">
        <f>Tabella3[[#This Row],[rest of Italy]]*NOT(ISBLANK(Tabella3[[#This Row],[rest of Italy]]))</f>
        <v>0</v>
      </c>
      <c r="Y58" s="10">
        <f>Ka*EXP(-EXP(-(Tabella3[[#This Row],[Day]]-t0a)/wa))</f>
        <v>9740.5727951418758</v>
      </c>
      <c r="Z58" s="10">
        <f>Ka*EXP(-EXP(-(Tabella3[[#This Row],[Day]]-t0a)/wa))*EXP(-(Tabella3[[#This Row],[Day]]-t0a)/wa)/wa</f>
        <v>250.17041487812887</v>
      </c>
      <c r="AA58" s="10">
        <f>Tabella3[[#This Row],[rest of Italy fit]]*NOT(ISBLANK(Tabella3[[#This Row],[rest of Italy]]))</f>
        <v>0</v>
      </c>
    </row>
    <row r="59" spans="2:34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21342.052706676281</v>
      </c>
      <c r="H59" s="10">
        <f>Tabella3[[#This Row],[Lombardy fit]]+Tabella3[[#This Row],[rest of Italy fit]]</f>
        <v>419.47736523229116</v>
      </c>
      <c r="I59" s="10">
        <f>Kf*EXP(-EXP(-(Tabella3[[#This Row],[Day]]-t0f)/wf))*EXP(-(Tabella3[[#This Row],[Day]]-t0f)/wf)/wf</f>
        <v>414.67971831152005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10">
        <f>Kl*EXP(-EXP(-(Tabella3[[#This Row],[Day]]-t0l)/wl))</f>
        <v>11357.354376181407</v>
      </c>
      <c r="R59" s="10">
        <f>Kl*EXP(-EXP(-(Tabella3[[#This Row],[Day]]-t0l)/wl))*EXP(-(Tabella3[[#This Row],[Day]]-t0l)/wl)/wl</f>
        <v>181.3720242911553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10">
        <f>Ka*EXP(-EXP(-(Tabella3[[#This Row],[Day]]-t0a)/wa))</f>
        <v>9984.6983304948735</v>
      </c>
      <c r="Z59" s="10">
        <f>Ka*EXP(-EXP(-(Tabella3[[#This Row],[Day]]-t0a)/wa))*EXP(-(Tabella3[[#This Row],[Day]]-t0a)/wa)/wa</f>
        <v>238.10534094113589</v>
      </c>
      <c r="AA59" s="10">
        <f>Tabella3[[#This Row],[rest of Italy fit]]*NOT(ISBLANK(Tabella3[[#This Row],[rest of Italy]]))</f>
        <v>0</v>
      </c>
    </row>
    <row r="60" spans="2:34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21749.690489645494</v>
      </c>
      <c r="H60" s="10">
        <f>Tabella3[[#This Row],[Lombardy fit]]+Tabella3[[#This Row],[rest of Italy fit]]</f>
        <v>395.92623339808529</v>
      </c>
      <c r="I60" s="10">
        <f>Kf*EXP(-EXP(-(Tabella3[[#This Row],[Day]]-t0f)/wf))*EXP(-(Tabella3[[#This Row],[Day]]-t0f)/wf)/wf</f>
        <v>391.07177409947985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10">
        <f>Kl*EXP(-EXP(-(Tabella3[[#This Row],[Day]]-t0l)/wl))</f>
        <v>11532.846509729623</v>
      </c>
      <c r="R60" s="10">
        <f>Kl*EXP(-EXP(-(Tabella3[[#This Row],[Day]]-t0l)/wl))*EXP(-(Tabella3[[#This Row],[Day]]-t0l)/wl)/wl</f>
        <v>169.70483257828545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10">
        <f>Ka*EXP(-EXP(-(Tabella3[[#This Row],[Day]]-t0a)/wa))</f>
        <v>10216.843979915871</v>
      </c>
      <c r="Z60" s="10">
        <f>Ka*EXP(-EXP(-(Tabella3[[#This Row],[Day]]-t0a)/wa))*EXP(-(Tabella3[[#This Row],[Day]]-t0a)/wa)/wa</f>
        <v>226.22140081979987</v>
      </c>
      <c r="AA60" s="10">
        <f>Tabella3[[#This Row],[rest of Italy fit]]*NOT(ISBLANK(Tabella3[[#This Row],[rest of Italy]]))</f>
        <v>0</v>
      </c>
    </row>
    <row r="61" spans="2:34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22134.171891038735</v>
      </c>
      <c r="H61" s="10">
        <f>Tabella3[[#This Row],[Lombardy fit]]+Tabella3[[#This Row],[rest of Italy fit]]</f>
        <v>373.17466984809482</v>
      </c>
      <c r="I61" s="10">
        <f>Kf*EXP(-EXP(-(Tabella3[[#This Row],[Day]]-t0f)/wf))*EXP(-(Tabella3[[#This Row],[Day]]-t0f)/wf)/wf</f>
        <v>368.29420366633144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10">
        <f>Kl*EXP(-EXP(-(Tabella3[[#This Row],[Day]]-t0l)/wl))</f>
        <v>11696.950569374603</v>
      </c>
      <c r="R61" s="10">
        <f>Kl*EXP(-EXP(-(Tabella3[[#This Row],[Day]]-t0l)/wl))*EXP(-(Tabella3[[#This Row],[Day]]-t0l)/wl)/wl</f>
        <v>158.59698487017189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10">
        <f>Ka*EXP(-EXP(-(Tabella3[[#This Row],[Day]]-t0a)/wa))</f>
        <v>10437.221321664132</v>
      </c>
      <c r="Z61" s="10">
        <f>Ka*EXP(-EXP(-(Tabella3[[#This Row],[Day]]-t0a)/wa))*EXP(-(Tabella3[[#This Row],[Day]]-t0a)/wa)/wa</f>
        <v>214.57768497792293</v>
      </c>
      <c r="AA61" s="10">
        <f>Tabella3[[#This Row],[rest of Italy fit]]*NOT(ISBLANK(Tabella3[[#This Row],[rest of Italy]]))</f>
        <v>0</v>
      </c>
    </row>
    <row r="62" spans="2:34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22496.323868798216</v>
      </c>
      <c r="H62" s="10">
        <f>Tabella3[[#This Row],[Lombardy fit]]+Tabella3[[#This Row],[rest of Italy fit]]</f>
        <v>351.27471173177332</v>
      </c>
      <c r="I62" s="10">
        <f>Kf*EXP(-EXP(-(Tabella3[[#This Row],[Day]]-t0f)/wf))*EXP(-(Tabella3[[#This Row],[Day]]-t0f)/wf)/wf</f>
        <v>346.39616802309183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10">
        <f>Kl*EXP(-EXP(-(Tabella3[[#This Row],[Day]]-t0l)/wl))</f>
        <v>11850.228085009712</v>
      </c>
      <c r="R62" s="10">
        <f>Kl*EXP(-EXP(-(Tabella3[[#This Row],[Day]]-t0l)/wl))*EXP(-(Tabella3[[#This Row],[Day]]-t0l)/wl)/wl</f>
        <v>148.05175360759111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10">
        <f>Ka*EXP(-EXP(-(Tabella3[[#This Row],[Day]]-t0a)/wa))</f>
        <v>10646.095783788502</v>
      </c>
      <c r="Z62" s="10">
        <f>Ka*EXP(-EXP(-(Tabella3[[#This Row],[Day]]-t0a)/wa))*EXP(-(Tabella3[[#This Row],[Day]]-t0a)/wa)/wa</f>
        <v>203.22295812418224</v>
      </c>
      <c r="AA62" s="10">
        <f>Tabella3[[#This Row],[rest of Italy fit]]*NOT(ISBLANK(Tabella3[[#This Row],[rest of Italy]]))</f>
        <v>0</v>
      </c>
    </row>
    <row r="63" spans="2:34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22837.017542892609</v>
      </c>
      <c r="H63" s="10">
        <f>Tabella3[[#This Row],[Lombardy fit]]+Tabella3[[#This Row],[rest of Italy fit]]</f>
        <v>330.26299314889928</v>
      </c>
      <c r="I63" s="10">
        <f>Kf*EXP(-EXP(-(Tabella3[[#This Row],[Day]]-t0f)/wf))*EXP(-(Tabella3[[#This Row],[Day]]-t0f)/wf)/wf</f>
        <v>325.41139131691097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10">
        <f>Kl*EXP(-EXP(-(Tabella3[[#This Row],[Day]]-t0l)/wl))</f>
        <v>11993.240754281633</v>
      </c>
      <c r="R63" s="10">
        <f>Kl*EXP(-EXP(-(Tabella3[[#This Row],[Day]]-t0l)/wl))*EXP(-(Tabella3[[#This Row],[Day]]-t0l)/wl)/wl</f>
        <v>138.06639096773304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10">
        <f>Ka*EXP(-EXP(-(Tabella3[[#This Row],[Day]]-t0a)/wa))</f>
        <v>10843.776788610974</v>
      </c>
      <c r="Z63" s="10">
        <f>Ka*EXP(-EXP(-(Tabella3[[#This Row],[Day]]-t0a)/wa))*EXP(-(Tabella3[[#This Row],[Day]]-t0a)/wa)/wa</f>
        <v>192.19660218116624</v>
      </c>
      <c r="AA63" s="10">
        <f>Tabella3[[#This Row],[rest of Italy fit]]*NOT(ISBLANK(Tabella3[[#This Row],[rest of Italy]]))</f>
        <v>0</v>
      </c>
    </row>
    <row r="64" spans="2:34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23157.153811911325</v>
      </c>
      <c r="H64" s="10">
        <f>Tabella3[[#This Row],[Lombardy fit]]+Tabella3[[#This Row],[rest of Italy fit]]</f>
        <v>310.16276186355316</v>
      </c>
      <c r="I64" s="10">
        <f>Kf*EXP(-EXP(-(Tabella3[[#This Row],[Day]]-t0f)/wf))*EXP(-(Tabella3[[#This Row],[Day]]-t0f)/wf)/wf</f>
        <v>305.36024361984414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10">
        <f>Kl*EXP(-EXP(-(Tabella3[[#This Row],[Day]]-t0l)/wl))</f>
        <v>12126.544968746239</v>
      </c>
      <c r="R64" s="10">
        <f>Kl*EXP(-EXP(-(Tabella3[[#This Row],[Day]]-t0l)/wl))*EXP(-(Tabella3[[#This Row],[Day]]-t0l)/wl)/wl</f>
        <v>128.63320090269764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10">
        <f>Ka*EXP(-EXP(-(Tabella3[[#This Row],[Day]]-t0a)/wa))</f>
        <v>11030.608843165088</v>
      </c>
      <c r="Z64" s="10">
        <f>Ka*EXP(-EXP(-(Tabella3[[#This Row],[Day]]-t0a)/wa))*EXP(-(Tabella3[[#This Row],[Day]]-t0a)/wa)/wa</f>
        <v>181.52956096085552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23457.650915944036</v>
      </c>
      <c r="H65" s="10">
        <f>Tabella3[[#This Row],[Lombardy fit]]+Tabella3[[#This Row],[rest of Italy fit]]</f>
        <v>290.98575273175175</v>
      </c>
      <c r="I65" s="10">
        <f>Kf*EXP(-EXP(-(Tabella3[[#This Row],[Day]]-t0f)/wf))*EXP(-(Tabella3[[#This Row],[Day]]-t0f)/wf)/wf</f>
        <v>286.2516662615206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10">
        <f>Kl*EXP(-EXP(-(Tabella3[[#This Row],[Day]]-t0l)/wl))</f>
        <v>12250.687350371532</v>
      </c>
      <c r="R65" s="10">
        <f>Kl*EXP(-EXP(-(Tabella3[[#This Row],[Day]]-t0l)/wl))*EXP(-(Tabella3[[#This Row],[Day]]-t0l)/wl)/wl</f>
        <v>119.74048859074939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10">
        <f>Ka*EXP(-EXP(-(Tabella3[[#This Row],[Day]]-t0a)/wa))</f>
        <v>11206.963565572503</v>
      </c>
      <c r="Z65" s="10">
        <f>Ka*EXP(-EXP(-(Tabella3[[#This Row],[Day]]-t0a)/wa))*EXP(-(Tabella3[[#This Row],[Day]]-t0a)/wa)/wa</f>
        <v>171.24526414100237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23739.433796470432</v>
      </c>
      <c r="H66" s="10">
        <f>Tabella3[[#This Row],[Lombardy fit]]+Tabella3[[#This Row],[rest of Italy fit]]</f>
        <v>272.73390710349372</v>
      </c>
      <c r="I66" s="10">
        <f>Kf*EXP(-EXP(-(Tabella3[[#This Row],[Day]]-t0f)/wf))*EXP(-(Tabella3[[#This Row],[Day]]-t0f)/wf)/wf</f>
        <v>268.08493058500898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10">
        <f>Kl*EXP(-EXP(-(Tabella3[[#This Row],[Day]]-t0l)/wl))</f>
        <v>12366.201178569814</v>
      </c>
      <c r="R66" s="10">
        <f>Kl*EXP(-EXP(-(Tabella3[[#This Row],[Day]]-t0l)/wl))*EXP(-(Tabella3[[#This Row],[Day]]-t0l)/wl)/wl</f>
        <v>111.37339319223729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10">
        <f>Ka*EXP(-EXP(-(Tabella3[[#This Row],[Day]]-t0a)/wa))</f>
        <v>11373.232617900616</v>
      </c>
      <c r="Z66" s="10">
        <f>Ka*EXP(-EXP(-(Tabella3[[#This Row],[Day]]-t0a)/wa))*EXP(-(Tabella3[[#This Row],[Day]]-t0a)/wa)/wa</f>
        <v>161.36051391125645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24003.42509667277</v>
      </c>
      <c r="H67" s="10">
        <f>Tabella3[[#This Row],[Lombardy fit]]+Tabella3[[#This Row],[rest of Italy fit]]</f>
        <v>255.40093403454426</v>
      </c>
      <c r="I67" s="10">
        <f>Kf*EXP(-EXP(-(Tabella3[[#This Row],[Day]]-t0f)/wf))*EXP(-(Tabella3[[#This Row],[Day]]-t0f)/wf)/wf</f>
        <v>250.8512276284774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10">
        <f>Kl*EXP(-EXP(-(Tabella3[[#This Row],[Day]]-t0l)/wl))</f>
        <v>12473.603594754932</v>
      </c>
      <c r="R67" s="10">
        <f>Kl*EXP(-EXP(-(Tabella3[[#This Row],[Day]]-t0l)/wl))*EXP(-(Tabella3[[#This Row],[Day]]-t0l)/wl)/wl</f>
        <v>103.51461151447097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10">
        <f>Ka*EXP(-EXP(-(Tabella3[[#This Row],[Day]]-t0a)/wa))</f>
        <v>11529.821501917839</v>
      </c>
      <c r="Z67" s="10">
        <f>Ka*EXP(-EXP(-(Tabella3[[#This Row],[Day]]-t0a)/wa))*EXP(-(Tabella3[[#This Row],[Day]]-t0a)/wa)/wa</f>
        <v>151.88632252007329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si="0"/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24250.537644051888</v>
      </c>
      <c r="H68" s="10">
        <f>Tabella3[[#This Row],[Lombardy fit]]+Tabella3[[#This Row],[rest of Italy fit]]</f>
        <v>238.97371417261138</v>
      </c>
      <c r="I68" s="10">
        <f>Kf*EXP(-EXP(-(Tabella3[[#This Row],[Day]]-t0f)/wf))*EXP(-(Tabella3[[#This Row],[Day]]-t0f)/wf)/wf</f>
        <v>234.53509123017128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10">
        <f>Kl*EXP(-EXP(-(Tabella3[[#This Row],[Day]]-t0l)/wl))</f>
        <v>12573.393479583379</v>
      </c>
      <c r="R68" s="10">
        <f>Kl*EXP(-EXP(-(Tabella3[[#This Row],[Day]]-t0l)/wl))*EXP(-(Tabella3[[#This Row],[Day]]-t0l)/wl)/wl</f>
        <v>96.145021205372188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10">
        <f>Ka*EXP(-EXP(-(Tabella3[[#This Row],[Day]]-t0a)/wa))</f>
        <v>11677.144164468509</v>
      </c>
      <c r="Z68" s="10">
        <f>Ka*EXP(-EXP(-(Tabella3[[#This Row],[Day]]-t0a)/wa))*EXP(-(Tabella3[[#This Row],[Day]]-t0a)/wa)/wa</f>
        <v>142.82869296723919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0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24481.668260054943</v>
      </c>
      <c r="H69" s="10">
        <f>Tabella3[[#This Row],[Lombardy fit]]+Tabella3[[#This Row],[rest of Italy fit]]</f>
        <v>223.43355091073954</v>
      </c>
      <c r="I69" s="10">
        <f>Kf*EXP(-EXP(-(Tabella3[[#This Row],[Day]]-t0f)/wf))*EXP(-(Tabella3[[#This Row],[Day]]-t0f)/wf)/wf</f>
        <v>219.11566069111174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10">
        <f>Kl*EXP(-EXP(-(Tabella3[[#This Row],[Day]]-t0l)/wl))</f>
        <v>12666.049906936771</v>
      </c>
      <c r="R69" s="10">
        <f>Kl*EXP(-EXP(-(Tabella3[[#This Row],[Day]]-t0l)/wl))*EXP(-(Tabella3[[#This Row],[Day]]-t0l)/wl)/wl</f>
        <v>89.244212576414697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10">
        <f>Ka*EXP(-EXP(-(Tabella3[[#This Row],[Day]]-t0a)/wa))</f>
        <v>11815.618353118172</v>
      </c>
      <c r="Z69" s="10">
        <f>Ka*EXP(-EXP(-(Tabella3[[#This Row],[Day]]-t0a)/wa))*EXP(-(Tabella3[[#This Row],[Day]]-t0a)/wa)/wa</f>
        <v>134.18933833432484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0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24697.692747422981</v>
      </c>
      <c r="H70" s="10">
        <f>Tabella3[[#This Row],[Lombardy fit]]+Tabella3[[#This Row],[rest of Italy fit]]</f>
        <v>208.7572760532465</v>
      </c>
      <c r="I70" s="10">
        <f>Kf*EXP(-EXP(-(Tabella3[[#This Row],[Day]]-t0f)/wf))*EXP(-(Tabella3[[#This Row],[Day]]-t0f)/wf)/wf</f>
        <v>204.56779165518094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10">
        <f>Kl*EXP(-EXP(-(Tabella3[[#This Row],[Day]]-t0l)/wl))</f>
        <v>12752.031087872436</v>
      </c>
      <c r="R70" s="10">
        <f>Kl*EXP(-EXP(-(Tabella3[[#This Row],[Day]]-t0l)/wl))*EXP(-(Tabella3[[#This Row],[Day]]-t0l)/wl)/wl</f>
        <v>82.790938236153451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10">
        <f>Ka*EXP(-EXP(-(Tabella3[[#This Row],[Day]]-t0a)/wa))</f>
        <v>11945.661659550547</v>
      </c>
      <c r="Z70" s="10">
        <f>Ka*EXP(-EXP(-(Tabella3[[#This Row],[Day]]-t0a)/wa))*EXP(-(Tabella3[[#This Row],[Day]]-t0a)/wa)/wa</f>
        <v>125.96633781709305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0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24899.461914166437</v>
      </c>
      <c r="H71" s="10">
        <f>Tabella3[[#This Row],[Lombardy fit]]+Tabella3[[#This Row],[rest of Italy fit]]</f>
        <v>194.91821901871231</v>
      </c>
      <c r="I71" s="10">
        <f>Kf*EXP(-EXP(-(Tabella3[[#This Row],[Day]]-t0f)/wf))*EXP(-(Tabella3[[#This Row],[Day]]-t0f)/wf)/wf</f>
        <v>190.86302549847443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10">
        <f>Kl*EXP(-EXP(-(Tabella3[[#This Row],[Day]]-t0l)/wl))</f>
        <v>12831.773726865969</v>
      </c>
      <c r="R71" s="10">
        <f>Kl*EXP(-EXP(-(Tabella3[[#This Row],[Day]]-t0l)/wl))*EXP(-(Tabella3[[#This Row],[Day]]-t0l)/wl)/wl</f>
        <v>76.763489506776267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10">
        <f>Ka*EXP(-EXP(-(Tabella3[[#This Row],[Day]]-t0a)/wa))</f>
        <v>12067.688187300468</v>
      </c>
      <c r="Z71" s="10">
        <f>Ka*EXP(-EXP(-(Tabella3[[#This Row],[Day]]-t0a)/wa))*EXP(-(Tabella3[[#This Row],[Day]]-t0a)/wa)/wa</f>
        <v>118.15472951193603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0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25087.79850269392</v>
      </c>
      <c r="H72" s="10">
        <f>Tabella3[[#This Row],[Lombardy fit]]+Tabella3[[#This Row],[rest of Italy fit]]</f>
        <v>181.88704968774039</v>
      </c>
      <c r="I72" s="10">
        <f>Kf*EXP(-EXP(-(Tabella3[[#This Row],[Day]]-t0f)/wf))*EXP(-(Tabella3[[#This Row],[Day]]-t0f)/wf)/wf</f>
        <v>177.97042844844088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10">
        <f>Kl*EXP(-EXP(-(Tabella3[[#This Row],[Day]]-t0l)/wl))</f>
        <v>12905.692721450512</v>
      </c>
      <c r="R72" s="10">
        <f>Kl*EXP(-EXP(-(Tabella3[[#This Row],[Day]]-t0l)/wl))*EXP(-(Tabella3[[#This Row],[Day]]-t0l)/wl)/wl</f>
        <v>71.140008186059035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10">
        <f>Ka*EXP(-EXP(-(Tabella3[[#This Row],[Day]]-t0a)/wa))</f>
        <v>12182.10578124341</v>
      </c>
      <c r="Z72" s="10">
        <f>Ka*EXP(-EXP(-(Tabella3[[#This Row],[Day]]-t0a)/wa))*EXP(-(Tabella3[[#This Row],[Day]]-t0a)/wa)/wa</f>
        <v>110.74704150168135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0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25263.494903036921</v>
      </c>
      <c r="H73" s="10">
        <f>Tabella3[[#This Row],[Lombardy fit]]+Tabella3[[#This Row],[rest of Italy fit]]</f>
        <v>169.63250554277451</v>
      </c>
      <c r="I73" s="10">
        <f>Kf*EXP(-EXP(-(Tabella3[[#This Row],[Day]]-t0f)/wf))*EXP(-(Tabella3[[#This Row],[Day]]-t0f)/wf)/wf</f>
        <v>165.85731203945639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10">
        <f>Kl*EXP(-EXP(-(Tabella3[[#This Row],[Day]]-t0l)/wl))</f>
        <v>12974.181144657654</v>
      </c>
      <c r="R73" s="10">
        <f>Kl*EXP(-EXP(-(Tabella3[[#This Row],[Day]]-t0l)/wl))*EXP(-(Tabella3[[#This Row],[Day]]-t0l)/wl)/wl</f>
        <v>65.898741675564054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10">
        <f>Ka*EXP(-EXP(-(Tabella3[[#This Row],[Day]]-t0a)/wa))</f>
        <v>12289.313758379267</v>
      </c>
      <c r="Z73" s="10">
        <f>Ka*EXP(-EXP(-(Tabella3[[#This Row],[Day]]-t0a)/wa))*EXP(-(Tabella3[[#This Row],[Day]]-t0a)/wa)/wa</f>
        <v>103.73376386721046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ref="C74:C78" si="1">C73+1</f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25427.311539852213</v>
      </c>
      <c r="H74" s="10">
        <f>Tabella3[[#This Row],[Lombardy fit]]+Tabella3[[#This Row],[rest of Italy fit]]</f>
        <v>158.12201387170069</v>
      </c>
      <c r="I74" s="10">
        <f>Kf*EXP(-EXP(-(Tabella3[[#This Row],[Day]]-t0f)/wf))*EXP(-(Tabella3[[#This Row],[Day]]-t0f)/wf)/wf</f>
        <v>154.48984648959461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10">
        <f>Kl*EXP(-EXP(-(Tabella3[[#This Row],[Day]]-t0l)/wl))</f>
        <v>13037.610457380744</v>
      </c>
      <c r="R74" s="10">
        <f>Kl*EXP(-EXP(-(Tabella3[[#This Row],[Day]]-t0l)/wl))*EXP(-(Tabella3[[#This Row],[Day]]-t0l)/wl)/wl</f>
        <v>61.018248876766862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10">
        <f>Ka*EXP(-EXP(-(Tabella3[[#This Row],[Day]]-t0a)/wa))</f>
        <v>12389.701082471469</v>
      </c>
      <c r="Z74" s="10">
        <f>Ka*EXP(-EXP(-(Tabella3[[#This Row],[Day]]-t0a)/wa))*EXP(-(Tabella3[[#This Row],[Day]]-t0a)/wa)/wa</f>
        <v>97.10376499493384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25579.975833585413</v>
      </c>
      <c r="H75" s="10">
        <f>Tabella3[[#This Row],[Lombardy fit]]+Tabella3[[#This Row],[rest of Italy fit]]</f>
        <v>147.32221962294571</v>
      </c>
      <c r="I75" s="10">
        <f>Kf*EXP(-EXP(-(Tabella3[[#This Row],[Day]]-t0f)/wf))*EXP(-(Tabella3[[#This Row],[Day]]-t0f)/wf)/wf</f>
        <v>143.83357826393436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10">
        <f>Kl*EXP(-EXP(-(Tabella3[[#This Row],[Day]]-t0l)/wl))</f>
        <v>13096.330904856668</v>
      </c>
      <c r="R75" s="10">
        <f>Kl*EXP(-EXP(-(Tabella3[[#This Row],[Day]]-t0l)/wl))*EXP(-(Tabella3[[#This Row],[Day]]-t0l)/wl)/wl</f>
        <v>56.47756360078705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10">
        <f>Ka*EXP(-EXP(-(Tabella3[[#This Row],[Day]]-t0a)/wa))</f>
        <v>12483.644928728747</v>
      </c>
      <c r="Z75" s="10">
        <f>Ka*EXP(-EXP(-(Tabella3[[#This Row],[Day]]-t0a)/wa))*EXP(-(Tabella3[[#This Row],[Day]]-t0a)/wa)/wa</f>
        <v>90.844656022158659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25722.181646579396</v>
      </c>
      <c r="H76" s="10">
        <f>Tabella3[[#This Row],[Lombardy fit]]+Tabella3[[#This Row],[rest of Italy fit]]</f>
        <v>137.19942909442281</v>
      </c>
      <c r="I76" s="10">
        <f>Kf*EXP(-EXP(-(Tabella3[[#This Row],[Day]]-t0f)/wf))*EXP(-(Tabella3[[#This Row],[Day]]-t0f)/wf)/wf</f>
        <v>133.85386256206507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10">
        <f>Kl*EXP(-EXP(-(Tabella3[[#This Row],[Day]]-t0l)/wl))</f>
        <v>13150.672057876076</v>
      </c>
      <c r="R76" s="10">
        <f>Kl*EXP(-EXP(-(Tabella3[[#This Row],[Day]]-t0l)/wl))*EXP(-(Tabella3[[#This Row],[Day]]-t0l)/wl)/wl</f>
        <v>52.256321574618376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10">
        <f>Ka*EXP(-EXP(-(Tabella3[[#This Row],[Day]]-t0a)/wa))</f>
        <v>12571.509588703322</v>
      </c>
      <c r="Z76" s="10">
        <f>Ka*EXP(-EXP(-(Tabella3[[#This Row],[Day]]-t0a)/wa))*EXP(-(Tabella3[[#This Row],[Day]]-t0a)/wa)/wa</f>
        <v>84.943107519804443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25854.589134825335</v>
      </c>
      <c r="H77" s="10">
        <f>Tabella3[[#This Row],[Lombardy fit]]+Tabella3[[#This Row],[rest of Italy fit]]</f>
        <v>127.71997908202647</v>
      </c>
      <c r="I77" s="10">
        <f>Kf*EXP(-EXP(-(Tabella3[[#This Row],[Day]]-t0f)/wf))*EXP(-(Tabella3[[#This Row],[Day]]-t0f)/wf)/wf</f>
        <v>124.51622080250256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10">
        <f>Kl*EXP(-EXP(-(Tabella3[[#This Row],[Day]]-t0l)/wl))</f>
        <v>13200.943465088909</v>
      </c>
      <c r="R77" s="10">
        <f>Kl*EXP(-EXP(-(Tabella3[[#This Row],[Day]]-t0l)/wl))*EXP(-(Tabella3[[#This Row],[Day]]-t0l)/wl)/wl</f>
        <v>48.334856478726557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10">
        <f>Ka*EXP(-EXP(-(Tabella3[[#This Row],[Day]]-t0a)/wa))</f>
        <v>12653.645669736426</v>
      </c>
      <c r="Z77" s="10">
        <f>Ka*EXP(-EXP(-(Tabella3[[#This Row],[Day]]-t0a)/wa))*EXP(-(Tabella3[[#This Row],[Day]]-t0a)/wa)/wa</f>
        <v>79.385122603299919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si="1"/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25977.824935359728</v>
      </c>
      <c r="H78" s="10">
        <f>Tabella3[[#This Row],[Lombardy fit]]+Tabella3[[#This Row],[rest of Italy fit]]</f>
        <v>118.8505404608288</v>
      </c>
      <c r="I78" s="10">
        <f>Kf*EXP(-EXP(-(Tabella3[[#This Row],[Day]]-t0f)/wf))*EXP(-(Tabella3[[#This Row],[Day]]-t0f)/wf)/wf</f>
        <v>115.78663242994821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10">
        <f>Kl*EXP(-EXP(-(Tabella3[[#This Row],[Day]]-t0l)/wl))</f>
        <v>13247.435387894844</v>
      </c>
      <c r="R78" s="10">
        <f>Kl*EXP(-EXP(-(Tabella3[[#This Row],[Day]]-t0l)/wl))*EXP(-(Tabella3[[#This Row],[Day]]-t0l)/wl)/wl</f>
        <v>44.694269832384784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10">
        <f>Ka*EXP(-EXP(-(Tabella3[[#This Row],[Day]]-t0a)/wa))</f>
        <v>12730.389547464883</v>
      </c>
      <c r="Z78" s="10">
        <f>Ka*EXP(-EXP(-(Tabella3[[#This Row],[Day]]-t0a)/wa))*EXP(-(Tabella3[[#This Row],[Day]]-t0a)/wa)/wa</f>
        <v>74.15627062844402</v>
      </c>
      <c r="AA78" s="10">
        <f>Tabella3[[#This Row],[rest of Italy fit]]*NOT(ISBLANK(Tabella3[[#This Row],[rest of Italy]]))</f>
        <v>0</v>
      </c>
    </row>
  </sheetData>
  <mergeCells count="8">
    <mergeCell ref="AS8:AS17"/>
    <mergeCell ref="B2:F2"/>
    <mergeCell ref="F3:F6"/>
    <mergeCell ref="AH3:AL3"/>
    <mergeCell ref="B4:E4"/>
    <mergeCell ref="B5:E5"/>
    <mergeCell ref="AH4:AL4"/>
    <mergeCell ref="AH5:AL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67</vt:i4>
      </vt:variant>
    </vt:vector>
  </HeadingPairs>
  <TitlesOfParts>
    <vt:vector size="71" baseType="lpstr">
      <vt:lpstr>dpc-covid19-ita-andamento-naz</vt:lpstr>
      <vt:lpstr>dpc-covid19-ita-regioni</vt:lpstr>
      <vt:lpstr>Cumul_deaths - Gompertz</vt:lpstr>
      <vt:lpstr>New_deaths - Gompertz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Peak_w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t0a</vt:lpstr>
      <vt:lpstr>t0f</vt:lpstr>
      <vt:lpstr>t0l</vt:lpstr>
      <vt:lpstr>t0o</vt:lpstr>
      <vt:lpstr>t0r</vt:lpstr>
      <vt:lpstr>t0t</vt:lpstr>
      <vt:lpstr>wa</vt:lpstr>
      <vt:lpstr>wf</vt:lpstr>
      <vt:lpstr>wl</vt:lpstr>
      <vt:lpstr>wo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2020-04-13T23:02:13Z</dcterms:modified>
</cp:coreProperties>
</file>