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94F7B655-47DE-4B80-8E9D-2D29D15A648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19-ita-andamento-naz" sheetId="18" r:id="rId1"/>
    <sheet name="Cumul_confirmed - Power law fit" sheetId="12" r:id="rId2"/>
    <sheet name="New_confirmed - Power law fit" sheetId="19" r:id="rId3"/>
  </sheets>
  <definedNames>
    <definedName name="_xlcn.WorksheetConnection_COVID19ItalycasestrendBfit.xlsxdpc_covid19_ita_andamento_nazionale1" hidden="1">dpc_covid19_ita_andamento_nazionale</definedName>
    <definedName name="CI">'Cumul_confirmed - Power law fit'!$N$15</definedName>
    <definedName name="CId">'New_confirmed - Power law fit'!$R$27</definedName>
    <definedName name="CIh">'Cumul_confirmed - Power law fit'!$N$26</definedName>
    <definedName name="CIn">'New_confirmed - Power law fit'!$R$15</definedName>
    <definedName name="Critical_t">'Cumul_confirmed - Power law fit'!$N$14</definedName>
    <definedName name="Critical_td">'New_confirmed - Power law fit'!$R$26</definedName>
    <definedName name="Critical_th">'Cumul_confirmed - Power law fit'!$N$25</definedName>
    <definedName name="Critical_tn">'New_confirmed - Power law fit'!$R$14</definedName>
    <definedName name="DatiEsterni_1" localSheetId="0" hidden="1">'dpc-covid19-ita-andamento-naz'!$A$1:$O$42</definedName>
    <definedName name="DatiEsterni_2" localSheetId="0" hidden="1">'dpc-covid19-ita-andamento-naz'!#REF!</definedName>
    <definedName name="df">'Cumul_confirmed - Power law fit'!$N$11</definedName>
    <definedName name="dfd">'New_confirmed - Power law fit'!$R$23</definedName>
    <definedName name="dfh">'Cumul_confirmed - Power law fit'!$N$22</definedName>
    <definedName name="dfn">'New_confirmed - Power law fit'!$R$11</definedName>
    <definedName name="dpc_covid19_ita_andamento_nazionale_1" localSheetId="1" hidden="1">'Cumul_confirmed - Power law fit'!#REF!</definedName>
    <definedName name="K">'Cumul_confirmed - Power law fit'!$N$7</definedName>
    <definedName name="K_end">'New_confirmed - Power law fit'!$Q$48</definedName>
    <definedName name="K_start">'New_confirmed - Power law fit'!$Q$7</definedName>
    <definedName name="Kd">'New_confirmed - Power law fit'!$R$19</definedName>
    <definedName name="Kh">'Cumul_confirmed - Power law fit'!$N$18</definedName>
    <definedName name="Kn">'New_confirmed - Power law fit'!$R$7</definedName>
    <definedName name="M_end">'New_confirmed - Power law fit'!$S$47</definedName>
    <definedName name="M_start">'New_confirmed - Power law fit'!$S$7</definedName>
    <definedName name="Mean_of_y">'Cumul_confirmed - Power law fit'!$N$10</definedName>
    <definedName name="Mean_of_yd">'New_confirmed - Power law fit'!$R$22</definedName>
    <definedName name="Mean_of_yh">'Cumul_confirmed - Power law fit'!$N$21</definedName>
    <definedName name="Mean_of_yn">'New_confirmed - Power law fit'!$R$10</definedName>
    <definedName name="RSQ">'Cumul_confirmed - Power law fit'!$N$13</definedName>
    <definedName name="RSQd">'New_confirmed - Power law fit'!$R$25</definedName>
    <definedName name="RSQh">'Cumul_confirmed - Power law fit'!$N$24</definedName>
    <definedName name="RSQn">'New_confirmed - Power law fit'!$R$13</definedName>
    <definedName name="SE_of_y">'Cumul_confirmed - Power law fit'!$N$12</definedName>
    <definedName name="SE_of_yd">'New_confirmed - Power law fit'!$R$24</definedName>
    <definedName name="SE_of_yh">'Cumul_confirmed - Power law fit'!$N$23</definedName>
    <definedName name="SE_of_yn">'New_confirmed - Power law fit'!$R$12</definedName>
    <definedName name="solver_adj" localSheetId="1" hidden="1">'Cumul_confirmed - Power law fit'!$N$19,'Cumul_confirmed - Power law fit'!$N$20</definedName>
    <definedName name="solver_adj" localSheetId="2" hidden="1">'New_confirmed - Power law fit'!$R$8,'New_confirmed - Power law fit'!$R$9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'Cumul_confirmed - Power law fit'!$N$8</definedName>
    <definedName name="solver_lhs1" localSheetId="2" hidden="1">'New_confirmed - Power law fit'!$R$8</definedName>
    <definedName name="solver_lhs2" localSheetId="1" hidden="1">'Cumul_confirmed - Power law fit'!$N$8</definedName>
    <definedName name="solver_lhs2" localSheetId="2" hidden="1">'New_confirmed - Power law fit'!$R$8</definedName>
    <definedName name="solver_lhs3" localSheetId="1" hidden="1">'Cumul_confirmed - Power law fit'!$N$9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'Cumul_confirmed - Power law fit'!$N$24</definedName>
    <definedName name="solver_opt" localSheetId="2" hidden="1">'New_confirmed - Power law fit'!$R$13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1</definedName>
    <definedName name="solver_rel1" localSheetId="1" hidden="1">4</definedName>
    <definedName name="solver_rel1" localSheetId="2" hidden="1">4</definedName>
    <definedName name="solver_rel2" localSheetId="1" hidden="1">4</definedName>
    <definedName name="solver_rel2" localSheetId="2" hidden="1">4</definedName>
    <definedName name="solver_rel3" localSheetId="1" hidden="1">4</definedName>
    <definedName name="solver_rhs1" localSheetId="1" hidden="1">intero</definedName>
    <definedName name="solver_rhs1" localSheetId="2" hidden="1">intero</definedName>
    <definedName name="solver_rhs2" localSheetId="1" hidden="1">intero</definedName>
    <definedName name="solver_rhs2" localSheetId="2" hidden="1">intero</definedName>
    <definedName name="solver_rhs3" localSheetId="1" hidden="1">intero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</definedName>
    <definedName name="solver_tol" localSheetId="2" hidden="1">0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'Cumul_confirmed - Power law fit'!$N$8</definedName>
    <definedName name="t0d">'New_confirmed - Power law fit'!$R$20</definedName>
    <definedName name="t0h">'Cumul_confirmed - Power law fit'!$N$19</definedName>
    <definedName name="t0n">'New_confirmed - Power law fit'!$R$8</definedName>
    <definedName name="w">'Cumul_confirmed - Power law fit'!$N$9</definedName>
    <definedName name="wd">'New_confirmed - Power law fit'!$R$21</definedName>
    <definedName name="wh">'Cumul_confirmed - Power law fit'!$N$20</definedName>
    <definedName name="wn">'New_confirmed - Power law fit'!$R$9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0" i="19" l="1"/>
  <c r="AE9" i="19"/>
  <c r="AE8" i="19"/>
  <c r="AE20" i="19"/>
  <c r="AE19" i="19"/>
  <c r="AE18" i="19"/>
  <c r="R23" i="19"/>
  <c r="R22" i="19"/>
  <c r="R11" i="19"/>
  <c r="R10" i="19"/>
  <c r="AE22" i="19"/>
  <c r="AE21" i="19"/>
  <c r="AE12" i="19"/>
  <c r="AE11" i="19"/>
  <c r="AB20" i="12"/>
  <c r="AB19" i="12"/>
  <c r="AB18" i="12"/>
  <c r="AB10" i="12"/>
  <c r="AB9" i="12"/>
  <c r="AB8" i="12"/>
  <c r="N22" i="12"/>
  <c r="N21" i="12"/>
  <c r="N11" i="12"/>
  <c r="N10" i="12"/>
  <c r="AB22" i="12" l="1"/>
  <c r="AB21" i="12"/>
  <c r="AB12" i="12"/>
  <c r="AB11" i="12"/>
  <c r="K49" i="19" l="1"/>
  <c r="K50" i="19"/>
  <c r="K51" i="19"/>
  <c r="J49" i="19"/>
  <c r="J50" i="19"/>
  <c r="J51" i="19"/>
  <c r="E50" i="19"/>
  <c r="E51" i="19"/>
  <c r="D48" i="19"/>
  <c r="D49" i="19"/>
  <c r="D50" i="19"/>
  <c r="D51" i="19"/>
  <c r="H48" i="12"/>
  <c r="H49" i="12"/>
  <c r="H50" i="12"/>
  <c r="H51" i="12"/>
  <c r="D48" i="12"/>
  <c r="D49" i="12"/>
  <c r="D50" i="12"/>
  <c r="D51" i="12"/>
  <c r="J47" i="19" l="1"/>
  <c r="J48" i="19"/>
  <c r="K48" i="19" s="1"/>
  <c r="E49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E46" i="19" s="1"/>
  <c r="D47" i="19"/>
  <c r="E47" i="19" s="1"/>
  <c r="E48" i="19"/>
  <c r="H47" i="12" l="1"/>
  <c r="D47" i="12"/>
  <c r="M70" i="19" l="1"/>
  <c r="L70" i="19"/>
  <c r="G70" i="19"/>
  <c r="F70" i="19"/>
  <c r="M69" i="19"/>
  <c r="L69" i="19"/>
  <c r="G69" i="19"/>
  <c r="F69" i="19"/>
  <c r="M68" i="19"/>
  <c r="L68" i="19"/>
  <c r="G68" i="19"/>
  <c r="F68" i="19"/>
  <c r="M67" i="19"/>
  <c r="L67" i="19"/>
  <c r="G67" i="19"/>
  <c r="F67" i="19"/>
  <c r="M66" i="19"/>
  <c r="L66" i="19"/>
  <c r="G66" i="19"/>
  <c r="F66" i="19"/>
  <c r="M65" i="19"/>
  <c r="L65" i="19"/>
  <c r="G65" i="19"/>
  <c r="F65" i="19"/>
  <c r="M64" i="19"/>
  <c r="L64" i="19"/>
  <c r="G64" i="19"/>
  <c r="F64" i="19"/>
  <c r="M63" i="19"/>
  <c r="L63" i="19"/>
  <c r="G63" i="19"/>
  <c r="F63" i="19"/>
  <c r="M62" i="19"/>
  <c r="L62" i="19"/>
  <c r="G62" i="19"/>
  <c r="F62" i="19"/>
  <c r="M61" i="19"/>
  <c r="L61" i="19"/>
  <c r="G61" i="19"/>
  <c r="F61" i="19"/>
  <c r="M60" i="19"/>
  <c r="L60" i="19"/>
  <c r="G60" i="19"/>
  <c r="F60" i="19"/>
  <c r="M59" i="19"/>
  <c r="L59" i="19"/>
  <c r="G59" i="19"/>
  <c r="F59" i="19"/>
  <c r="M58" i="19"/>
  <c r="L58" i="19"/>
  <c r="G58" i="19"/>
  <c r="F58" i="19"/>
  <c r="M57" i="19"/>
  <c r="L57" i="19"/>
  <c r="G57" i="19"/>
  <c r="F57" i="19"/>
  <c r="M56" i="19"/>
  <c r="L56" i="19"/>
  <c r="G56" i="19"/>
  <c r="F56" i="19"/>
  <c r="M55" i="19"/>
  <c r="L55" i="19"/>
  <c r="G55" i="19"/>
  <c r="F55" i="19"/>
  <c r="M54" i="19"/>
  <c r="L54" i="19"/>
  <c r="G54" i="19"/>
  <c r="F54" i="19"/>
  <c r="M53" i="19"/>
  <c r="L53" i="19"/>
  <c r="G53" i="19"/>
  <c r="F53" i="19"/>
  <c r="M52" i="19"/>
  <c r="L52" i="19"/>
  <c r="G52" i="19"/>
  <c r="F52" i="19"/>
  <c r="M51" i="19"/>
  <c r="L51" i="19"/>
  <c r="G51" i="19"/>
  <c r="F51" i="19"/>
  <c r="M50" i="19"/>
  <c r="L50" i="19"/>
  <c r="G50" i="19"/>
  <c r="F50" i="19"/>
  <c r="M49" i="19"/>
  <c r="L49" i="19"/>
  <c r="G49" i="19"/>
  <c r="F49" i="19"/>
  <c r="M48" i="19"/>
  <c r="L48" i="19"/>
  <c r="G48" i="19"/>
  <c r="F48" i="19"/>
  <c r="M47" i="19"/>
  <c r="L47" i="19"/>
  <c r="G47" i="19"/>
  <c r="F47" i="19"/>
  <c r="M46" i="19"/>
  <c r="L46" i="19"/>
  <c r="J46" i="19"/>
  <c r="K47" i="19" s="1"/>
  <c r="G46" i="19"/>
  <c r="F46" i="19"/>
  <c r="M45" i="19"/>
  <c r="L45" i="19"/>
  <c r="J45" i="19"/>
  <c r="G45" i="19"/>
  <c r="F45" i="19"/>
  <c r="M44" i="19"/>
  <c r="L44" i="19"/>
  <c r="J44" i="19"/>
  <c r="G44" i="19"/>
  <c r="F44" i="19"/>
  <c r="M43" i="19"/>
  <c r="L43" i="19"/>
  <c r="J43" i="19"/>
  <c r="G43" i="19"/>
  <c r="F43" i="19"/>
  <c r="M42" i="19"/>
  <c r="L42" i="19"/>
  <c r="J42" i="19"/>
  <c r="G42" i="19"/>
  <c r="F42" i="19"/>
  <c r="M41" i="19"/>
  <c r="L41" i="19"/>
  <c r="J41" i="19"/>
  <c r="G41" i="19"/>
  <c r="F41" i="19"/>
  <c r="M40" i="19"/>
  <c r="L40" i="19"/>
  <c r="J40" i="19"/>
  <c r="G40" i="19"/>
  <c r="F40" i="19"/>
  <c r="M39" i="19"/>
  <c r="L39" i="19"/>
  <c r="J39" i="19"/>
  <c r="G39" i="19"/>
  <c r="F39" i="19"/>
  <c r="M38" i="19"/>
  <c r="L38" i="19"/>
  <c r="J38" i="19"/>
  <c r="G38" i="19"/>
  <c r="F38" i="19"/>
  <c r="M37" i="19"/>
  <c r="L37" i="19"/>
  <c r="J37" i="19"/>
  <c r="G37" i="19"/>
  <c r="F37" i="19"/>
  <c r="M36" i="19"/>
  <c r="L36" i="19"/>
  <c r="J36" i="19"/>
  <c r="G36" i="19"/>
  <c r="F36" i="19"/>
  <c r="M35" i="19"/>
  <c r="L35" i="19"/>
  <c r="J35" i="19"/>
  <c r="G35" i="19"/>
  <c r="F35" i="19"/>
  <c r="M34" i="19"/>
  <c r="L34" i="19"/>
  <c r="J34" i="19"/>
  <c r="G34" i="19"/>
  <c r="F34" i="19"/>
  <c r="M33" i="19"/>
  <c r="L33" i="19"/>
  <c r="J33" i="19"/>
  <c r="G33" i="19"/>
  <c r="F33" i="19"/>
  <c r="M32" i="19"/>
  <c r="L32" i="19"/>
  <c r="J32" i="19"/>
  <c r="G32" i="19"/>
  <c r="F32" i="19"/>
  <c r="D32" i="19"/>
  <c r="M31" i="19"/>
  <c r="L31" i="19"/>
  <c r="J31" i="19"/>
  <c r="G31" i="19"/>
  <c r="F31" i="19"/>
  <c r="D31" i="19"/>
  <c r="M30" i="19"/>
  <c r="L30" i="19"/>
  <c r="J30" i="19"/>
  <c r="G30" i="19"/>
  <c r="F30" i="19"/>
  <c r="D30" i="19"/>
  <c r="R29" i="19"/>
  <c r="M29" i="19"/>
  <c r="L29" i="19"/>
  <c r="J29" i="19"/>
  <c r="G29" i="19"/>
  <c r="F29" i="19"/>
  <c r="D29" i="19"/>
  <c r="R28" i="19"/>
  <c r="M28" i="19"/>
  <c r="L28" i="19"/>
  <c r="J28" i="19"/>
  <c r="G28" i="19"/>
  <c r="F28" i="19"/>
  <c r="D28" i="19"/>
  <c r="M27" i="19"/>
  <c r="L27" i="19"/>
  <c r="J27" i="19"/>
  <c r="G27" i="19"/>
  <c r="F27" i="19"/>
  <c r="D27" i="19"/>
  <c r="M26" i="19"/>
  <c r="L26" i="19"/>
  <c r="J26" i="19"/>
  <c r="G26" i="19"/>
  <c r="F26" i="19"/>
  <c r="D26" i="19"/>
  <c r="M25" i="19"/>
  <c r="L25" i="19"/>
  <c r="J25" i="19"/>
  <c r="G25" i="19"/>
  <c r="F25" i="19"/>
  <c r="D25" i="19"/>
  <c r="M24" i="19"/>
  <c r="L24" i="19"/>
  <c r="J24" i="19"/>
  <c r="G24" i="19"/>
  <c r="F24" i="19"/>
  <c r="D24" i="19"/>
  <c r="M23" i="19"/>
  <c r="L23" i="19"/>
  <c r="J23" i="19"/>
  <c r="G23" i="19"/>
  <c r="F23" i="19"/>
  <c r="D23" i="19"/>
  <c r="M22" i="19"/>
  <c r="L22" i="19"/>
  <c r="J22" i="19"/>
  <c r="G22" i="19"/>
  <c r="F22" i="19"/>
  <c r="D22" i="19"/>
  <c r="M21" i="19"/>
  <c r="L21" i="19"/>
  <c r="J21" i="19"/>
  <c r="G21" i="19"/>
  <c r="F21" i="19"/>
  <c r="D21" i="19"/>
  <c r="M20" i="19"/>
  <c r="L20" i="19"/>
  <c r="J20" i="19"/>
  <c r="G20" i="19"/>
  <c r="F20" i="19"/>
  <c r="D20" i="19"/>
  <c r="M19" i="19"/>
  <c r="L19" i="19"/>
  <c r="J19" i="19"/>
  <c r="G19" i="19"/>
  <c r="F19" i="19"/>
  <c r="D19" i="19"/>
  <c r="M18" i="19"/>
  <c r="L18" i="19"/>
  <c r="J18" i="19"/>
  <c r="G18" i="19"/>
  <c r="F18" i="19"/>
  <c r="D18" i="19"/>
  <c r="R17" i="19"/>
  <c r="M17" i="19"/>
  <c r="L17" i="19"/>
  <c r="J17" i="19"/>
  <c r="G17" i="19"/>
  <c r="F17" i="19"/>
  <c r="D17" i="19"/>
  <c r="R16" i="19"/>
  <c r="M16" i="19"/>
  <c r="L16" i="19"/>
  <c r="J16" i="19"/>
  <c r="G16" i="19"/>
  <c r="F16" i="19"/>
  <c r="D16" i="19"/>
  <c r="M15" i="19"/>
  <c r="L15" i="19"/>
  <c r="J15" i="19"/>
  <c r="G15" i="19"/>
  <c r="F15" i="19"/>
  <c r="D15" i="19"/>
  <c r="M14" i="19"/>
  <c r="L14" i="19"/>
  <c r="J14" i="19"/>
  <c r="G14" i="19"/>
  <c r="F14" i="19"/>
  <c r="D14" i="19"/>
  <c r="M13" i="19"/>
  <c r="L13" i="19"/>
  <c r="J13" i="19"/>
  <c r="G13" i="19"/>
  <c r="F13" i="19"/>
  <c r="D13" i="19"/>
  <c r="M12" i="19"/>
  <c r="L12" i="19"/>
  <c r="J12" i="19"/>
  <c r="G12" i="19"/>
  <c r="F12" i="19"/>
  <c r="D12" i="19"/>
  <c r="M11" i="19"/>
  <c r="L11" i="19"/>
  <c r="J11" i="19"/>
  <c r="K11" i="19" s="1"/>
  <c r="G11" i="19"/>
  <c r="F11" i="19"/>
  <c r="D11" i="19"/>
  <c r="E11" i="19" s="1"/>
  <c r="M10" i="19"/>
  <c r="L10" i="19"/>
  <c r="K10" i="19"/>
  <c r="G10" i="19"/>
  <c r="F10" i="19"/>
  <c r="E10" i="19"/>
  <c r="M9" i="19"/>
  <c r="L9" i="19"/>
  <c r="K9" i="19"/>
  <c r="G9" i="19"/>
  <c r="F9" i="19"/>
  <c r="E9" i="19"/>
  <c r="M8" i="19"/>
  <c r="L8" i="19"/>
  <c r="K8" i="19"/>
  <c r="G8" i="19"/>
  <c r="F8" i="19"/>
  <c r="E8" i="19"/>
  <c r="M7" i="19"/>
  <c r="L7" i="19"/>
  <c r="K7" i="19"/>
  <c r="G7" i="19"/>
  <c r="F7" i="19"/>
  <c r="E7" i="19"/>
  <c r="I70" i="12"/>
  <c r="E70" i="12"/>
  <c r="I69" i="12"/>
  <c r="E69" i="12"/>
  <c r="I68" i="12"/>
  <c r="E68" i="12"/>
  <c r="I67" i="12"/>
  <c r="E67" i="12"/>
  <c r="I66" i="12"/>
  <c r="E66" i="12"/>
  <c r="I65" i="12"/>
  <c r="E65" i="12"/>
  <c r="I64" i="12"/>
  <c r="E64" i="12"/>
  <c r="I63" i="12"/>
  <c r="E63" i="12"/>
  <c r="I62" i="12"/>
  <c r="E62" i="12"/>
  <c r="I61" i="12"/>
  <c r="E61" i="12"/>
  <c r="I60" i="12"/>
  <c r="E60" i="12"/>
  <c r="I59" i="12"/>
  <c r="E59" i="12"/>
  <c r="I58" i="12"/>
  <c r="E58" i="12"/>
  <c r="I57" i="12"/>
  <c r="E57" i="12"/>
  <c r="I56" i="12"/>
  <c r="E56" i="12"/>
  <c r="I55" i="12"/>
  <c r="E55" i="12"/>
  <c r="I54" i="12"/>
  <c r="E54" i="12"/>
  <c r="I53" i="12"/>
  <c r="E53" i="12"/>
  <c r="I52" i="12"/>
  <c r="E52" i="12"/>
  <c r="I51" i="12"/>
  <c r="E51" i="12"/>
  <c r="I50" i="12"/>
  <c r="E50" i="12"/>
  <c r="I49" i="12"/>
  <c r="E49" i="12"/>
  <c r="I48" i="12"/>
  <c r="E48" i="12"/>
  <c r="I47" i="12"/>
  <c r="E47" i="12"/>
  <c r="I46" i="12"/>
  <c r="H46" i="12"/>
  <c r="E46" i="12"/>
  <c r="D46" i="12"/>
  <c r="I45" i="12"/>
  <c r="H45" i="12"/>
  <c r="E45" i="12"/>
  <c r="D45" i="12"/>
  <c r="I44" i="12"/>
  <c r="H44" i="12"/>
  <c r="E44" i="12"/>
  <c r="D44" i="12"/>
  <c r="I43" i="12"/>
  <c r="H43" i="12"/>
  <c r="E43" i="12"/>
  <c r="D43" i="12"/>
  <c r="I42" i="12"/>
  <c r="H42" i="12"/>
  <c r="E42" i="12"/>
  <c r="D42" i="12"/>
  <c r="I41" i="12"/>
  <c r="H41" i="12"/>
  <c r="E41" i="12"/>
  <c r="D41" i="12"/>
  <c r="I40" i="12"/>
  <c r="H40" i="12"/>
  <c r="E40" i="12"/>
  <c r="D40" i="12"/>
  <c r="I39" i="12"/>
  <c r="H39" i="12"/>
  <c r="E39" i="12"/>
  <c r="D39" i="12"/>
  <c r="I38" i="12"/>
  <c r="H38" i="12"/>
  <c r="E38" i="12"/>
  <c r="D38" i="12"/>
  <c r="I37" i="12"/>
  <c r="H37" i="12"/>
  <c r="E37" i="12"/>
  <c r="D37" i="12"/>
  <c r="I36" i="12"/>
  <c r="H36" i="12"/>
  <c r="E36" i="12"/>
  <c r="D36" i="12"/>
  <c r="I35" i="12"/>
  <c r="H35" i="12"/>
  <c r="E35" i="12"/>
  <c r="D35" i="12"/>
  <c r="I34" i="12"/>
  <c r="H34" i="12"/>
  <c r="E34" i="12"/>
  <c r="D34" i="12"/>
  <c r="I33" i="12"/>
  <c r="H33" i="12"/>
  <c r="E33" i="12"/>
  <c r="D33" i="12"/>
  <c r="I32" i="12"/>
  <c r="H32" i="12"/>
  <c r="E32" i="12"/>
  <c r="D32" i="12"/>
  <c r="I31" i="12"/>
  <c r="H31" i="12"/>
  <c r="E31" i="12"/>
  <c r="D31" i="12"/>
  <c r="I30" i="12"/>
  <c r="H30" i="12"/>
  <c r="E30" i="12"/>
  <c r="D30" i="12"/>
  <c r="I29" i="12"/>
  <c r="H29" i="12"/>
  <c r="E29" i="12"/>
  <c r="D29" i="12"/>
  <c r="I28" i="12"/>
  <c r="H28" i="12"/>
  <c r="E28" i="12"/>
  <c r="D28" i="12"/>
  <c r="N27" i="12"/>
  <c r="I27" i="12"/>
  <c r="H27" i="12"/>
  <c r="E27" i="12"/>
  <c r="D27" i="12"/>
  <c r="I26" i="12"/>
  <c r="H26" i="12"/>
  <c r="E26" i="12"/>
  <c r="D26" i="12"/>
  <c r="I25" i="12"/>
  <c r="H25" i="12"/>
  <c r="E25" i="12"/>
  <c r="D25" i="12"/>
  <c r="I24" i="12"/>
  <c r="H24" i="12"/>
  <c r="E24" i="12"/>
  <c r="D24" i="12"/>
  <c r="I23" i="12"/>
  <c r="H23" i="12"/>
  <c r="E23" i="12"/>
  <c r="D23" i="12"/>
  <c r="I22" i="12"/>
  <c r="H22" i="12"/>
  <c r="E22" i="12"/>
  <c r="D22" i="12"/>
  <c r="I21" i="12"/>
  <c r="H21" i="12"/>
  <c r="E21" i="12"/>
  <c r="D21" i="12"/>
  <c r="I20" i="12"/>
  <c r="H20" i="12"/>
  <c r="E20" i="12"/>
  <c r="D20" i="12"/>
  <c r="I19" i="12"/>
  <c r="H19" i="12"/>
  <c r="E19" i="12"/>
  <c r="D19" i="12"/>
  <c r="I18" i="12"/>
  <c r="H18" i="12"/>
  <c r="E18" i="12"/>
  <c r="D18" i="12"/>
  <c r="I17" i="12"/>
  <c r="H17" i="12"/>
  <c r="E17" i="12"/>
  <c r="D17" i="12"/>
  <c r="N16" i="12"/>
  <c r="I16" i="12"/>
  <c r="H16" i="12"/>
  <c r="E16" i="12"/>
  <c r="D16" i="12"/>
  <c r="I15" i="12"/>
  <c r="H15" i="12"/>
  <c r="E15" i="12"/>
  <c r="D15" i="12"/>
  <c r="I14" i="12"/>
  <c r="H14" i="12"/>
  <c r="E14" i="12"/>
  <c r="D14" i="12"/>
  <c r="I13" i="12"/>
  <c r="H13" i="12"/>
  <c r="E13" i="12"/>
  <c r="D13" i="12"/>
  <c r="I12" i="12"/>
  <c r="H12" i="12"/>
  <c r="E12" i="12"/>
  <c r="D12" i="12"/>
  <c r="I11" i="12"/>
  <c r="H11" i="12"/>
  <c r="E11" i="12"/>
  <c r="D11" i="12"/>
  <c r="I10" i="12"/>
  <c r="E10" i="12"/>
  <c r="I9" i="12"/>
  <c r="E9" i="12"/>
  <c r="I8" i="12"/>
  <c r="E8" i="12"/>
  <c r="I7" i="12"/>
  <c r="E7" i="12"/>
  <c r="R13" i="19" l="1" a="1"/>
  <c r="R13" i="19" s="1"/>
  <c r="AE7" i="19" s="1"/>
  <c r="R12" i="19" a="1"/>
  <c r="R12" i="19" s="1"/>
  <c r="R24" i="19" a="1"/>
  <c r="R24" i="19" s="1"/>
  <c r="R25" i="19" a="1"/>
  <c r="R25" i="19" s="1"/>
  <c r="AE17" i="19" s="1"/>
  <c r="N24" i="12" a="1"/>
  <c r="N24" i="12" s="1"/>
  <c r="AB17" i="12" s="1"/>
  <c r="N23" i="12" a="1"/>
  <c r="N23" i="12" s="1"/>
  <c r="N13" i="12" a="1"/>
  <c r="N13" i="12" s="1"/>
  <c r="AB7" i="12" s="1"/>
  <c r="N12" i="12" a="1"/>
  <c r="N12" i="12" s="1"/>
  <c r="E14" i="19"/>
  <c r="N25" i="12"/>
  <c r="E28" i="19"/>
  <c r="E30" i="19"/>
  <c r="E32" i="19"/>
  <c r="E34" i="19"/>
  <c r="E36" i="19"/>
  <c r="E38" i="19"/>
  <c r="E40" i="19"/>
  <c r="E42" i="19"/>
  <c r="K18" i="19"/>
  <c r="K20" i="19"/>
  <c r="K22" i="19"/>
  <c r="K24" i="19"/>
  <c r="K26" i="19"/>
  <c r="K29" i="19"/>
  <c r="E19" i="19"/>
  <c r="E21" i="19"/>
  <c r="E23" i="19"/>
  <c r="E25" i="19"/>
  <c r="E27" i="19"/>
  <c r="K13" i="19"/>
  <c r="E29" i="19"/>
  <c r="E12" i="19"/>
  <c r="E44" i="19"/>
  <c r="E15" i="19"/>
  <c r="E17" i="19"/>
  <c r="K30" i="19"/>
  <c r="K32" i="19"/>
  <c r="K34" i="19"/>
  <c r="K36" i="19"/>
  <c r="K38" i="19"/>
  <c r="K40" i="19"/>
  <c r="K42" i="19"/>
  <c r="K44" i="19"/>
  <c r="K46" i="19"/>
  <c r="K21" i="19"/>
  <c r="E16" i="19"/>
  <c r="K23" i="19"/>
  <c r="K19" i="19"/>
  <c r="K12" i="19"/>
  <c r="K25" i="19"/>
  <c r="E31" i="19"/>
  <c r="E33" i="19"/>
  <c r="E35" i="19"/>
  <c r="E37" i="19"/>
  <c r="E39" i="19"/>
  <c r="E41" i="19"/>
  <c r="E43" i="19"/>
  <c r="E45" i="19"/>
  <c r="K15" i="19"/>
  <c r="K17" i="19"/>
  <c r="E18" i="19"/>
  <c r="E20" i="19"/>
  <c r="E22" i="19"/>
  <c r="E24" i="19"/>
  <c r="E13" i="19"/>
  <c r="E26" i="19"/>
  <c r="K31" i="19"/>
  <c r="K33" i="19"/>
  <c r="K35" i="19"/>
  <c r="K37" i="19"/>
  <c r="K39" i="19"/>
  <c r="K41" i="19"/>
  <c r="K43" i="19"/>
  <c r="K45" i="19"/>
  <c r="K27" i="19"/>
  <c r="K14" i="19"/>
  <c r="K28" i="19"/>
  <c r="K16" i="19"/>
  <c r="N14" i="12" l="1"/>
  <c r="N15" i="12" s="1"/>
  <c r="N26" i="12"/>
  <c r="J51" i="12" l="1"/>
  <c r="K51" i="12"/>
  <c r="F51" i="12"/>
  <c r="G51" i="12"/>
  <c r="J50" i="12"/>
  <c r="K50" i="12"/>
  <c r="G50" i="12"/>
  <c r="F50" i="12"/>
  <c r="R14" i="19"/>
  <c r="R15" i="19" s="1"/>
  <c r="J48" i="12"/>
  <c r="K48" i="12"/>
  <c r="J49" i="12"/>
  <c r="K49" i="12"/>
  <c r="F49" i="12"/>
  <c r="G49" i="12"/>
  <c r="F35" i="12"/>
  <c r="G29" i="12"/>
  <c r="G32" i="12"/>
  <c r="G30" i="12"/>
  <c r="F43" i="12"/>
  <c r="F25" i="12"/>
  <c r="G19" i="12"/>
  <c r="G45" i="12"/>
  <c r="F18" i="12"/>
  <c r="F13" i="12"/>
  <c r="G28" i="12"/>
  <c r="G22" i="12"/>
  <c r="G15" i="12"/>
  <c r="F40" i="12"/>
  <c r="G25" i="12"/>
  <c r="G35" i="12"/>
  <c r="G31" i="12"/>
  <c r="F32" i="12"/>
  <c r="G39" i="12"/>
  <c r="F37" i="12"/>
  <c r="F24" i="12"/>
  <c r="G38" i="12"/>
  <c r="F26" i="12"/>
  <c r="F29" i="12"/>
  <c r="G16" i="12"/>
  <c r="F34" i="12"/>
  <c r="G10" i="12"/>
  <c r="G41" i="12"/>
  <c r="F8" i="12"/>
  <c r="G26" i="12"/>
  <c r="G48" i="12"/>
  <c r="G13" i="12"/>
  <c r="G34" i="12"/>
  <c r="F11" i="12"/>
  <c r="G12" i="12"/>
  <c r="F19" i="12"/>
  <c r="F27" i="12"/>
  <c r="G47" i="12"/>
  <c r="G21" i="12"/>
  <c r="F16" i="12"/>
  <c r="F31" i="12"/>
  <c r="F22" i="12"/>
  <c r="F10" i="12"/>
  <c r="G9" i="12"/>
  <c r="G14" i="12"/>
  <c r="F7" i="12"/>
  <c r="G17" i="12"/>
  <c r="F36" i="12"/>
  <c r="G8" i="12"/>
  <c r="G36" i="12"/>
  <c r="F46" i="12"/>
  <c r="F39" i="12"/>
  <c r="G44" i="12"/>
  <c r="G18" i="12"/>
  <c r="F15" i="12"/>
  <c r="G24" i="12"/>
  <c r="G11" i="12"/>
  <c r="F30" i="12"/>
  <c r="F47" i="12"/>
  <c r="F14" i="12"/>
  <c r="G20" i="12"/>
  <c r="F33" i="12"/>
  <c r="F44" i="12"/>
  <c r="G42" i="12"/>
  <c r="G46" i="12"/>
  <c r="F17" i="12"/>
  <c r="F23" i="12"/>
  <c r="F41" i="12"/>
  <c r="G43" i="12"/>
  <c r="F20" i="12"/>
  <c r="G27" i="12"/>
  <c r="F38" i="12"/>
  <c r="G33" i="12"/>
  <c r="G40" i="12"/>
  <c r="F28" i="12"/>
  <c r="G23" i="12"/>
  <c r="F42" i="12"/>
  <c r="G7" i="12"/>
  <c r="F9" i="12"/>
  <c r="G37" i="12"/>
  <c r="F12" i="12"/>
  <c r="F45" i="12"/>
  <c r="F21" i="12"/>
  <c r="F48" i="12"/>
  <c r="K41" i="12"/>
  <c r="J28" i="12"/>
  <c r="J19" i="12"/>
  <c r="J37" i="12"/>
  <c r="K9" i="12"/>
  <c r="K18" i="12"/>
  <c r="J20" i="12"/>
  <c r="K23" i="12"/>
  <c r="K16" i="12"/>
  <c r="J15" i="12"/>
  <c r="K8" i="12"/>
  <c r="K46" i="12"/>
  <c r="K28" i="12"/>
  <c r="K14" i="12"/>
  <c r="K10" i="12"/>
  <c r="K25" i="12"/>
  <c r="K40" i="12"/>
  <c r="K13" i="12"/>
  <c r="J14" i="12"/>
  <c r="K15" i="12"/>
  <c r="J34" i="12"/>
  <c r="J40" i="12"/>
  <c r="J12" i="12"/>
  <c r="K45" i="12"/>
  <c r="K7" i="12"/>
  <c r="J41" i="12"/>
  <c r="J9" i="12"/>
  <c r="K20" i="12"/>
  <c r="K31" i="12"/>
  <c r="J38" i="12"/>
  <c r="J25" i="12"/>
  <c r="K32" i="12"/>
  <c r="J42" i="12"/>
  <c r="K47" i="12"/>
  <c r="J32" i="12"/>
  <c r="J31" i="12"/>
  <c r="J39" i="12"/>
  <c r="K44" i="12"/>
  <c r="J27" i="12"/>
  <c r="J16" i="12"/>
  <c r="J33" i="12"/>
  <c r="K21" i="12"/>
  <c r="J11" i="12"/>
  <c r="K27" i="12"/>
  <c r="K39" i="12"/>
  <c r="J46" i="12"/>
  <c r="K37" i="12"/>
  <c r="J13" i="12"/>
  <c r="J44" i="12"/>
  <c r="J10" i="12"/>
  <c r="K22" i="12"/>
  <c r="J17" i="12"/>
  <c r="K30" i="12"/>
  <c r="K34" i="12"/>
  <c r="J26" i="12"/>
  <c r="K24" i="12"/>
  <c r="J23" i="12"/>
  <c r="J8" i="12"/>
  <c r="K42" i="12"/>
  <c r="J22" i="12"/>
  <c r="J7" i="12"/>
  <c r="J21" i="12"/>
  <c r="K19" i="12"/>
  <c r="J24" i="12"/>
  <c r="J29" i="12"/>
  <c r="K11" i="12"/>
  <c r="K29" i="12"/>
  <c r="K17" i="12"/>
  <c r="J30" i="12"/>
  <c r="J18" i="12"/>
  <c r="K35" i="12"/>
  <c r="J47" i="12"/>
  <c r="K38" i="12"/>
  <c r="K26" i="12"/>
  <c r="K43" i="12"/>
  <c r="K36" i="12"/>
  <c r="J45" i="12"/>
  <c r="J36" i="12"/>
  <c r="K12" i="12"/>
  <c r="J35" i="12"/>
  <c r="J43" i="12"/>
  <c r="K33" i="12"/>
  <c r="R26" i="19"/>
  <c r="R27" i="19" s="1"/>
  <c r="N50" i="19" l="1"/>
  <c r="O50" i="19"/>
  <c r="N51" i="19"/>
  <c r="O51" i="19"/>
  <c r="H51" i="19"/>
  <c r="I51" i="19"/>
  <c r="O48" i="19"/>
  <c r="O49" i="19"/>
  <c r="N49" i="19"/>
  <c r="I50" i="19"/>
  <c r="H50" i="19"/>
  <c r="N48" i="19"/>
  <c r="H48" i="19"/>
  <c r="I48" i="19"/>
  <c r="H49" i="19"/>
  <c r="I49" i="19"/>
  <c r="I23" i="19"/>
  <c r="H41" i="19"/>
  <c r="H39" i="19"/>
  <c r="H20" i="19"/>
  <c r="I37" i="19"/>
  <c r="H16" i="19"/>
  <c r="H8" i="19"/>
  <c r="I39" i="19"/>
  <c r="I24" i="19"/>
  <c r="H9" i="19"/>
  <c r="H18" i="19"/>
  <c r="H40" i="19"/>
  <c r="I15" i="19"/>
  <c r="H10" i="19"/>
  <c r="H27" i="19"/>
  <c r="H15" i="19"/>
  <c r="H24" i="19"/>
  <c r="I46" i="19"/>
  <c r="H38" i="19"/>
  <c r="I32" i="19"/>
  <c r="I16" i="19"/>
  <c r="I13" i="19"/>
  <c r="H7" i="19"/>
  <c r="I21" i="19"/>
  <c r="H36" i="19"/>
  <c r="H25" i="19"/>
  <c r="I8" i="19"/>
  <c r="H47" i="19"/>
  <c r="I29" i="19"/>
  <c r="I35" i="19"/>
  <c r="I18" i="19"/>
  <c r="H33" i="19"/>
  <c r="H13" i="19"/>
  <c r="H28" i="19"/>
  <c r="H44" i="19"/>
  <c r="H32" i="19"/>
  <c r="I41" i="19"/>
  <c r="I27" i="19"/>
  <c r="H21" i="19"/>
  <c r="H31" i="19"/>
  <c r="H23" i="19"/>
  <c r="I11" i="19"/>
  <c r="I9" i="19"/>
  <c r="I47" i="19"/>
  <c r="I33" i="19"/>
  <c r="I28" i="19"/>
  <c r="I22" i="19"/>
  <c r="I45" i="19"/>
  <c r="H37" i="19"/>
  <c r="I34" i="19"/>
  <c r="H11" i="19"/>
  <c r="I44" i="19"/>
  <c r="I14" i="19"/>
  <c r="I36" i="19"/>
  <c r="I10" i="19"/>
  <c r="I20" i="19"/>
  <c r="H35" i="19"/>
  <c r="I31" i="19"/>
  <c r="I12" i="19"/>
  <c r="H45" i="19"/>
  <c r="H26" i="19"/>
  <c r="I26" i="19"/>
  <c r="H22" i="19"/>
  <c r="H29" i="19"/>
  <c r="H43" i="19"/>
  <c r="H14" i="19"/>
  <c r="H42" i="19"/>
  <c r="H30" i="19"/>
  <c r="I38" i="19"/>
  <c r="I42" i="19"/>
  <c r="H12" i="19"/>
  <c r="I7" i="19"/>
  <c r="H19" i="19"/>
  <c r="I40" i="19"/>
  <c r="I25" i="19"/>
  <c r="I19" i="19"/>
  <c r="H46" i="19"/>
  <c r="H34" i="19"/>
  <c r="I43" i="19"/>
  <c r="H17" i="19"/>
  <c r="I30" i="19"/>
  <c r="I17" i="19"/>
  <c r="O24" i="19"/>
  <c r="O10" i="19"/>
  <c r="N24" i="19"/>
  <c r="O23" i="19"/>
  <c r="O47" i="19"/>
  <c r="O45" i="19"/>
  <c r="O43" i="19"/>
  <c r="O41" i="19"/>
  <c r="O39" i="19"/>
  <c r="O37" i="19"/>
  <c r="O34" i="19"/>
  <c r="O32" i="19"/>
  <c r="O30" i="19"/>
  <c r="N10" i="19"/>
  <c r="O46" i="19"/>
  <c r="O44" i="19"/>
  <c r="O42" i="19"/>
  <c r="O40" i="19"/>
  <c r="O38" i="19"/>
  <c r="O36" i="19"/>
  <c r="O33" i="19"/>
  <c r="O31" i="19"/>
  <c r="N17" i="19"/>
  <c r="O16" i="19"/>
  <c r="O17" i="19"/>
  <c r="O35" i="19"/>
  <c r="N47" i="19"/>
  <c r="N46" i="19"/>
  <c r="N45" i="19"/>
  <c r="O28" i="19"/>
  <c r="O14" i="19"/>
  <c r="O7" i="19"/>
  <c r="N28" i="19"/>
  <c r="O27" i="19"/>
  <c r="N14" i="19"/>
  <c r="N7" i="19"/>
  <c r="O26" i="19"/>
  <c r="O13" i="19"/>
  <c r="O8" i="19"/>
  <c r="N26" i="19"/>
  <c r="N13" i="19"/>
  <c r="N8" i="19"/>
  <c r="N25" i="19"/>
  <c r="N12" i="19"/>
  <c r="O11" i="19"/>
  <c r="N9" i="19"/>
  <c r="N39" i="19"/>
  <c r="O20" i="19"/>
  <c r="O15" i="19"/>
  <c r="N42" i="19"/>
  <c r="N41" i="19"/>
  <c r="O22" i="19"/>
  <c r="N44" i="19"/>
  <c r="O12" i="19"/>
  <c r="N43" i="19"/>
  <c r="O25" i="19"/>
  <c r="N22" i="19"/>
  <c r="N37" i="19"/>
  <c r="N27" i="19"/>
  <c r="N21" i="19"/>
  <c r="N20" i="19"/>
  <c r="N33" i="19"/>
  <c r="N36" i="19"/>
  <c r="O18" i="19"/>
  <c r="O29" i="19"/>
  <c r="O19" i="19"/>
  <c r="N15" i="19"/>
  <c r="N18" i="19"/>
  <c r="N29" i="19"/>
  <c r="N19" i="19"/>
  <c r="N30" i="19"/>
  <c r="O21" i="19"/>
  <c r="N32" i="19"/>
  <c r="N31" i="19"/>
  <c r="O9" i="19"/>
  <c r="N34" i="19"/>
  <c r="N11" i="19"/>
  <c r="N16" i="19"/>
  <c r="N40" i="19"/>
  <c r="N35" i="19"/>
  <c r="N38" i="19"/>
  <c r="N23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  <author>tc={8DD349DE-7478-43D5-9443-337E52D93429}</author>
  </authors>
  <commentList>
    <comment ref="B11" authorId="0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7" authorId="1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21" authorId="2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4" authorId="3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6" authorId="4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8" authorId="5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9" authorId="6" shapeId="0" xr:uid="{8DD349DE-7478-43D5-9443-337E52D9342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tc={5FD8839A-74E9-44C2-B5F2-F977D0EA3D98}</author>
    <author>tc={95B83D2D-5EDB-4C8F-91A8-36D622D74B5B}</author>
    <author>tc={FB6547ED-429A-49D7-8367-DE2107BFB931}</author>
    <author>tc={18DCC697-BA7F-479A-8641-1D7FCDC0672D}</author>
    <author>tc={5FB23112-C2D9-44D1-9DAD-0448A5341B10}</author>
    <author>tc={90A59D2F-F1E2-4415-85BD-E03CA55CB6FA}</author>
    <author>tc={0E1A0D26-B3B0-42D1-A5BA-750B79DBB49F}</author>
  </authors>
  <commentList>
    <comment ref="B11" authorId="0" shapeId="0" xr:uid="{5FD8839A-74E9-44C2-B5F2-F977D0EA3D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7" authorId="1" shapeId="0" xr:uid="{95B83D2D-5EDB-4C8F-91A8-36D622D74B5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21" authorId="2" shapeId="0" xr:uid="{FB6547ED-429A-49D7-8367-DE2107BFB93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4" authorId="3" shapeId="0" xr:uid="{18DCC697-BA7F-479A-8641-1D7FCDC0672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6" authorId="4" shapeId="0" xr:uid="{5FB23112-C2D9-44D1-9DAD-0448A5341B1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8" authorId="5" shapeId="0" xr:uid="{90A59D2F-F1E2-4415-85BD-E03CA55CB6F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9" authorId="6" shapeId="0" xr:uid="{0E1A0D26-B3B0-42D1-A5BA-750B79DBB49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817D752-AE5E-4436-BE45-4BF93E72AC28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308F29F2-CB57-4591-A919-F3C0D66F6FC5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DDE20D76-1372-414F-B394-222B3F5DAC9C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FEE30F67-BB06-4262-8312-A07884C3129D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0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1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<sst xmlns="http://schemas.openxmlformats.org/spreadsheetml/2006/main" count="222" uniqueCount="75">
  <si>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</si>
  <si>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</si>
  <si>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</si>
  <si>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</si>
  <si>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</si>
  <si>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</si>
  <si>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</si>
  <si>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</si>
  <si>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Date</t>
  </si>
  <si>
    <t>Day</t>
  </si>
  <si>
    <t>Confirmed cases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</si>
  <si>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</si>
  <si>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</si>
  <si>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</si>
  <si>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</si>
  <si>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</si>
  <si>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</si>
  <si>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</si>
  <si>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</si>
  <si>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</si>
  <si>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</si>
  <si>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</si>
  <si>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</si>
  <si>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</si>
  <si>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</si>
  <si>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Cum_confirmed</t>
  </si>
  <si>
    <t>New cases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</si>
  <si>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</si>
  <si>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</si>
  <si>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</si>
  <si>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</si>
  <si>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</si>
  <si>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</si>
  <si>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</si>
  <si>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</si>
  <si>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</si>
  <si>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</si>
  <si>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</si>
  <si>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</si>
  <si>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</si>
  <si>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</si>
  <si>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</si>
  <si>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pd-IT-0007</t>
  </si>
  <si>
    <t>pd-EN-0007</t>
  </si>
  <si>
    <t>C. Upper CI</t>
  </si>
  <si>
    <t>C. Lower CI</t>
  </si>
  <si>
    <t>Confirmed</t>
  </si>
  <si>
    <t>pd-IT-0009</t>
  </si>
  <si>
    <t>pd-EN-0009</t>
  </si>
  <si>
    <t>Modeling function: Power law with exponential cut-off</t>
  </si>
  <si>
    <t>totale_positivi</t>
  </si>
  <si>
    <t>variazione_totale_positivi</t>
  </si>
  <si>
    <t>nuovi_positivi</t>
  </si>
  <si>
    <t>Deaths</t>
  </si>
  <si>
    <t>Confirmed fit</t>
  </si>
  <si>
    <t>Deaths fit</t>
  </si>
  <si>
    <t>D. Upper CI</t>
  </si>
  <si>
    <t>D. Lower CI</t>
  </si>
  <si>
    <t>Solver method: GRG non linear engine - option: default</t>
  </si>
  <si>
    <t>Cum_fit</t>
  </si>
  <si>
    <t>New_fit</t>
  </si>
  <si>
    <t>C_Upper CI</t>
  </si>
  <si>
    <t>C_Lower CI</t>
  </si>
  <si>
    <t>Cum_deaths</t>
  </si>
  <si>
    <t>New deaths</t>
  </si>
  <si>
    <t>Cum_D_fit</t>
  </si>
  <si>
    <t>New_D_fit</t>
  </si>
  <si>
    <t>ND_Upper CI</t>
  </si>
  <si>
    <t>ND_Lower CI</t>
  </si>
  <si>
    <t>K</t>
  </si>
  <si>
    <t>saturation value</t>
  </si>
  <si>
    <t>Peak value</t>
  </si>
  <si>
    <t>t-Peak</t>
  </si>
  <si>
    <t>fitting parameter - constraint (none)</t>
  </si>
  <si>
    <t>SOLVER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</si>
</sst>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52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65" fontId="0" fillId="0" borderId="0" xfId="0" applyNumberFormat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/>
    <xf numFmtId="0" fontId="11" fillId="0" borderId="0" xfId="0" applyFont="1" applyAlignment="1">
      <alignment horizontal="center" wrapText="1"/>
    </xf>
    <xf numFmtId="2" fontId="0" fillId="2" borderId="0" xfId="0" applyNumberFormat="1" applyFill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" fontId="12" fillId="0" borderId="0" xfId="0" applyNumberFormat="1" applyFont="1" applyAlignment="1">
      <alignment horizontal="center"/>
    </xf>
    <xf numFmtId="0" fontId="0" fillId="0" borderId="0" xfId="0" applyFont="1" applyAlignment="1">
      <alignment horizontal="left" vertical="center"/>
    </xf>
    <xf numFmtId="0" fontId="12" fillId="0" borderId="0" xfId="0" applyFont="1" applyFill="1"/>
    <xf numFmtId="1" fontId="12" fillId="0" borderId="0" xfId="0" applyNumberFormat="1" applyFont="1"/>
    <xf numFmtId="0" fontId="1" fillId="0" borderId="0" xfId="0" applyFont="1" applyFill="1"/>
    <xf numFmtId="1" fontId="1" fillId="0" borderId="0" xfId="0" applyNumberFormat="1" applyFont="1"/>
    <xf numFmtId="0" fontId="13" fillId="2" borderId="0" xfId="0" applyFont="1" applyFill="1"/>
    <xf numFmtId="0" fontId="0" fillId="2" borderId="0" xfId="0" applyFill="1"/>
    <xf numFmtId="164" fontId="0" fillId="2" borderId="0" xfId="0" applyNumberFormat="1" applyFont="1" applyFill="1"/>
    <xf numFmtId="0" fontId="0" fillId="0" borderId="2" xfId="0" applyBorder="1" applyAlignment="1">
      <alignment wrapText="1"/>
    </xf>
    <xf numFmtId="164" fontId="12" fillId="0" borderId="3" xfId="0" applyNumberFormat="1" applyFont="1" applyBorder="1"/>
    <xf numFmtId="0" fontId="12" fillId="0" borderId="3" xfId="0" applyFont="1" applyBorder="1"/>
    <xf numFmtId="0" fontId="12" fillId="0" borderId="4" xfId="0" applyFont="1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164" fontId="1" fillId="0" borderId="3" xfId="0" applyNumberFormat="1" applyFont="1" applyBorder="1"/>
    <xf numFmtId="0" fontId="1" fillId="0" borderId="3" xfId="0" applyFont="1" applyBorder="1"/>
    <xf numFmtId="0" fontId="1" fillId="0" borderId="7" xfId="0" applyFont="1" applyBorder="1"/>
  </cellXfs>
  <cellStyles count="2">
    <cellStyle name="Normale" xfId="0" builtinId="0"/>
    <cellStyle name="Nota" xfId="1" builtinId="1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5" Type="http://schemas.openxmlformats.org/officeDocument/2006/relationships/connections" Target="connection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</a:t>
            </a:r>
          </a:p>
          <a:p>
            <a:pPr>
              <a:defRPr/>
            </a:pPr>
            <a:r>
              <a:rPr lang="it-IT"/>
              <a:t>Cumulative Cases and Deaths - Power</a:t>
            </a:r>
            <a:r>
              <a:rPr lang="it-IT" baseline="0"/>
              <a:t> law w/ Exp. cut-off model fit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'Cumul_confirmed - Power law fit'!$D$6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Power law fit'!$D$7:$D$70</c:f>
              <c:numCache>
                <c:formatCode>0</c:formatCode>
                <c:ptCount val="64"/>
                <c:pt idx="0">
                  <c:v>3</c:v>
                </c:pt>
                <c:pt idx="1">
                  <c:v>20</c:v>
                </c:pt>
                <c:pt idx="2">
                  <c:v>62</c:v>
                </c:pt>
                <c:pt idx="3">
                  <c:v>155</c:v>
                </c:pt>
                <c:pt idx="4">
                  <c:v>229</c:v>
                </c:pt>
                <c:pt idx="5">
                  <c:v>322</c:v>
                </c:pt>
                <c:pt idx="6">
                  <c:v>400</c:v>
                </c:pt>
                <c:pt idx="7">
                  <c:v>650</c:v>
                </c:pt>
                <c:pt idx="8">
                  <c:v>888</c:v>
                </c:pt>
                <c:pt idx="9">
                  <c:v>1128</c:v>
                </c:pt>
                <c:pt idx="10">
                  <c:v>1694</c:v>
                </c:pt>
                <c:pt idx="11">
                  <c:v>2036</c:v>
                </c:pt>
                <c:pt idx="12">
                  <c:v>2502</c:v>
                </c:pt>
                <c:pt idx="13">
                  <c:v>3089</c:v>
                </c:pt>
                <c:pt idx="14">
                  <c:v>3858</c:v>
                </c:pt>
                <c:pt idx="15">
                  <c:v>4636</c:v>
                </c:pt>
                <c:pt idx="16">
                  <c:v>5883</c:v>
                </c:pt>
                <c:pt idx="17">
                  <c:v>7375</c:v>
                </c:pt>
                <c:pt idx="18">
                  <c:v>9172</c:v>
                </c:pt>
                <c:pt idx="19">
                  <c:v>10149</c:v>
                </c:pt>
                <c:pt idx="20">
                  <c:v>12462</c:v>
                </c:pt>
                <c:pt idx="21">
                  <c:v>15113</c:v>
                </c:pt>
                <c:pt idx="22">
                  <c:v>17660</c:v>
                </c:pt>
                <c:pt idx="23">
                  <c:v>21157</c:v>
                </c:pt>
                <c:pt idx="24">
                  <c:v>24747</c:v>
                </c:pt>
                <c:pt idx="25">
                  <c:v>27980</c:v>
                </c:pt>
                <c:pt idx="26">
                  <c:v>31506</c:v>
                </c:pt>
                <c:pt idx="27">
                  <c:v>35713</c:v>
                </c:pt>
                <c:pt idx="28">
                  <c:v>41035</c:v>
                </c:pt>
                <c:pt idx="29">
                  <c:v>47021</c:v>
                </c:pt>
                <c:pt idx="30">
                  <c:v>53578</c:v>
                </c:pt>
                <c:pt idx="31">
                  <c:v>59138</c:v>
                </c:pt>
                <c:pt idx="32">
                  <c:v>63927</c:v>
                </c:pt>
                <c:pt idx="33">
                  <c:v>69176</c:v>
                </c:pt>
                <c:pt idx="34">
                  <c:v>74386</c:v>
                </c:pt>
                <c:pt idx="35">
                  <c:v>80539</c:v>
                </c:pt>
                <c:pt idx="36">
                  <c:v>86498</c:v>
                </c:pt>
                <c:pt idx="37">
                  <c:v>92472</c:v>
                </c:pt>
                <c:pt idx="38">
                  <c:v>97689</c:v>
                </c:pt>
                <c:pt idx="39">
                  <c:v>101739</c:v>
                </c:pt>
                <c:pt idx="40">
                  <c:v>105792</c:v>
                </c:pt>
                <c:pt idx="41">
                  <c:v>110574</c:v>
                </c:pt>
                <c:pt idx="42">
                  <c:v>115242</c:v>
                </c:pt>
                <c:pt idx="43">
                  <c:v>119827</c:v>
                </c:pt>
                <c:pt idx="44">
                  <c:v>124632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'Cumul_confirmed - Power law fit'!$E$6</c:f>
              <c:strCache>
                <c:ptCount val="1"/>
                <c:pt idx="0">
                  <c:v>Confirmed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Power law fit'!$E$7:$E$70</c:f>
              <c:numCache>
                <c:formatCode>General</c:formatCode>
                <c:ptCount val="64"/>
                <c:pt idx="0">
                  <c:v>8.8759102306288587E-7</c:v>
                </c:pt>
                <c:pt idx="1">
                  <c:v>3.6603556445853326E-4</c:v>
                </c:pt>
                <c:pt idx="2">
                  <c:v>1.135944354707303E-2</c:v>
                </c:pt>
                <c:pt idx="3">
                  <c:v>0.12227796065762751</c:v>
                </c:pt>
                <c:pt idx="4">
                  <c:v>0.73701671103174604</c:v>
                </c:pt>
                <c:pt idx="5">
                  <c:v>3.078852297345648</c:v>
                </c:pt>
                <c:pt idx="6">
                  <c:v>9.9886267861895153</c:v>
                </c:pt>
                <c:pt idx="7">
                  <c:v>26.935971732276542</c:v>
                </c:pt>
                <c:pt idx="8">
                  <c:v>63.081724848876362</c:v>
                </c:pt>
                <c:pt idx="9">
                  <c:v>132.19583923324222</c:v>
                </c:pt>
                <c:pt idx="10">
                  <c:v>253.25026544180093</c:v>
                </c:pt>
                <c:pt idx="11">
                  <c:v>450.55783090955424</c:v>
                </c:pt>
                <c:pt idx="12">
                  <c:v>753.39826114878565</c:v>
                </c:pt>
                <c:pt idx="13">
                  <c:v>1195.1444532645046</c:v>
                </c:pt>
                <c:pt idx="14">
                  <c:v>1811.9634674135341</c:v>
                </c:pt>
                <c:pt idx="15">
                  <c:v>2641.2102089583532</c:v>
                </c:pt>
                <c:pt idx="16">
                  <c:v>3719.6549574163569</c:v>
                </c:pt>
                <c:pt idx="17">
                  <c:v>5081.68990095968</c:v>
                </c:pt>
                <c:pt idx="18">
                  <c:v>6757.6480989387173</c:v>
                </c:pt>
                <c:pt idx="19">
                  <c:v>8772.3453618425865</c:v>
                </c:pt>
                <c:pt idx="20">
                  <c:v>11143.926116599197</c:v>
                </c:pt>
                <c:pt idx="21">
                  <c:v>13883.062655833332</c:v>
                </c:pt>
                <c:pt idx="22">
                  <c:v>16992.526666865149</c:v>
                </c:pt>
                <c:pt idx="23">
                  <c:v>20467.125048971287</c:v>
                </c:pt>
                <c:pt idx="24">
                  <c:v>24293.970258380257</c:v>
                </c:pt>
                <c:pt idx="25">
                  <c:v>28453.039442966878</c:v>
                </c:pt>
                <c:pt idx="26">
                  <c:v>32917.966454294707</c:v>
                </c:pt>
                <c:pt idx="27">
                  <c:v>37657.005985612617</c:v>
                </c:pt>
                <c:pt idx="28">
                  <c:v>42634.108805646872</c:v>
                </c:pt>
                <c:pt idx="29">
                  <c:v>47810.050406077782</c:v>
                </c:pt>
                <c:pt idx="30">
                  <c:v>53143.561381696862</c:v>
                </c:pt>
                <c:pt idx="31">
                  <c:v>58592.415588921962</c:v>
                </c:pt>
                <c:pt idx="32">
                  <c:v>64114.440756740973</c:v>
                </c:pt>
                <c:pt idx="33">
                  <c:v>69668.425066398515</c:v>
                </c:pt>
                <c:pt idx="34">
                  <c:v>75214.901732953425</c:v>
                </c:pt>
                <c:pt idx="35">
                  <c:v>80716.801420406002</c:v>
                </c:pt>
                <c:pt idx="36">
                  <c:v>86139.969143978873</c:v>
                </c:pt>
                <c:pt idx="37">
                  <c:v>91453.548016137152</c:v>
                </c:pt>
                <c:pt idx="38">
                  <c:v>96630.236730145582</c:v>
                </c:pt>
                <c:pt idx="39">
                  <c:v>101646.4310733008</c:v>
                </c:pt>
                <c:pt idx="40">
                  <c:v>106482.26210190763</c:v>
                </c:pt>
                <c:pt idx="41">
                  <c:v>111121.54500751696</c:v>
                </c:pt>
                <c:pt idx="42">
                  <c:v>115551.65329498128</c:v>
                </c:pt>
                <c:pt idx="43">
                  <c:v>119763.33282133375</c:v>
                </c:pt>
                <c:pt idx="44">
                  <c:v>123750.46965249424</c:v>
                </c:pt>
                <c:pt idx="45">
                  <c:v>127509.82471586418</c:v>
                </c:pt>
                <c:pt idx="46">
                  <c:v>131040.74698141553</c:v>
                </c:pt>
                <c:pt idx="47">
                  <c:v>134344.8754965156</c:v>
                </c:pt>
                <c:pt idx="48">
                  <c:v>137425.83911819241</c:v>
                </c:pt>
                <c:pt idx="49">
                  <c:v>140288.96130172332</c:v>
                </c:pt>
                <c:pt idx="50">
                  <c:v>142940.97587120809</c:v>
                </c:pt>
                <c:pt idx="51">
                  <c:v>145389.75835656517</c:v>
                </c:pt>
                <c:pt idx="52">
                  <c:v>147644.0762597502</c:v>
                </c:pt>
                <c:pt idx="53">
                  <c:v>149713.36052769184</c:v>
                </c:pt>
                <c:pt idx="54">
                  <c:v>151607.49956827826</c:v>
                </c:pt>
                <c:pt idx="55">
                  <c:v>153336.65634940084</c:v>
                </c:pt>
                <c:pt idx="56">
                  <c:v>154911.10846485742</c:v>
                </c:pt>
                <c:pt idx="57">
                  <c:v>156341.11052616587</c:v>
                </c:pt>
                <c:pt idx="58">
                  <c:v>157636.77783473415</c:v>
                </c:pt>
                <c:pt idx="59">
                  <c:v>158807.98999146521</c:v>
                </c:pt>
                <c:pt idx="60">
                  <c:v>159864.31289711726</c:v>
                </c:pt>
                <c:pt idx="61">
                  <c:v>160814.93747291178</c:v>
                </c:pt>
                <c:pt idx="62">
                  <c:v>161668.6333737564</c:v>
                </c:pt>
                <c:pt idx="63">
                  <c:v>162433.71596362934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2"/>
          <c:order val="2"/>
          <c:tx>
            <c:strRef>
              <c:f>'Cumul_confirmed - Power law fit'!$F$6</c:f>
              <c:strCache>
                <c:ptCount val="1"/>
                <c:pt idx="0">
                  <c:v>C. 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Power law fit'!$F$7:$F$70</c:f>
              <c:numCache>
                <c:formatCode>0</c:formatCode>
                <c:ptCount val="64"/>
                <c:pt idx="0">
                  <c:v>2351.0685202712739</c:v>
                </c:pt>
                <c:pt idx="1">
                  <c:v>2351.0688854192476</c:v>
                </c:pt>
                <c:pt idx="2">
                  <c:v>2351.07987882723</c:v>
                </c:pt>
                <c:pt idx="3">
                  <c:v>2351.1907973443408</c:v>
                </c:pt>
                <c:pt idx="4">
                  <c:v>2351.8055360947146</c:v>
                </c:pt>
                <c:pt idx="5">
                  <c:v>2354.1473716810287</c:v>
                </c:pt>
                <c:pt idx="6">
                  <c:v>2361.0571461698723</c:v>
                </c:pt>
                <c:pt idx="7">
                  <c:v>2378.0044911159594</c:v>
                </c:pt>
                <c:pt idx="8">
                  <c:v>2414.1502442325595</c:v>
                </c:pt>
                <c:pt idx="9">
                  <c:v>2483.2643586169252</c:v>
                </c:pt>
                <c:pt idx="10">
                  <c:v>2604.3187848254838</c:v>
                </c:pt>
                <c:pt idx="11">
                  <c:v>2801.626350293237</c:v>
                </c:pt>
                <c:pt idx="12">
                  <c:v>3104.4667805324689</c:v>
                </c:pt>
                <c:pt idx="13">
                  <c:v>3546.2129726481876</c:v>
                </c:pt>
                <c:pt idx="14">
                  <c:v>4163.0319867972175</c:v>
                </c:pt>
                <c:pt idx="15">
                  <c:v>4992.2787283420366</c:v>
                </c:pt>
                <c:pt idx="16">
                  <c:v>6070.7234768000399</c:v>
                </c:pt>
                <c:pt idx="17">
                  <c:v>7432.7584203433635</c:v>
                </c:pt>
                <c:pt idx="18">
                  <c:v>9108.7166183223999</c:v>
                </c:pt>
                <c:pt idx="19">
                  <c:v>11123.41388122627</c:v>
                </c:pt>
                <c:pt idx="20">
                  <c:v>13494.994635982881</c:v>
                </c:pt>
                <c:pt idx="21">
                  <c:v>16234.131175217015</c:v>
                </c:pt>
                <c:pt idx="22">
                  <c:v>19343.595186248833</c:v>
                </c:pt>
                <c:pt idx="23">
                  <c:v>22818.193568354971</c:v>
                </c:pt>
                <c:pt idx="24">
                  <c:v>26645.038777763941</c:v>
                </c:pt>
                <c:pt idx="25">
                  <c:v>30804.107962350561</c:v>
                </c:pt>
                <c:pt idx="26">
                  <c:v>35269.03497367839</c:v>
                </c:pt>
                <c:pt idx="27">
                  <c:v>40008.074504996301</c:v>
                </c:pt>
                <c:pt idx="28">
                  <c:v>44985.177325030556</c:v>
                </c:pt>
                <c:pt idx="29">
                  <c:v>50161.118925461466</c:v>
                </c:pt>
                <c:pt idx="30">
                  <c:v>55494.629901080545</c:v>
                </c:pt>
                <c:pt idx="31">
                  <c:v>60943.484108305645</c:v>
                </c:pt>
                <c:pt idx="32">
                  <c:v>66465.509276124649</c:v>
                </c:pt>
                <c:pt idx="33">
                  <c:v>72019.493585782198</c:v>
                </c:pt>
                <c:pt idx="34">
                  <c:v>77565.970252337109</c:v>
                </c:pt>
                <c:pt idx="35">
                  <c:v>83067.869939789685</c:v>
                </c:pt>
                <c:pt idx="36">
                  <c:v>88491.037663362556</c:v>
                </c:pt>
                <c:pt idx="37">
                  <c:v>93804.616535520836</c:v>
                </c:pt>
                <c:pt idx="38">
                  <c:v>98981.305249529265</c:v>
                </c:pt>
                <c:pt idx="39">
                  <c:v>103997.49959268449</c:v>
                </c:pt>
                <c:pt idx="40">
                  <c:v>108833.33062129132</c:v>
                </c:pt>
                <c:pt idx="41">
                  <c:v>113472.61352690065</c:v>
                </c:pt>
                <c:pt idx="42">
                  <c:v>117902.72181436497</c:v>
                </c:pt>
                <c:pt idx="43">
                  <c:v>122114.40134071744</c:v>
                </c:pt>
                <c:pt idx="44">
                  <c:v>126101.53817187792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F0-4CB3-AB19-55A9226D7056}"/>
            </c:ext>
          </c:extLst>
        </c:ser>
        <c:ser>
          <c:idx val="3"/>
          <c:order val="3"/>
          <c:tx>
            <c:strRef>
              <c:f>'Cumul_confirmed - Power law fit'!$G$6</c:f>
              <c:strCache>
                <c:ptCount val="1"/>
                <c:pt idx="0">
                  <c:v>C. 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Power law fit'!$G$7:$G$70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290.14168957467018</c:v>
                </c:pt>
                <c:pt idx="16">
                  <c:v>1368.5864380326739</c:v>
                </c:pt>
                <c:pt idx="17">
                  <c:v>2730.621381575997</c:v>
                </c:pt>
                <c:pt idx="18">
                  <c:v>4406.5795795550348</c:v>
                </c:pt>
                <c:pt idx="19">
                  <c:v>6421.276842458903</c:v>
                </c:pt>
                <c:pt idx="20">
                  <c:v>8792.857597215514</c:v>
                </c:pt>
                <c:pt idx="21">
                  <c:v>11531.994136449648</c:v>
                </c:pt>
                <c:pt idx="22">
                  <c:v>14641.458147481466</c:v>
                </c:pt>
                <c:pt idx="23">
                  <c:v>18116.056529587604</c:v>
                </c:pt>
                <c:pt idx="24">
                  <c:v>21942.901738996574</c:v>
                </c:pt>
                <c:pt idx="25">
                  <c:v>26101.970923583194</c:v>
                </c:pt>
                <c:pt idx="26">
                  <c:v>30566.897934911023</c:v>
                </c:pt>
                <c:pt idx="27">
                  <c:v>35305.937466228934</c:v>
                </c:pt>
                <c:pt idx="28">
                  <c:v>40283.040286263189</c:v>
                </c:pt>
                <c:pt idx="29">
                  <c:v>45458.981886694099</c:v>
                </c:pt>
                <c:pt idx="30">
                  <c:v>50792.492862313178</c:v>
                </c:pt>
                <c:pt idx="31">
                  <c:v>56241.347069538278</c:v>
                </c:pt>
                <c:pt idx="32">
                  <c:v>61763.372237357289</c:v>
                </c:pt>
                <c:pt idx="33">
                  <c:v>67317.356547014831</c:v>
                </c:pt>
                <c:pt idx="34">
                  <c:v>72863.833213569742</c:v>
                </c:pt>
                <c:pt idx="35">
                  <c:v>78365.732901022318</c:v>
                </c:pt>
                <c:pt idx="36">
                  <c:v>83788.90062459519</c:v>
                </c:pt>
                <c:pt idx="37">
                  <c:v>89102.479496753469</c:v>
                </c:pt>
                <c:pt idx="38">
                  <c:v>94279.168210761898</c:v>
                </c:pt>
                <c:pt idx="39">
                  <c:v>99295.362553917119</c:v>
                </c:pt>
                <c:pt idx="40">
                  <c:v>104131.19358252395</c:v>
                </c:pt>
                <c:pt idx="41">
                  <c:v>108770.47648813328</c:v>
                </c:pt>
                <c:pt idx="42">
                  <c:v>113200.5847755976</c:v>
                </c:pt>
                <c:pt idx="43">
                  <c:v>117412.26430195007</c:v>
                </c:pt>
                <c:pt idx="44">
                  <c:v>121399.40113311056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F0-4CB3-AB19-55A9226D7056}"/>
            </c:ext>
          </c:extLst>
        </c:ser>
        <c:ser>
          <c:idx val="4"/>
          <c:order val="4"/>
          <c:tx>
            <c:strRef>
              <c:f>'Cumul_confirmed - Power law fit'!$H$6</c:f>
              <c:strCache>
                <c:ptCount val="1"/>
                <c:pt idx="0">
                  <c:v>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'Cumul_confirmed - Power law fit'!$H$7:$H$70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 formatCode="0">
                  <c:v>7</c:v>
                </c:pt>
                <c:pt idx="5" formatCode="0">
                  <c:v>10</c:v>
                </c:pt>
                <c:pt idx="6" formatCode="0">
                  <c:v>12</c:v>
                </c:pt>
                <c:pt idx="7" formatCode="0">
                  <c:v>17</c:v>
                </c:pt>
                <c:pt idx="8" formatCode="0">
                  <c:v>21</c:v>
                </c:pt>
                <c:pt idx="9" formatCode="0">
                  <c:v>29</c:v>
                </c:pt>
                <c:pt idx="10" formatCode="0">
                  <c:v>34</c:v>
                </c:pt>
                <c:pt idx="11" formatCode="0">
                  <c:v>52</c:v>
                </c:pt>
                <c:pt idx="12" formatCode="0">
                  <c:v>79</c:v>
                </c:pt>
                <c:pt idx="13" formatCode="0">
                  <c:v>107</c:v>
                </c:pt>
                <c:pt idx="14" formatCode="0">
                  <c:v>148</c:v>
                </c:pt>
                <c:pt idx="15" formatCode="0">
                  <c:v>197</c:v>
                </c:pt>
                <c:pt idx="16" formatCode="0">
                  <c:v>233</c:v>
                </c:pt>
                <c:pt idx="17" formatCode="0">
                  <c:v>366</c:v>
                </c:pt>
                <c:pt idx="18" formatCode="0">
                  <c:v>463</c:v>
                </c:pt>
                <c:pt idx="19" formatCode="0">
                  <c:v>631</c:v>
                </c:pt>
                <c:pt idx="20" formatCode="0">
                  <c:v>827</c:v>
                </c:pt>
                <c:pt idx="21" formatCode="0">
                  <c:v>1016</c:v>
                </c:pt>
                <c:pt idx="22" formatCode="0">
                  <c:v>1266</c:v>
                </c:pt>
                <c:pt idx="23" formatCode="0">
                  <c:v>1441</c:v>
                </c:pt>
                <c:pt idx="24" formatCode="0">
                  <c:v>1809</c:v>
                </c:pt>
                <c:pt idx="25" formatCode="0">
                  <c:v>2158</c:v>
                </c:pt>
                <c:pt idx="26" formatCode="0">
                  <c:v>2503</c:v>
                </c:pt>
                <c:pt idx="27" formatCode="0">
                  <c:v>2978</c:v>
                </c:pt>
                <c:pt idx="28" formatCode="0">
                  <c:v>3405</c:v>
                </c:pt>
                <c:pt idx="29" formatCode="0">
                  <c:v>4032</c:v>
                </c:pt>
                <c:pt idx="30" formatCode="0">
                  <c:v>4825</c:v>
                </c:pt>
                <c:pt idx="31" formatCode="0">
                  <c:v>5476</c:v>
                </c:pt>
                <c:pt idx="32" formatCode="0">
                  <c:v>6077</c:v>
                </c:pt>
                <c:pt idx="33" formatCode="0">
                  <c:v>6820</c:v>
                </c:pt>
                <c:pt idx="34" formatCode="0">
                  <c:v>7503</c:v>
                </c:pt>
                <c:pt idx="35" formatCode="0">
                  <c:v>8165</c:v>
                </c:pt>
                <c:pt idx="36" formatCode="0">
                  <c:v>9134</c:v>
                </c:pt>
                <c:pt idx="37" formatCode="0">
                  <c:v>10023</c:v>
                </c:pt>
                <c:pt idx="38" formatCode="0">
                  <c:v>10779</c:v>
                </c:pt>
                <c:pt idx="39" formatCode="0">
                  <c:v>11591</c:v>
                </c:pt>
                <c:pt idx="40" formatCode="0">
                  <c:v>12428</c:v>
                </c:pt>
                <c:pt idx="41" formatCode="0">
                  <c:v>13155</c:v>
                </c:pt>
                <c:pt idx="42" formatCode="0">
                  <c:v>13915</c:v>
                </c:pt>
                <c:pt idx="43" formatCode="0">
                  <c:v>14681</c:v>
                </c:pt>
                <c:pt idx="44" formatCode="0">
                  <c:v>15362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6-4915-A43B-0A60333EE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'Cumul_confirmed - Power law fit'!$I$6</c:f>
              <c:strCache>
                <c:ptCount val="1"/>
                <c:pt idx="0">
                  <c:v>Deaths fit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Power law fit'!$I$7:$I$70</c:f>
              <c:numCache>
                <c:formatCode>General</c:formatCode>
                <c:ptCount val="64"/>
                <c:pt idx="0">
                  <c:v>3.0725030127831611E-7</c:v>
                </c:pt>
                <c:pt idx="1">
                  <c:v>7.0994287528512357E-5</c:v>
                </c:pt>
                <c:pt idx="2">
                  <c:v>1.613583215142078E-3</c:v>
                </c:pt>
                <c:pt idx="3">
                  <c:v>1.4193162655759541E-2</c:v>
                </c:pt>
                <c:pt idx="4">
                  <c:v>7.4219618552999231E-2</c:v>
                </c:pt>
                <c:pt idx="5">
                  <c:v>0.27935303105307197</c:v>
                </c:pt>
                <c:pt idx="6">
                  <c:v>0.83807431369396812</c:v>
                </c:pt>
                <c:pt idx="7">
                  <c:v>2.1298558206916312</c:v>
                </c:pt>
                <c:pt idx="8">
                  <c:v>4.7688598453580484</c:v>
                </c:pt>
                <c:pt idx="9">
                  <c:v>9.6632644808409225</c:v>
                </c:pt>
                <c:pt idx="10">
                  <c:v>18.06289620614357</c:v>
                </c:pt>
                <c:pt idx="11">
                  <c:v>31.589396406852849</c:v>
                </c:pt>
                <c:pt idx="12">
                  <c:v>52.245212848110924</c:v>
                </c:pt>
                <c:pt idx="13">
                  <c:v>82.399903046682994</c:v>
                </c:pt>
                <c:pt idx="14">
                  <c:v>124.75427951018689</c:v>
                </c:pt>
                <c:pt idx="15">
                  <c:v>182.28463294188327</c:v>
                </c:pt>
                <c:pt idx="16">
                  <c:v>258.17054327817442</c:v>
                </c:pt>
                <c:pt idx="17">
                  <c:v>355.71060418218894</c:v>
                </c:pt>
                <c:pt idx="18">
                  <c:v>478.23076880501412</c:v>
                </c:pt>
                <c:pt idx="19">
                  <c:v>628.99002982629077</c:v>
                </c:pt>
                <c:pt idx="20">
                  <c:v>811.0878488122645</c:v>
                </c:pt>
                <c:pt idx="21">
                  <c:v>1027.3772283613619</c:v>
                </c:pt>
                <c:pt idx="22">
                  <c:v>1280.3866524942273</c:v>
                </c:pt>
                <c:pt idx="23">
                  <c:v>1572.2533756589037</c:v>
                </c:pt>
                <c:pt idx="24">
                  <c:v>1904.6697771213808</c:v>
                </c:pt>
                <c:pt idx="25">
                  <c:v>2278.8437618806838</c:v>
                </c:pt>
                <c:pt idx="26">
                  <c:v>2695.4735160049745</c:v>
                </c:pt>
                <c:pt idx="27">
                  <c:v>3154.736336655903</c:v>
                </c:pt>
                <c:pt idx="28">
                  <c:v>3656.290768463834</c:v>
                </c:pt>
                <c:pt idx="29">
                  <c:v>4199.2908935735813</c:v>
                </c:pt>
                <c:pt idx="30">
                  <c:v>4782.4113413580117</c:v>
                </c:pt>
                <c:pt idx="31">
                  <c:v>5403.8813994096781</c:v>
                </c:pt>
                <c:pt idx="32">
                  <c:v>6061.5265105117751</c:v>
                </c:pt>
                <c:pt idx="33">
                  <c:v>6752.8154193130204</c:v>
                </c:pt>
                <c:pt idx="34">
                  <c:v>7474.9112748074849</c:v>
                </c:pt>
                <c:pt idx="35">
                  <c:v>8224.7250876816215</c:v>
                </c:pt>
                <c:pt idx="36">
                  <c:v>8998.9700728180997</c:v>
                </c:pt>
                <c:pt idx="37">
                  <c:v>9794.2155653240989</c:v>
                </c:pt>
                <c:pt idx="38">
                  <c:v>10606.939373170826</c:v>
                </c:pt>
                <c:pt idx="39">
                  <c:v>11433.577612054243</c:v>
                </c:pt>
                <c:pt idx="40">
                  <c:v>12270.571251016245</c:v>
                </c:pt>
                <c:pt idx="41">
                  <c:v>13114.408774729814</c:v>
                </c:pt>
                <c:pt idx="42">
                  <c:v>13961.66453553015</c:v>
                </c:pt>
                <c:pt idx="43">
                  <c:v>14809.032521888113</c:v>
                </c:pt>
                <c:pt idx="44">
                  <c:v>15653.355407796531</c:v>
                </c:pt>
                <c:pt idx="45">
                  <c:v>16491.648868150765</c:v>
                </c:pt>
                <c:pt idx="46">
                  <c:v>17321.121248131771</c:v>
                </c:pt>
                <c:pt idx="47">
                  <c:v>18139.188759971359</c:v>
                </c:pt>
                <c:pt idx="48">
                  <c:v>18943.486448940006</c:v>
                </c:pt>
                <c:pt idx="49">
                  <c:v>19731.875222974733</c:v>
                </c:pt>
                <c:pt idx="50">
                  <c:v>20502.445278361232</c:v>
                </c:pt>
                <c:pt idx="51">
                  <c:v>21253.516278778618</c:v>
                </c:pt>
                <c:pt idx="52">
                  <c:v>21983.634658379415</c:v>
                </c:pt>
                <c:pt idx="53">
                  <c:v>22691.568423012814</c:v>
                </c:pt>
                <c:pt idx="54">
                  <c:v>23376.29981877785</c:v>
                </c:pt>
                <c:pt idx="55">
                  <c:v>24037.016225325104</c:v>
                </c:pt>
                <c:pt idx="56">
                  <c:v>24673.099614116847</c:v>
                </c:pt>
                <c:pt idx="57">
                  <c:v>25284.114890500681</c:v>
                </c:pt>
                <c:pt idx="58">
                  <c:v>25869.797414110843</c:v>
                </c:pt>
                <c:pt idx="59">
                  <c:v>26430.039965809789</c:v>
                </c:pt>
                <c:pt idx="60">
                  <c:v>26964.879402005139</c:v>
                </c:pt>
                <c:pt idx="61">
                  <c:v>27474.48320948218</c:v>
                </c:pt>
                <c:pt idx="62">
                  <c:v>27959.136146498036</c:v>
                </c:pt>
                <c:pt idx="63">
                  <c:v>28419.227129305193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86-4915-A43B-0A60333EECA0}"/>
            </c:ext>
          </c:extLst>
        </c:ser>
        <c:ser>
          <c:idx val="6"/>
          <c:order val="6"/>
          <c:tx>
            <c:strRef>
              <c:f>'Cumul_confirmed - Power law fit'!$J$6</c:f>
              <c:strCache>
                <c:ptCount val="1"/>
                <c:pt idx="0">
                  <c:v>D. Upper CI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Power law fit'!$J$7:$J$70</c:f>
              <c:numCache>
                <c:formatCode>0</c:formatCode>
                <c:ptCount val="64"/>
                <c:pt idx="0">
                  <c:v>212.36639515875609</c:v>
                </c:pt>
                <c:pt idx="1">
                  <c:v>212.36646584579333</c:v>
                </c:pt>
                <c:pt idx="2">
                  <c:v>212.36800843472093</c:v>
                </c:pt>
                <c:pt idx="3">
                  <c:v>212.38058801416156</c:v>
                </c:pt>
                <c:pt idx="4">
                  <c:v>212.44061447005879</c:v>
                </c:pt>
                <c:pt idx="5">
                  <c:v>212.64574788255885</c:v>
                </c:pt>
                <c:pt idx="6">
                  <c:v>213.20446916519975</c:v>
                </c:pt>
                <c:pt idx="7">
                  <c:v>214.49625067219742</c:v>
                </c:pt>
                <c:pt idx="8">
                  <c:v>217.13525469686383</c:v>
                </c:pt>
                <c:pt idx="9">
                  <c:v>222.02965933234671</c:v>
                </c:pt>
                <c:pt idx="10">
                  <c:v>230.42929105764935</c:v>
                </c:pt>
                <c:pt idx="11">
                  <c:v>243.95579125835863</c:v>
                </c:pt>
                <c:pt idx="12">
                  <c:v>264.61160769961668</c:v>
                </c:pt>
                <c:pt idx="13">
                  <c:v>294.76629789818878</c:v>
                </c:pt>
                <c:pt idx="14">
                  <c:v>337.12067436169269</c:v>
                </c:pt>
                <c:pt idx="15">
                  <c:v>394.65102779338906</c:v>
                </c:pt>
                <c:pt idx="16">
                  <c:v>470.53693812968021</c:v>
                </c:pt>
                <c:pt idx="17">
                  <c:v>568.07699903369473</c:v>
                </c:pt>
                <c:pt idx="18">
                  <c:v>690.59716365651991</c:v>
                </c:pt>
                <c:pt idx="19">
                  <c:v>841.35642467779655</c:v>
                </c:pt>
                <c:pt idx="20">
                  <c:v>1023.4542436637703</c:v>
                </c:pt>
                <c:pt idx="21">
                  <c:v>1239.7436232128675</c:v>
                </c:pt>
                <c:pt idx="22">
                  <c:v>1492.7530473457332</c:v>
                </c:pt>
                <c:pt idx="23">
                  <c:v>1784.6197705104096</c:v>
                </c:pt>
                <c:pt idx="24">
                  <c:v>2117.0361719728867</c:v>
                </c:pt>
                <c:pt idx="25">
                  <c:v>2491.2101567321897</c:v>
                </c:pt>
                <c:pt idx="26">
                  <c:v>2907.8399108564804</c:v>
                </c:pt>
                <c:pt idx="27">
                  <c:v>3367.1027315074089</c:v>
                </c:pt>
                <c:pt idx="28">
                  <c:v>3868.6571633153399</c:v>
                </c:pt>
                <c:pt idx="29">
                  <c:v>4411.6572884250872</c:v>
                </c:pt>
                <c:pt idx="30">
                  <c:v>4994.7777362095176</c:v>
                </c:pt>
                <c:pt idx="31">
                  <c:v>5616.247794261184</c:v>
                </c:pt>
                <c:pt idx="32">
                  <c:v>6273.892905363281</c:v>
                </c:pt>
                <c:pt idx="33">
                  <c:v>6965.1818141645263</c:v>
                </c:pt>
                <c:pt idx="34">
                  <c:v>7687.2776696589908</c:v>
                </c:pt>
                <c:pt idx="35">
                  <c:v>8437.0914825331274</c:v>
                </c:pt>
                <c:pt idx="36">
                  <c:v>9211.3364676696056</c:v>
                </c:pt>
                <c:pt idx="37">
                  <c:v>10006.581960175605</c:v>
                </c:pt>
                <c:pt idx="38">
                  <c:v>10819.305768022332</c:v>
                </c:pt>
                <c:pt idx="39">
                  <c:v>11645.944006905749</c:v>
                </c:pt>
                <c:pt idx="40">
                  <c:v>12482.937645867751</c:v>
                </c:pt>
                <c:pt idx="41">
                  <c:v>13326.77516958132</c:v>
                </c:pt>
                <c:pt idx="42">
                  <c:v>14174.030930381656</c:v>
                </c:pt>
                <c:pt idx="43">
                  <c:v>15021.398916739619</c:v>
                </c:pt>
                <c:pt idx="44">
                  <c:v>15865.721802648037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586-4915-A43B-0A60333EECA0}"/>
            </c:ext>
          </c:extLst>
        </c:ser>
        <c:ser>
          <c:idx val="7"/>
          <c:order val="7"/>
          <c:tx>
            <c:strRef>
              <c:f>'Cumul_confirmed - Power law fit'!$K$6</c:f>
              <c:strCache>
                <c:ptCount val="1"/>
                <c:pt idx="0">
                  <c:v>D. Lower CI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Power law fit'!$K$7:$K$70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45.804148426668633</c:v>
                </c:pt>
                <c:pt idx="17">
                  <c:v>143.34420933068316</c:v>
                </c:pt>
                <c:pt idx="18">
                  <c:v>265.86437395350833</c:v>
                </c:pt>
                <c:pt idx="19">
                  <c:v>416.62363497478498</c:v>
                </c:pt>
                <c:pt idx="20">
                  <c:v>598.72145396075871</c:v>
                </c:pt>
                <c:pt idx="21">
                  <c:v>815.01083350985607</c:v>
                </c:pt>
                <c:pt idx="22">
                  <c:v>1068.0202576427214</c:v>
                </c:pt>
                <c:pt idx="23">
                  <c:v>1359.8869808073978</c:v>
                </c:pt>
                <c:pt idx="24">
                  <c:v>1692.3033822698749</c:v>
                </c:pt>
                <c:pt idx="25">
                  <c:v>2066.4773670291779</c:v>
                </c:pt>
                <c:pt idx="26">
                  <c:v>2483.1071211534686</c:v>
                </c:pt>
                <c:pt idx="27">
                  <c:v>2942.3699418043971</c:v>
                </c:pt>
                <c:pt idx="28">
                  <c:v>3443.9243736123281</c:v>
                </c:pt>
                <c:pt idx="29">
                  <c:v>3986.9244987220754</c:v>
                </c:pt>
                <c:pt idx="30">
                  <c:v>4570.0449465065058</c:v>
                </c:pt>
                <c:pt idx="31">
                  <c:v>5191.5150045581722</c:v>
                </c:pt>
                <c:pt idx="32">
                  <c:v>5849.1601156602692</c:v>
                </c:pt>
                <c:pt idx="33">
                  <c:v>6540.4490244615145</c:v>
                </c:pt>
                <c:pt idx="34">
                  <c:v>7262.544879955979</c:v>
                </c:pt>
                <c:pt idx="35">
                  <c:v>8012.3586928301156</c:v>
                </c:pt>
                <c:pt idx="36">
                  <c:v>8786.6036779665938</c:v>
                </c:pt>
                <c:pt idx="37">
                  <c:v>9581.849170472593</c:v>
                </c:pt>
                <c:pt idx="38">
                  <c:v>10394.57297831932</c:v>
                </c:pt>
                <c:pt idx="39">
                  <c:v>11221.211217202737</c:v>
                </c:pt>
                <c:pt idx="40">
                  <c:v>12058.204856164739</c:v>
                </c:pt>
                <c:pt idx="41">
                  <c:v>12902.042379878309</c:v>
                </c:pt>
                <c:pt idx="42">
                  <c:v>13749.298140678644</c:v>
                </c:pt>
                <c:pt idx="43">
                  <c:v>14596.666127036608</c:v>
                </c:pt>
                <c:pt idx="44">
                  <c:v>15440.989012945025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586-4915-A43B-0A60333EE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Daily New Cases and Deaths - Power law w/ Exp. cut-off model fit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'New_confirmed - Power law fit'!$E$6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'New_confirmed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Power law fit'!$E$7:$E$70</c:f>
              <c:numCache>
                <c:formatCode>0</c:formatCode>
                <c:ptCount val="64"/>
                <c:pt idx="0">
                  <c:v>3</c:v>
                </c:pt>
                <c:pt idx="1">
                  <c:v>17</c:v>
                </c:pt>
                <c:pt idx="2">
                  <c:v>42</c:v>
                </c:pt>
                <c:pt idx="3">
                  <c:v>93</c:v>
                </c:pt>
                <c:pt idx="4">
                  <c:v>74</c:v>
                </c:pt>
                <c:pt idx="5">
                  <c:v>93</c:v>
                </c:pt>
                <c:pt idx="6">
                  <c:v>78</c:v>
                </c:pt>
                <c:pt idx="7">
                  <c:v>250</c:v>
                </c:pt>
                <c:pt idx="8">
                  <c:v>238</c:v>
                </c:pt>
                <c:pt idx="9">
                  <c:v>240</c:v>
                </c:pt>
                <c:pt idx="10">
                  <c:v>566</c:v>
                </c:pt>
                <c:pt idx="11">
                  <c:v>342</c:v>
                </c:pt>
                <c:pt idx="12">
                  <c:v>466</c:v>
                </c:pt>
                <c:pt idx="13">
                  <c:v>587</c:v>
                </c:pt>
                <c:pt idx="14">
                  <c:v>769</c:v>
                </c:pt>
                <c:pt idx="15">
                  <c:v>778</c:v>
                </c:pt>
                <c:pt idx="16">
                  <c:v>1247</c:v>
                </c:pt>
                <c:pt idx="17">
                  <c:v>1492</c:v>
                </c:pt>
                <c:pt idx="18">
                  <c:v>1797</c:v>
                </c:pt>
                <c:pt idx="19">
                  <c:v>977</c:v>
                </c:pt>
                <c:pt idx="20">
                  <c:v>2313</c:v>
                </c:pt>
                <c:pt idx="21">
                  <c:v>2651</c:v>
                </c:pt>
                <c:pt idx="22">
                  <c:v>2547</c:v>
                </c:pt>
                <c:pt idx="23">
                  <c:v>3497</c:v>
                </c:pt>
                <c:pt idx="24">
                  <c:v>3590</c:v>
                </c:pt>
                <c:pt idx="25">
                  <c:v>3233</c:v>
                </c:pt>
                <c:pt idx="26">
                  <c:v>3526</c:v>
                </c:pt>
                <c:pt idx="27">
                  <c:v>4207</c:v>
                </c:pt>
                <c:pt idx="28">
                  <c:v>5322</c:v>
                </c:pt>
                <c:pt idx="29">
                  <c:v>5986</c:v>
                </c:pt>
                <c:pt idx="30">
                  <c:v>6557</c:v>
                </c:pt>
                <c:pt idx="31">
                  <c:v>5560</c:v>
                </c:pt>
                <c:pt idx="32">
                  <c:v>4789</c:v>
                </c:pt>
                <c:pt idx="33">
                  <c:v>5249</c:v>
                </c:pt>
                <c:pt idx="34">
                  <c:v>5210</c:v>
                </c:pt>
                <c:pt idx="35">
                  <c:v>6153</c:v>
                </c:pt>
                <c:pt idx="36">
                  <c:v>5959</c:v>
                </c:pt>
                <c:pt idx="37">
                  <c:v>5974</c:v>
                </c:pt>
                <c:pt idx="38">
                  <c:v>5217</c:v>
                </c:pt>
                <c:pt idx="39">
                  <c:v>4050</c:v>
                </c:pt>
                <c:pt idx="40">
                  <c:v>4053</c:v>
                </c:pt>
                <c:pt idx="41">
                  <c:v>4782</c:v>
                </c:pt>
                <c:pt idx="42">
                  <c:v>4668</c:v>
                </c:pt>
                <c:pt idx="43">
                  <c:v>4585</c:v>
                </c:pt>
                <c:pt idx="44">
                  <c:v>4805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4A-ABEF-27282C118849}"/>
            </c:ext>
          </c:extLst>
        </c:ser>
        <c:ser>
          <c:idx val="1"/>
          <c:order val="1"/>
          <c:tx>
            <c:strRef>
              <c:f>'New_confirmed - Power law fit'!$G$6</c:f>
              <c:strCache>
                <c:ptCount val="1"/>
                <c:pt idx="0">
                  <c:v>New_fit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Power law fit'!$G$7:$G$70</c:f>
              <c:numCache>
                <c:formatCode>0,000,000,000</c:formatCode>
                <c:ptCount val="64"/>
                <c:pt idx="0">
                  <c:v>5.7281685401223906E-6</c:v>
                </c:pt>
                <c:pt idx="1">
                  <c:v>1.1622674382510861E-3</c:v>
                </c:pt>
                <c:pt idx="2">
                  <c:v>2.3660546583939526E-2</c:v>
                </c:pt>
                <c:pt idx="3">
                  <c:v>0.18789164127850994</c:v>
                </c:pt>
                <c:pt idx="4">
                  <c:v>0.89078082327612751</c:v>
                </c:pt>
                <c:pt idx="5">
                  <c:v>3.0474547681189263</c:v>
                </c:pt>
                <c:pt idx="6">
                  <c:v>8.32376689197738</c:v>
                </c:pt>
                <c:pt idx="7">
                  <c:v>19.28106689447586</c:v>
                </c:pt>
                <c:pt idx="8">
                  <c:v>39.380224039988228</c:v>
                </c:pt>
                <c:pt idx="9">
                  <c:v>72.829204507249145</c:v>
                </c:pt>
                <c:pt idx="10">
                  <c:v>124.2931765168051</c:v>
                </c:pt>
                <c:pt idx="11">
                  <c:v>198.51031645442384</c:v>
                </c:pt>
                <c:pt idx="12">
                  <c:v>299.86789310407664</c:v>
                </c:pt>
                <c:pt idx="13">
                  <c:v>431.99311845363684</c:v>
                </c:pt>
                <c:pt idx="14">
                  <c:v>597.40477925596338</c:v>
                </c:pt>
                <c:pt idx="15">
                  <c:v>797.25836905206461</c:v>
                </c:pt>
                <c:pt idx="16">
                  <c:v>1031.2025249007302</c:v>
                </c:pt>
                <c:pt idx="17">
                  <c:v>1297.350471745729</c:v>
                </c:pt>
                <c:pt idx="18">
                  <c:v>1592.3584606749887</c:v>
                </c:pt>
                <c:pt idx="19">
                  <c:v>1911.594638864972</c:v>
                </c:pt>
                <c:pt idx="20">
                  <c:v>2249.3765698739476</c:v>
                </c:pt>
                <c:pt idx="21">
                  <c:v>2599.2534606572699</c:v>
                </c:pt>
                <c:pt idx="22">
                  <c:v>2954.30951600563</c:v>
                </c:pt>
                <c:pt idx="23">
                  <c:v>3307.4670882760238</c:v>
                </c:pt>
                <c:pt idx="24">
                  <c:v>3651.7717692863748</c:v>
                </c:pt>
                <c:pt idx="25">
                  <c:v>3980.6456938275742</c:v>
                </c:pt>
                <c:pt idx="26">
                  <c:v>4288.0996040884856</c:v>
                </c:pt>
                <c:pt idx="27">
                  <c:v>4568.8982923610183</c:v>
                </c:pt>
                <c:pt idx="28">
                  <c:v>4818.6776425447279</c:v>
                </c:pt>
                <c:pt idx="29">
                  <c:v>5034.014479886082</c:v>
                </c:pt>
                <c:pt idx="30">
                  <c:v>5212.4527498577163</c:v>
                </c:pt>
                <c:pt idx="31">
                  <c:v>5352.4911842752081</c:v>
                </c:pt>
                <c:pt idx="32">
                  <c:v>5453.5386259895286</c:v>
                </c:pt>
                <c:pt idx="33">
                  <c:v>5515.8436531117413</c:v>
                </c:pt>
                <c:pt idx="34">
                  <c:v>5540.4051657580249</c:v>
                </c:pt>
                <c:pt idx="35">
                  <c:v>5528.8702733207956</c:v>
                </c:pt>
                <c:pt idx="36">
                  <c:v>5483.4252452217652</c:v>
                </c:pt>
                <c:pt idx="37">
                  <c:v>5406.6845508441311</c:v>
                </c:pt>
                <c:pt idx="38">
                  <c:v>5301.5821904260747</c:v>
                </c:pt>
                <c:pt idx="39">
                  <c:v>5171.2686699393616</c:v>
                </c:pt>
                <c:pt idx="40">
                  <c:v>5019.016147361629</c:v>
                </c:pt>
                <c:pt idx="41">
                  <c:v>4848.1335102473586</c:v>
                </c:pt>
                <c:pt idx="42">
                  <c:v>4661.8924584953829</c:v>
                </c:pt>
                <c:pt idx="43">
                  <c:v>4463.4650752162242</c:v>
                </c:pt>
                <c:pt idx="44">
                  <c:v>4255.8728781112359</c:v>
                </c:pt>
                <c:pt idx="45">
                  <c:v>4041.9469530431143</c:v>
                </c:pt>
                <c:pt idx="46">
                  <c:v>3824.2984751773993</c:v>
                </c:pt>
                <c:pt idx="47">
                  <c:v>3605.2987127578067</c:v>
                </c:pt>
                <c:pt idx="48">
                  <c:v>3387.0674738870443</c:v>
                </c:pt>
                <c:pt idx="49">
                  <c:v>3171.468886358884</c:v>
                </c:pt>
                <c:pt idx="50">
                  <c:v>2960.113383226661</c:v>
                </c:pt>
                <c:pt idx="51">
                  <c:v>2754.3647914319649</c:v>
                </c:pt>
                <c:pt idx="52">
                  <c:v>2555.3514773166589</c:v>
                </c:pt>
                <c:pt idx="53">
                  <c:v>2363.9805821428886</c:v>
                </c:pt>
                <c:pt idx="54">
                  <c:v>2180.9544749960601</c:v>
                </c:pt>
                <c:pt idx="55">
                  <c:v>2006.7886530412525</c:v>
                </c:pt>
                <c:pt idx="56">
                  <c:v>1841.8304246579785</c:v>
                </c:pt>
                <c:pt idx="57">
                  <c:v>1686.2778152457106</c:v>
                </c:pt>
                <c:pt idx="58">
                  <c:v>1540.1982352631799</c:v>
                </c:pt>
                <c:pt idx="59">
                  <c:v>1403.5465430331794</c:v>
                </c:pt>
                <c:pt idx="60">
                  <c:v>1276.1822194862823</c:v>
                </c:pt>
                <c:pt idx="61">
                  <c:v>1157.8854474504235</c:v>
                </c:pt>
                <c:pt idx="62">
                  <c:v>1048.371953959652</c:v>
                </c:pt>
                <c:pt idx="63">
                  <c:v>947.30653040522247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AC-474A-ABEF-27282C118849}"/>
            </c:ext>
          </c:extLst>
        </c:ser>
        <c:ser>
          <c:idx val="2"/>
          <c:order val="2"/>
          <c:tx>
            <c:strRef>
              <c:f>'New_confirmed - Power law fit'!$H$6</c:f>
              <c:strCache>
                <c:ptCount val="1"/>
                <c:pt idx="0">
                  <c:v>C_Upper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Power law fit'!$H$7:$H$70</c:f>
              <c:numCache>
                <c:formatCode>0</c:formatCode>
                <c:ptCount val="64"/>
                <c:pt idx="0">
                  <c:v>973.40838448312775</c:v>
                </c:pt>
                <c:pt idx="1">
                  <c:v>973.40954102239755</c:v>
                </c:pt>
                <c:pt idx="2">
                  <c:v>973.43203930154323</c:v>
                </c:pt>
                <c:pt idx="3">
                  <c:v>973.59627039623774</c:v>
                </c:pt>
                <c:pt idx="4">
                  <c:v>974.29915957823539</c:v>
                </c:pt>
                <c:pt idx="5">
                  <c:v>976.45583352307813</c:v>
                </c:pt>
                <c:pt idx="6">
                  <c:v>981.7321456469366</c:v>
                </c:pt>
                <c:pt idx="7">
                  <c:v>992.68944564943513</c:v>
                </c:pt>
                <c:pt idx="8">
                  <c:v>1012.7886027949475</c:v>
                </c:pt>
                <c:pt idx="9">
                  <c:v>1046.2375832622083</c:v>
                </c:pt>
                <c:pt idx="10">
                  <c:v>1097.7015552717644</c:v>
                </c:pt>
                <c:pt idx="11">
                  <c:v>1171.918695209383</c:v>
                </c:pt>
                <c:pt idx="12">
                  <c:v>1273.2762718590359</c:v>
                </c:pt>
                <c:pt idx="13">
                  <c:v>1405.4014972085961</c:v>
                </c:pt>
                <c:pt idx="14">
                  <c:v>1570.8131580109225</c:v>
                </c:pt>
                <c:pt idx="15">
                  <c:v>1770.666747807024</c:v>
                </c:pt>
                <c:pt idx="16">
                  <c:v>2004.6109036556895</c:v>
                </c:pt>
                <c:pt idx="17">
                  <c:v>2270.7588505006884</c:v>
                </c:pt>
                <c:pt idx="18">
                  <c:v>2565.766839429948</c:v>
                </c:pt>
                <c:pt idx="19">
                  <c:v>2885.0030176199311</c:v>
                </c:pt>
                <c:pt idx="20">
                  <c:v>3222.7849486289069</c:v>
                </c:pt>
                <c:pt idx="21">
                  <c:v>3572.6618394122293</c:v>
                </c:pt>
                <c:pt idx="22">
                  <c:v>3927.7178947605894</c:v>
                </c:pt>
                <c:pt idx="23">
                  <c:v>4280.8754670309827</c:v>
                </c:pt>
                <c:pt idx="24">
                  <c:v>4625.1801480413342</c:v>
                </c:pt>
                <c:pt idx="25">
                  <c:v>4954.0540725825331</c:v>
                </c:pt>
                <c:pt idx="26">
                  <c:v>5261.5079828434446</c:v>
                </c:pt>
                <c:pt idx="27">
                  <c:v>5542.3066711159772</c:v>
                </c:pt>
                <c:pt idx="28">
                  <c:v>5792.0860212996868</c:v>
                </c:pt>
                <c:pt idx="29">
                  <c:v>6007.4228586410409</c:v>
                </c:pt>
                <c:pt idx="30">
                  <c:v>6185.8611286126752</c:v>
                </c:pt>
                <c:pt idx="31">
                  <c:v>6325.899563030167</c:v>
                </c:pt>
                <c:pt idx="32">
                  <c:v>6426.9470047444875</c:v>
                </c:pt>
                <c:pt idx="33">
                  <c:v>6489.2520318667002</c:v>
                </c:pt>
                <c:pt idx="34">
                  <c:v>6513.8135445129838</c:v>
                </c:pt>
                <c:pt idx="35">
                  <c:v>6502.2786520757545</c:v>
                </c:pt>
                <c:pt idx="36">
                  <c:v>6456.8336239767241</c:v>
                </c:pt>
                <c:pt idx="37">
                  <c:v>6380.09292959909</c:v>
                </c:pt>
                <c:pt idx="38">
                  <c:v>6274.9905691810336</c:v>
                </c:pt>
                <c:pt idx="39">
                  <c:v>6144.6770486943205</c:v>
                </c:pt>
                <c:pt idx="40">
                  <c:v>5992.4245261165879</c:v>
                </c:pt>
                <c:pt idx="41">
                  <c:v>5821.5418890023175</c:v>
                </c:pt>
                <c:pt idx="42">
                  <c:v>5635.3008372503418</c:v>
                </c:pt>
                <c:pt idx="43">
                  <c:v>5436.8734539711832</c:v>
                </c:pt>
                <c:pt idx="44">
                  <c:v>5229.2812568661948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AC-474A-ABEF-27282C118849}"/>
            </c:ext>
          </c:extLst>
        </c:ser>
        <c:ser>
          <c:idx val="3"/>
          <c:order val="3"/>
          <c:tx>
            <c:strRef>
              <c:f>'New_confirmed - Power law fit'!$I$6</c:f>
              <c:strCache>
                <c:ptCount val="1"/>
                <c:pt idx="0">
                  <c:v>C_Lower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Power law fit'!$I$7:$I$70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57.794146145770924</c:v>
                </c:pt>
                <c:pt idx="17">
                  <c:v>323.94209299076977</c:v>
                </c:pt>
                <c:pt idx="18">
                  <c:v>618.95008192002945</c:v>
                </c:pt>
                <c:pt idx="19">
                  <c:v>938.18626011001277</c:v>
                </c:pt>
                <c:pt idx="20">
                  <c:v>1275.9681911189882</c:v>
                </c:pt>
                <c:pt idx="21">
                  <c:v>1625.8450819023105</c:v>
                </c:pt>
                <c:pt idx="22">
                  <c:v>1980.9011372506707</c:v>
                </c:pt>
                <c:pt idx="23">
                  <c:v>2334.0587095210644</c:v>
                </c:pt>
                <c:pt idx="24">
                  <c:v>2678.3633905314155</c:v>
                </c:pt>
                <c:pt idx="25">
                  <c:v>3007.2373150726148</c:v>
                </c:pt>
                <c:pt idx="26">
                  <c:v>3314.6912253335263</c:v>
                </c:pt>
                <c:pt idx="27">
                  <c:v>3595.489913606059</c:v>
                </c:pt>
                <c:pt idx="28">
                  <c:v>3845.2692637897685</c:v>
                </c:pt>
                <c:pt idx="29">
                  <c:v>4060.6061011311226</c:v>
                </c:pt>
                <c:pt idx="30">
                  <c:v>4239.0443711027574</c:v>
                </c:pt>
                <c:pt idx="31">
                  <c:v>4379.0828055202492</c:v>
                </c:pt>
                <c:pt idx="32">
                  <c:v>4480.1302472345697</c:v>
                </c:pt>
                <c:pt idx="33">
                  <c:v>4542.4352743567824</c:v>
                </c:pt>
                <c:pt idx="34">
                  <c:v>4566.9967870030659</c:v>
                </c:pt>
                <c:pt idx="35">
                  <c:v>4555.4618945658367</c:v>
                </c:pt>
                <c:pt idx="36">
                  <c:v>4510.0168664668063</c:v>
                </c:pt>
                <c:pt idx="37">
                  <c:v>4433.2761720891722</c:v>
                </c:pt>
                <c:pt idx="38">
                  <c:v>4328.1738116711158</c:v>
                </c:pt>
                <c:pt idx="39">
                  <c:v>4197.8602911844027</c:v>
                </c:pt>
                <c:pt idx="40">
                  <c:v>4045.6077686066697</c:v>
                </c:pt>
                <c:pt idx="41">
                  <c:v>3874.7251314923992</c:v>
                </c:pt>
                <c:pt idx="42">
                  <c:v>3688.4840797404236</c:v>
                </c:pt>
                <c:pt idx="43">
                  <c:v>3490.0566964612649</c:v>
                </c:pt>
                <c:pt idx="44">
                  <c:v>3282.4644993562765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AC-474A-ABEF-27282C118849}"/>
            </c:ext>
          </c:extLst>
        </c:ser>
        <c:ser>
          <c:idx val="4"/>
          <c:order val="4"/>
          <c:tx>
            <c:strRef>
              <c:f>'New_confirmed - Power law fit'!$K$6</c:f>
              <c:strCache>
                <c:ptCount val="1"/>
                <c:pt idx="0">
                  <c:v>New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'New_confirmed - Power law fit'!$K$7:$K$70</c:f>
              <c:numCache>
                <c:formatCode>0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5</c:v>
                </c:pt>
                <c:pt idx="8">
                  <c:v>4</c:v>
                </c:pt>
                <c:pt idx="9">
                  <c:v>8</c:v>
                </c:pt>
                <c:pt idx="10">
                  <c:v>5</c:v>
                </c:pt>
                <c:pt idx="11">
                  <c:v>18</c:v>
                </c:pt>
                <c:pt idx="12">
                  <c:v>27</c:v>
                </c:pt>
                <c:pt idx="13">
                  <c:v>28</c:v>
                </c:pt>
                <c:pt idx="14">
                  <c:v>41</c:v>
                </c:pt>
                <c:pt idx="15">
                  <c:v>49</c:v>
                </c:pt>
                <c:pt idx="16">
                  <c:v>36</c:v>
                </c:pt>
                <c:pt idx="17">
                  <c:v>133</c:v>
                </c:pt>
                <c:pt idx="18">
                  <c:v>97</c:v>
                </c:pt>
                <c:pt idx="19">
                  <c:v>168</c:v>
                </c:pt>
                <c:pt idx="20">
                  <c:v>196</c:v>
                </c:pt>
                <c:pt idx="21">
                  <c:v>189</c:v>
                </c:pt>
                <c:pt idx="22">
                  <c:v>250</c:v>
                </c:pt>
                <c:pt idx="23">
                  <c:v>175</c:v>
                </c:pt>
                <c:pt idx="24">
                  <c:v>368</c:v>
                </c:pt>
                <c:pt idx="25">
                  <c:v>349</c:v>
                </c:pt>
                <c:pt idx="26">
                  <c:v>345</c:v>
                </c:pt>
                <c:pt idx="27">
                  <c:v>475</c:v>
                </c:pt>
                <c:pt idx="28">
                  <c:v>427</c:v>
                </c:pt>
                <c:pt idx="29">
                  <c:v>627</c:v>
                </c:pt>
                <c:pt idx="30">
                  <c:v>793</c:v>
                </c:pt>
                <c:pt idx="31">
                  <c:v>651</c:v>
                </c:pt>
                <c:pt idx="32">
                  <c:v>601</c:v>
                </c:pt>
                <c:pt idx="33">
                  <c:v>743</c:v>
                </c:pt>
                <c:pt idx="34">
                  <c:v>683</c:v>
                </c:pt>
                <c:pt idx="35">
                  <c:v>662</c:v>
                </c:pt>
                <c:pt idx="36">
                  <c:v>969</c:v>
                </c:pt>
                <c:pt idx="37">
                  <c:v>889</c:v>
                </c:pt>
                <c:pt idx="38">
                  <c:v>756</c:v>
                </c:pt>
                <c:pt idx="39">
                  <c:v>812</c:v>
                </c:pt>
                <c:pt idx="40">
                  <c:v>837</c:v>
                </c:pt>
                <c:pt idx="41">
                  <c:v>727</c:v>
                </c:pt>
                <c:pt idx="42">
                  <c:v>760</c:v>
                </c:pt>
                <c:pt idx="43">
                  <c:v>766</c:v>
                </c:pt>
                <c:pt idx="44">
                  <c:v>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A-42E0-ADE0-2A064B8C1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'New_confirmed - Power law fit'!$M$6</c:f>
              <c:strCache>
                <c:ptCount val="1"/>
                <c:pt idx="0">
                  <c:v>New_D_fit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'New_confirmed - Power law fit'!$M$7:$M$70</c:f>
              <c:numCache>
                <c:formatCode>0,000,000,000</c:formatCode>
                <c:ptCount val="64"/>
                <c:pt idx="0">
                  <c:v>2.8594662764003492E-6</c:v>
                </c:pt>
                <c:pt idx="1">
                  <c:v>3.1698309203105049E-4</c:v>
                </c:pt>
                <c:pt idx="2">
                  <c:v>4.6460362256301995E-3</c:v>
                </c:pt>
                <c:pt idx="3">
                  <c:v>2.9741926836548339E-2</c:v>
                </c:pt>
                <c:pt idx="4">
                  <c:v>0.12092810403578937</c:v>
                </c:pt>
                <c:pt idx="5">
                  <c:v>0.36897545781181679</c:v>
                </c:pt>
                <c:pt idx="6">
                  <c:v>0.92346780150535801</c:v>
                </c:pt>
                <c:pt idx="7">
                  <c:v>1.999244337172307</c:v>
                </c:pt>
                <c:pt idx="8">
                  <c:v>3.8744293382577202</c:v>
                </c:pt>
                <c:pt idx="9">
                  <c:v>6.8802766710861878</c:v>
                </c:pt>
                <c:pt idx="10">
                  <c:v>11.384291762551394</c:v>
                </c:pt>
                <c:pt idx="11">
                  <c:v>17.768796926451078</c:v>
                </c:pt>
                <c:pt idx="12">
                  <c:v>26.407343879527662</c:v>
                </c:pt>
                <c:pt idx="13">
                  <c:v>37.641262925289929</c:v>
                </c:pt>
                <c:pt idx="14">
                  <c:v>51.75829207436167</c:v>
                </c:pt>
                <c:pt idx="15">
                  <c:v>68.974758468822486</c:v>
                </c:pt>
                <c:pt idx="16">
                  <c:v>89.422274049970625</c:v>
                </c:pt>
                <c:pt idx="17">
                  <c:v>113.13941882179834</c:v>
                </c:pt>
                <c:pt idx="18">
                  <c:v>140.06845784820231</c:v>
                </c:pt>
                <c:pt idx="19">
                  <c:v>170.05679367427601</c:v>
                </c:pt>
                <c:pt idx="20">
                  <c:v>202.86260164228077</c:v>
                </c:pt>
                <c:pt idx="21">
                  <c:v>238.16392912971492</c:v>
                </c:pt>
                <c:pt idx="22">
                  <c:v>275.57045219024252</c:v>
                </c:pt>
                <c:pt idx="23">
                  <c:v>314.63706193435928</c:v>
                </c:pt>
                <c:pt idx="24">
                  <c:v>354.8784842774395</c:v>
                </c:pt>
                <c:pt idx="25">
                  <c:v>395.78420649308254</c:v>
                </c:pt>
                <c:pt idx="26">
                  <c:v>436.83307948736177</c:v>
                </c:pt>
                <c:pt idx="27">
                  <c:v>477.50707466192716</c:v>
                </c:pt>
                <c:pt idx="28">
                  <c:v>517.30378940981007</c:v>
                </c:pt>
                <c:pt idx="29">
                  <c:v>555.74740843262089</c:v>
                </c:pt>
                <c:pt idx="30">
                  <c:v>592.39793382529672</c:v>
                </c:pt>
                <c:pt idx="31">
                  <c:v>626.85859159204892</c:v>
                </c:pt>
                <c:pt idx="32">
                  <c:v>658.78140374181021</c:v>
                </c:pt>
                <c:pt idx="33">
                  <c:v>687.87098236647637</c:v>
                </c:pt>
                <c:pt idx="34">
                  <c:v>713.88665507244036</c:v>
                </c:pt>
                <c:pt idx="35">
                  <c:v>736.64307045616022</c:v>
                </c:pt>
                <c:pt idx="36">
                  <c:v>756.00945911735937</c:v>
                </c:pt>
                <c:pt idx="37">
                  <c:v>771.90774142731073</c:v>
                </c:pt>
                <c:pt idx="38">
                  <c:v>784.309679516188</c:v>
                </c:pt>
                <c:pt idx="39">
                  <c:v>793.23326936121066</c:v>
                </c:pt>
                <c:pt idx="40">
                  <c:v>798.73856105606797</c:v>
                </c:pt>
                <c:pt idx="41">
                  <c:v>800.923082829637</c:v>
                </c:pt>
                <c:pt idx="42">
                  <c:v>799.91702852395917</c:v>
                </c:pt>
                <c:pt idx="43">
                  <c:v>795.87835023680123</c:v>
                </c:pt>
                <c:pt idx="44">
                  <c:v>788.98787870531112</c:v>
                </c:pt>
                <c:pt idx="45">
                  <c:v>779.44457460006788</c:v>
                </c:pt>
                <c:pt idx="46">
                  <c:v>767.46099488982497</c:v>
                </c:pt>
                <c:pt idx="47">
                  <c:v>753.25904034720759</c:v>
                </c:pt>
                <c:pt idx="48">
                  <c:v>737.06603347475607</c:v>
                </c:pt>
                <c:pt idx="49">
                  <c:v>719.1111608970532</c:v>
                </c:pt>
                <c:pt idx="50">
                  <c:v>699.62230074216893</c:v>
                </c:pt>
                <c:pt idx="51">
                  <c:v>678.82324379153556</c:v>
                </c:pt>
                <c:pt idx="52">
                  <c:v>656.93130720982003</c:v>
                </c:pt>
                <c:pt idx="53">
                  <c:v>634.15533141914955</c:v>
                </c:pt>
                <c:pt idx="54">
                  <c:v>610.69404405854777</c:v>
                </c:pt>
                <c:pt idx="55">
                  <c:v>586.7347698447511</c:v>
                </c:pt>
                <c:pt idx="56">
                  <c:v>562.45246138132256</c:v>
                </c:pt>
                <c:pt idx="57">
                  <c:v>538.00902339589129</c:v>
                </c:pt>
                <c:pt idx="58">
                  <c:v>513.55290136422389</c:v>
                </c:pt>
                <c:pt idx="59">
                  <c:v>489.21890485072151</c:v>
                </c:pt>
                <c:pt idx="60">
                  <c:v>465.1282360101111</c:v>
                </c:pt>
                <c:pt idx="61">
                  <c:v>441.38869441645164</c:v>
                </c:pt>
                <c:pt idx="62">
                  <c:v>418.09503058605452</c:v>
                </c:pt>
                <c:pt idx="63">
                  <c:v>395.32942212618332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9A-42E0-ADE0-2A064B8C186A}"/>
            </c:ext>
          </c:extLst>
        </c:ser>
        <c:ser>
          <c:idx val="6"/>
          <c:order val="6"/>
          <c:tx>
            <c:strRef>
              <c:f>'New_confirmed - Power law fit'!$N$6</c:f>
              <c:strCache>
                <c:ptCount val="1"/>
                <c:pt idx="0">
                  <c:v>ND_Upper CI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'New_confirmed - Power law fit'!$N$7:$N$70</c:f>
              <c:numCache>
                <c:formatCode>0</c:formatCode>
                <c:ptCount val="64"/>
                <c:pt idx="0">
                  <c:v>133.16071410930763</c:v>
                </c:pt>
                <c:pt idx="1">
                  <c:v>133.1610282329334</c:v>
                </c:pt>
                <c:pt idx="2">
                  <c:v>133.16535728606701</c:v>
                </c:pt>
                <c:pt idx="3">
                  <c:v>133.19045317667792</c:v>
                </c:pt>
                <c:pt idx="4">
                  <c:v>133.28163935387715</c:v>
                </c:pt>
                <c:pt idx="5">
                  <c:v>133.52968670765318</c:v>
                </c:pt>
                <c:pt idx="6">
                  <c:v>134.08417905134672</c:v>
                </c:pt>
                <c:pt idx="7">
                  <c:v>135.15995558701368</c:v>
                </c:pt>
                <c:pt idx="8">
                  <c:v>137.0351405880991</c:v>
                </c:pt>
                <c:pt idx="9">
                  <c:v>140.04098792092756</c:v>
                </c:pt>
                <c:pt idx="10">
                  <c:v>144.54500301239275</c:v>
                </c:pt>
                <c:pt idx="11">
                  <c:v>150.92950817629244</c:v>
                </c:pt>
                <c:pt idx="12">
                  <c:v>159.56805512936904</c:v>
                </c:pt>
                <c:pt idx="13">
                  <c:v>170.80197417513131</c:v>
                </c:pt>
                <c:pt idx="14">
                  <c:v>184.91900332420303</c:v>
                </c:pt>
                <c:pt idx="15">
                  <c:v>202.13546971866384</c:v>
                </c:pt>
                <c:pt idx="16">
                  <c:v>222.58298529981198</c:v>
                </c:pt>
                <c:pt idx="17">
                  <c:v>246.30013007163973</c:v>
                </c:pt>
                <c:pt idx="18">
                  <c:v>273.22916909804371</c:v>
                </c:pt>
                <c:pt idx="19">
                  <c:v>303.21750492411741</c:v>
                </c:pt>
                <c:pt idx="20">
                  <c:v>336.02331289212214</c:v>
                </c:pt>
                <c:pt idx="21">
                  <c:v>371.32464037955629</c:v>
                </c:pt>
                <c:pt idx="22">
                  <c:v>408.73116344008389</c:v>
                </c:pt>
                <c:pt idx="23">
                  <c:v>447.79777318420065</c:v>
                </c:pt>
                <c:pt idx="24">
                  <c:v>488.03919552728087</c:v>
                </c:pt>
                <c:pt idx="25">
                  <c:v>528.94491774292396</c:v>
                </c:pt>
                <c:pt idx="26">
                  <c:v>569.9937907372032</c:v>
                </c:pt>
                <c:pt idx="27">
                  <c:v>610.66778591176853</c:v>
                </c:pt>
                <c:pt idx="28">
                  <c:v>650.46450065965143</c:v>
                </c:pt>
                <c:pt idx="29">
                  <c:v>688.90811968246226</c:v>
                </c:pt>
                <c:pt idx="30">
                  <c:v>725.55864507513809</c:v>
                </c:pt>
                <c:pt idx="31">
                  <c:v>760.01930284189029</c:v>
                </c:pt>
                <c:pt idx="32">
                  <c:v>791.94211499165158</c:v>
                </c:pt>
                <c:pt idx="33">
                  <c:v>821.03169361631774</c:v>
                </c:pt>
                <c:pt idx="34">
                  <c:v>847.04736632228173</c:v>
                </c:pt>
                <c:pt idx="35">
                  <c:v>869.80378170600159</c:v>
                </c:pt>
                <c:pt idx="36">
                  <c:v>889.17017036720074</c:v>
                </c:pt>
                <c:pt idx="37">
                  <c:v>905.0684526771521</c:v>
                </c:pt>
                <c:pt idx="38">
                  <c:v>917.47039076602937</c:v>
                </c:pt>
                <c:pt idx="39">
                  <c:v>926.39398061105203</c:v>
                </c:pt>
                <c:pt idx="40">
                  <c:v>931.89927230590934</c:v>
                </c:pt>
                <c:pt idx="41">
                  <c:v>934.08379407947837</c:v>
                </c:pt>
                <c:pt idx="42">
                  <c:v>933.07773977380054</c:v>
                </c:pt>
                <c:pt idx="43">
                  <c:v>929.03906148664259</c:v>
                </c:pt>
                <c:pt idx="44">
                  <c:v>922.14858995515249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29A-42E0-ADE0-2A064B8C186A}"/>
            </c:ext>
          </c:extLst>
        </c:ser>
        <c:ser>
          <c:idx val="7"/>
          <c:order val="7"/>
          <c:tx>
            <c:strRef>
              <c:f>'New_confirmed - Power law fit'!$O$6</c:f>
              <c:strCache>
                <c:ptCount val="1"/>
                <c:pt idx="0">
                  <c:v>ND_Lower CI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'New_confirmed - Power law fit'!$O$7:$O$70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6.9077465983609443</c:v>
                </c:pt>
                <c:pt idx="19">
                  <c:v>36.896082424434638</c:v>
                </c:pt>
                <c:pt idx="20">
                  <c:v>69.701890392439395</c:v>
                </c:pt>
                <c:pt idx="21">
                  <c:v>105.00321787987355</c:v>
                </c:pt>
                <c:pt idx="22">
                  <c:v>142.40974094040115</c:v>
                </c:pt>
                <c:pt idx="23">
                  <c:v>181.47635068451791</c:v>
                </c:pt>
                <c:pt idx="24">
                  <c:v>221.71777302759813</c:v>
                </c:pt>
                <c:pt idx="25">
                  <c:v>262.62349524324117</c:v>
                </c:pt>
                <c:pt idx="26">
                  <c:v>303.6723682375204</c:v>
                </c:pt>
                <c:pt idx="27">
                  <c:v>344.34636341208579</c:v>
                </c:pt>
                <c:pt idx="28">
                  <c:v>384.1430781599687</c:v>
                </c:pt>
                <c:pt idx="29">
                  <c:v>422.58669718277952</c:v>
                </c:pt>
                <c:pt idx="30">
                  <c:v>459.23722257545535</c:v>
                </c:pt>
                <c:pt idx="31">
                  <c:v>493.69788034220755</c:v>
                </c:pt>
                <c:pt idx="32">
                  <c:v>525.62069249196884</c:v>
                </c:pt>
                <c:pt idx="33">
                  <c:v>554.710271116635</c:v>
                </c:pt>
                <c:pt idx="34">
                  <c:v>580.72594382259899</c:v>
                </c:pt>
                <c:pt idx="35">
                  <c:v>603.48235920631885</c:v>
                </c:pt>
                <c:pt idx="36">
                  <c:v>622.848747867518</c:v>
                </c:pt>
                <c:pt idx="37">
                  <c:v>638.74703017746936</c:v>
                </c:pt>
                <c:pt idx="38">
                  <c:v>651.14896826634663</c:v>
                </c:pt>
                <c:pt idx="39">
                  <c:v>660.07255811136929</c:v>
                </c:pt>
                <c:pt idx="40">
                  <c:v>665.5778498062266</c:v>
                </c:pt>
                <c:pt idx="41">
                  <c:v>667.76237157979563</c:v>
                </c:pt>
                <c:pt idx="42">
                  <c:v>666.75631727411781</c:v>
                </c:pt>
                <c:pt idx="43">
                  <c:v>662.71763898695986</c:v>
                </c:pt>
                <c:pt idx="44">
                  <c:v>655.82716745546975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29A-42E0-ADE0-2A064B8C1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609600</xdr:colOff>
      <xdr:row>2</xdr:row>
      <xdr:rowOff>114300</xdr:rowOff>
    </xdr:from>
    <xdr:ext cx="1785257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44143" y="691243"/>
              <a:ext cx="1785257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;</m:t>
                        </m:r>
                        <m:sSub>
                          <m:sSub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</m:d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44143" y="691243"/>
              <a:ext cx="1785257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𝑃(𝑡;𝑡_0,𝑤)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14</xdr:col>
      <xdr:colOff>7620</xdr:colOff>
      <xdr:row>5</xdr:row>
      <xdr:rowOff>0</xdr:rowOff>
    </xdr:from>
    <xdr:to>
      <xdr:col>25</xdr:col>
      <xdr:colOff>99060</xdr:colOff>
      <xdr:row>37</xdr:row>
      <xdr:rowOff>144781</xdr:rowOff>
    </xdr:to>
    <xdr:grpSp>
      <xdr:nvGrpSpPr>
        <xdr:cNvPr id="11" name="Gruppo 10">
          <a:extLst>
            <a:ext uri="{FF2B5EF4-FFF2-40B4-BE49-F238E27FC236}">
              <a16:creationId xmlns:a16="http://schemas.microsoft.com/office/drawing/2014/main" id="{D2DCF357-C596-4409-BBE4-F19F42DD9E26}"/>
            </a:ext>
          </a:extLst>
        </xdr:cNvPr>
        <xdr:cNvGrpSpPr/>
      </xdr:nvGrpSpPr>
      <xdr:grpSpPr>
        <a:xfrm>
          <a:off x="10022477" y="1295400"/>
          <a:ext cx="6938554" cy="6349638"/>
          <a:chOff x="10022477" y="1284513"/>
          <a:chExt cx="6938554" cy="6131923"/>
        </a:xfrm>
      </xdr:grpSpPr>
      <xdr:grpSp>
        <xdr:nvGrpSpPr>
          <xdr:cNvPr id="4" name="Gruppo 3">
            <a:extLst>
              <a:ext uri="{FF2B5EF4-FFF2-40B4-BE49-F238E27FC236}">
                <a16:creationId xmlns:a16="http://schemas.microsoft.com/office/drawing/2014/main" id="{67558127-6788-4E8D-856B-A94E318F75FB}"/>
              </a:ext>
            </a:extLst>
          </xdr:cNvPr>
          <xdr:cNvGrpSpPr/>
        </xdr:nvGrpSpPr>
        <xdr:grpSpPr>
          <a:xfrm>
            <a:off x="10022477" y="1284513"/>
            <a:ext cx="6938554" cy="6131923"/>
            <a:chOff x="10022477" y="1284513"/>
            <a:chExt cx="6938554" cy="6131923"/>
          </a:xfrm>
        </xdr:grpSpPr>
        <xdr:grpSp>
          <xdr:nvGrpSpPr>
            <xdr:cNvPr id="5" name="Gruppo 4">
              <a:extLst>
                <a:ext uri="{FF2B5EF4-FFF2-40B4-BE49-F238E27FC236}">
                  <a16:creationId xmlns:a16="http://schemas.microsoft.com/office/drawing/2014/main" id="{BE070C06-0E16-4F9B-8209-E83DE4855BB5}"/>
                </a:ext>
              </a:extLst>
            </xdr:cNvPr>
            <xdr:cNvGrpSpPr/>
          </xdr:nvGrpSpPr>
          <xdr:grpSpPr>
            <a:xfrm>
              <a:off x="10022477" y="1284513"/>
              <a:ext cx="6938554" cy="6131923"/>
              <a:chOff x="6629400" y="1287779"/>
              <a:chExt cx="6941820" cy="5303520"/>
            </a:xfrm>
          </xdr:grpSpPr>
          <xdr:graphicFrame macro="">
            <xdr:nvGraphicFramePr>
              <xdr:cNvPr id="2" name="Grafico 1">
                <a:extLst>
                  <a:ext uri="{FF2B5EF4-FFF2-40B4-BE49-F238E27FC236}">
                    <a16:creationId xmlns:a16="http://schemas.microsoft.com/office/drawing/2014/main" id="{03212835-2CCD-487C-A7C3-4E3C532B9DF2}"/>
                  </a:ext>
                </a:extLst>
              </xdr:cNvPr>
              <xdr:cNvGraphicFramePr/>
            </xdr:nvGraphicFramePr>
            <xdr:xfrm>
              <a:off x="6629400" y="1287779"/>
              <a:ext cx="6941820" cy="530352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sp macro="" textlink="">
            <xdr:nvSpPr>
              <xdr:cNvPr id="7" name="CasellaDiTesto 6">
                <a:extLst>
                  <a:ext uri="{FF2B5EF4-FFF2-40B4-BE49-F238E27FC236}">
                    <a16:creationId xmlns:a16="http://schemas.microsoft.com/office/drawing/2014/main" id="{7E696076-8C22-4EC6-8C39-63B8E38294C1}"/>
                  </a:ext>
                </a:extLst>
              </xdr:cNvPr>
              <xdr:cNvSpPr txBox="1"/>
            </xdr:nvSpPr>
            <xdr:spPr>
              <a:xfrm>
                <a:off x="7508828" y="3697344"/>
                <a:ext cx="1828800" cy="116817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it-IT" sz="14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Total cases detected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K= 168279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t</a:t>
                </a:r>
                <a:r>
                  <a:rPr lang="it-IT" sz="1100" b="1" i="1" u="none" strike="noStrike" baseline="-2500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0</a:t>
                </a:r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=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  <a:r>
                  <a:rPr lang="it-IT" sz="1100" b="1" i="0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4.23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w=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  <a:r>
                  <a:rPr lang="it-IT" sz="1100" b="1" i="0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7.99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</a:p>
              <a:p>
                <a:r>
                  <a:rPr lang="it-IT" sz="1100" b="1" i="1">
                    <a:solidFill>
                      <a:srgbClr val="0070C0"/>
                    </a:solidFill>
                  </a:rPr>
                  <a:t>R</a:t>
                </a:r>
                <a:r>
                  <a:rPr lang="it-IT" sz="1100" b="1" i="1" baseline="30000">
                    <a:solidFill>
                      <a:srgbClr val="0070C0"/>
                    </a:solidFill>
                  </a:rPr>
                  <a:t>2</a:t>
                </a:r>
                <a:r>
                  <a:rPr lang="it-IT" sz="1100" b="1" baseline="0">
                    <a:solidFill>
                      <a:srgbClr val="0070C0"/>
                    </a:solidFill>
                  </a:rPr>
                  <a:t>= 0.9992</a:t>
                </a:r>
              </a:p>
              <a:p>
                <a:r>
                  <a:rPr lang="it-IT" sz="1100" b="1" i="1" baseline="0">
                    <a:solidFill>
                      <a:srgbClr val="0070C0"/>
                    </a:solidFill>
                  </a:rPr>
                  <a:t>CI</a:t>
                </a:r>
                <a:r>
                  <a:rPr lang="it-IT" sz="1100" b="1" baseline="0">
                    <a:solidFill>
                      <a:srgbClr val="0070C0"/>
                    </a:solidFill>
                  </a:rPr>
                  <a:t>= 2351</a:t>
                </a:r>
              </a:p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it-IT" sz="1100" b="1" i="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(day</a:t>
                </a:r>
                <a:r>
                  <a:rPr lang="it-IT" sz="1100" b="1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 1</a:t>
                </a:r>
                <a:r>
                  <a:rPr lang="it-IT" sz="1100" b="1" baseline="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 = Feb 20th)</a:t>
                </a:r>
                <a:endParaRPr lang="it-IT" b="1">
                  <a:solidFill>
                    <a:srgbClr val="0070C0"/>
                  </a:solidFill>
                  <a:effectLst/>
                </a:endParaRPr>
              </a:p>
              <a:p>
                <a:endParaRPr lang="it-IT" sz="1100" baseline="30000"/>
              </a:p>
            </xdr:txBody>
          </xdr:sp>
        </xdr:grpSp>
        <xdr:grpSp>
          <xdr:nvGrpSpPr>
            <xdr:cNvPr id="3" name="Gruppo 2">
              <a:extLst>
                <a:ext uri="{FF2B5EF4-FFF2-40B4-BE49-F238E27FC236}">
                  <a16:creationId xmlns:a16="http://schemas.microsoft.com/office/drawing/2014/main" id="{6A13E9E0-66B2-485C-8B1A-DFB5384290B8}"/>
                </a:ext>
              </a:extLst>
            </xdr:cNvPr>
            <xdr:cNvGrpSpPr/>
          </xdr:nvGrpSpPr>
          <xdr:grpSpPr>
            <a:xfrm>
              <a:off x="10809514" y="2775861"/>
              <a:ext cx="3135086" cy="838201"/>
              <a:chOff x="10809514" y="2775861"/>
              <a:chExt cx="3135086" cy="838201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" name="CasellaDiTesto 7">
                    <a:extLst>
                      <a:ext uri="{FF2B5EF4-FFF2-40B4-BE49-F238E27FC236}">
                        <a16:creationId xmlns:a16="http://schemas.microsoft.com/office/drawing/2014/main" id="{E41171F6-92CD-40E0-8C04-B437DABCE7A4}"/>
                      </a:ext>
                    </a:extLst>
                  </xdr:cNvPr>
                  <xdr:cNvSpPr txBox="1"/>
                </xdr:nvSpPr>
                <xdr:spPr>
                  <a:xfrm>
                    <a:off x="10809514" y="3303819"/>
                    <a:ext cx="3135086" cy="31024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it-IT" sz="1100"/>
                      <a:t>y=</a:t>
                    </a:r>
                    <a14:m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it-IT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it-I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p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  <m:d>
                              <m:dPr>
                                <m:ctrlP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;</m:t>
                                </m:r>
                                <m:sSub>
                                  <m:sSubPr>
                                    <m:ctrlP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</m:d>
                          </m:e>
                        </m:nary>
                        <m: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≈</m:t>
                        </m:r>
                        <m:sSub>
                          <m:sSub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d>
                          <m:dPr>
                            <m:begChr m:val="["/>
                            <m:endChr m:val="]"/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Γ</m:t>
                            </m:r>
                            <m:d>
                              <m:dPr>
                                <m:ctrlPr>
                                  <a:rPr lang="el-G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𝑤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+1</m:t>
                                </m:r>
                              </m:e>
                            </m:d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r>
                              <m:rPr>
                                <m:sty m:val="p"/>
                              </m:r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Γ</m:t>
                            </m:r>
                            <m:d>
                              <m:dPr>
                                <m:ctrlPr>
                                  <a:rPr lang="el-G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𝑤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+1,</m:t>
                                </m:r>
                                <m:f>
                                  <m:fPr>
                                    <m:ctrlP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𝑡</m:t>
                                    </m:r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</m:d>
                      </m:oMath>
                    </a14:m>
                    <a:endParaRPr lang="it-IT" sz="1100"/>
                  </a:p>
                </xdr:txBody>
              </xdr:sp>
            </mc:Choice>
            <mc:Fallback xmlns="">
              <xdr:sp macro="" textlink="">
                <xdr:nvSpPr>
                  <xdr:cNvPr id="8" name="CasellaDiTesto 7">
                    <a:extLst>
                      <a:ext uri="{FF2B5EF4-FFF2-40B4-BE49-F238E27FC236}">
                        <a16:creationId xmlns:a16="http://schemas.microsoft.com/office/drawing/2014/main" id="{E41171F6-92CD-40E0-8C04-B437DABCE7A4}"/>
                      </a:ext>
                    </a:extLst>
                  </xdr:cNvPr>
                  <xdr:cNvSpPr txBox="1"/>
                </xdr:nvSpPr>
                <xdr:spPr>
                  <a:xfrm>
                    <a:off x="10809514" y="3303819"/>
                    <a:ext cx="3135086" cy="31024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it-IT" sz="1100"/>
                      <a:t>y=</a:t>
                    </a:r>
                    <a:r>
                      <a:rPr lang="it-IT" sz="1100" i="0">
                        <a:latin typeface="Cambria Math" panose="02040503050406030204" pitchFamily="18" charset="0"/>
                      </a:rPr>
                      <a:t>∑</a:t>
                    </a:r>
                    <a:r>
                      <a:rPr lang="it-IT" sz="1100" b="0" i="0">
                        <a:latin typeface="Cambria Math" panose="02040503050406030204" pitchFamily="18" charset="0"/>
                      </a:rPr>
                      <a:t>_1^𝑡▒𝑃(𝑡;𝑡_0,𝑤) 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≈</a:t>
                    </a:r>
                    <a:r>
                      <a:rPr lang="it-IT" sz="1100" b="0" i="0">
                        <a:latin typeface="Cambria Math" panose="02040503050406030204" pitchFamily="18" charset="0"/>
                      </a:rPr>
                      <a:t>𝑡_0 [</a:t>
                    </a:r>
                    <a:r>
                      <a:rPr lang="el-GR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Γ(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𝑤+1)−</a:t>
                    </a:r>
                    <a:r>
                      <a:rPr lang="el-GR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Γ(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𝑤+1,𝑡/𝑡_0 )]</a:t>
                    </a:r>
                    <a:endParaRPr lang="it-IT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9" name="CasellaDiTesto 8">
                    <a:extLst>
                      <a:ext uri="{FF2B5EF4-FFF2-40B4-BE49-F238E27FC236}">
                        <a16:creationId xmlns:a16="http://schemas.microsoft.com/office/drawing/2014/main" id="{A390F678-15DD-420F-A6FC-7C6C3ADC64E8}"/>
                      </a:ext>
                    </a:extLst>
                  </xdr:cNvPr>
                  <xdr:cNvSpPr txBox="1"/>
                </xdr:nvSpPr>
                <xdr:spPr>
                  <a:xfrm>
                    <a:off x="11056621" y="2775861"/>
                    <a:ext cx="1940922" cy="41365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𝑃</m:t>
                          </m:r>
                          <m:d>
                            <m:dPr>
                              <m:ctrlP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𝑡</m:t>
                              </m:r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;</m:t>
                              </m:r>
                              <m:sSub>
                                <m:sSubPr>
                                  <m:ctrlP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e>
                                <m:sub>
                                  <m: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0</m:t>
                                  </m:r>
                                </m:sub>
                              </m:sSub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,</m:t>
                              </m:r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𝑤</m:t>
                              </m:r>
                            </m:e>
                          </m:d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=</m:t>
                          </m:r>
                          <m:sSup>
                            <m:sSup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d>
                                <m:d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f>
                                    <m:f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den>
                                  </m:f>
                                </m:e>
                              </m:d>
                            </m:e>
                            <m:sup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𝑤</m:t>
                              </m:r>
                            </m:sup>
                          </m:sSup>
                          <m:sSup>
                            <m:sSup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den>
                                  </m:f>
                                </m:e>
                              </m:box>
                            </m:sup>
                          </m:sSup>
                        </m:oMath>
                      </m:oMathPara>
                    </a14:m>
                    <a:endParaRPr lang="it-IT" sz="160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9" name="CasellaDiTesto 8">
                    <a:extLst>
                      <a:ext uri="{FF2B5EF4-FFF2-40B4-BE49-F238E27FC236}">
                        <a16:creationId xmlns:a16="http://schemas.microsoft.com/office/drawing/2014/main" id="{A390F678-15DD-420F-A6FC-7C6C3ADC64E8}"/>
                      </a:ext>
                    </a:extLst>
                  </xdr:cNvPr>
                  <xdr:cNvSpPr txBox="1"/>
                </xdr:nvSpPr>
                <xdr:spPr>
                  <a:xfrm>
                    <a:off x="11056621" y="2775861"/>
                    <a:ext cx="1940922" cy="41365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it-IT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𝑃(𝑡;𝑡_0,𝑤)</a:t>
                    </a:r>
                    <a:r>
                      <a:rPr lang="it-IT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=</a:t>
                    </a:r>
                    <a:r>
                      <a:rPr lang="it-IT" sz="1100" b="0" i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(𝑡/𝑡_0 )^𝑤 𝑒^(− □(64&amp;𝑡/𝑡_0 ))</a:t>
                    </a:r>
                    <a:endParaRPr lang="it-IT" sz="160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endParaRPr>
                  </a:p>
                </xdr:txBody>
              </xdr:sp>
            </mc:Fallback>
          </mc:AlternateContent>
        </xdr:grp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0" name="CasellaDiTesto 9">
                <a:extLst>
                  <a:ext uri="{FF2B5EF4-FFF2-40B4-BE49-F238E27FC236}">
                    <a16:creationId xmlns:a16="http://schemas.microsoft.com/office/drawing/2014/main" id="{B30D753A-5C7F-4417-BF58-A48E02BEA488}"/>
                  </a:ext>
                </a:extLst>
              </xdr:cNvPr>
              <xdr:cNvSpPr txBox="1"/>
            </xdr:nvSpPr>
            <xdr:spPr>
              <a:xfrm>
                <a:off x="11734799" y="3733800"/>
                <a:ext cx="1153885" cy="17961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K</a:t>
                </a:r>
                <a14:m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m:rPr>
                        <m:sty m:val="p"/>
                      </m:rP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Γ</m:t>
                    </m:r>
                    <m:d>
                      <m:d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</m:t>
                        </m:r>
                      </m:e>
                    </m:d>
                  </m:oMath>
                </a14:m>
                <a:endParaRPr lang="it-IT" sz="1100"/>
              </a:p>
            </xdr:txBody>
          </xdr:sp>
        </mc:Choice>
        <mc:Fallback xmlns="">
          <xdr:sp macro="" textlink="">
            <xdr:nvSpPr>
              <xdr:cNvPr id="10" name="CasellaDiTesto 9">
                <a:extLst>
                  <a:ext uri="{FF2B5EF4-FFF2-40B4-BE49-F238E27FC236}">
                    <a16:creationId xmlns:a16="http://schemas.microsoft.com/office/drawing/2014/main" id="{B30D753A-5C7F-4417-BF58-A48E02BEA488}"/>
                  </a:ext>
                </a:extLst>
              </xdr:cNvPr>
              <xdr:cNvSpPr txBox="1"/>
            </xdr:nvSpPr>
            <xdr:spPr>
              <a:xfrm>
                <a:off x="11734799" y="3733800"/>
                <a:ext cx="1153885" cy="17961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K</a:t>
                </a:r>
                <a:r>
                  <a:rPr lang="it-IT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≈</a:t>
                </a:r>
                <a:r>
                  <a:rPr lang="it-IT" sz="1100" b="0" i="0">
                    <a:latin typeface="Cambria Math" panose="02040503050406030204" pitchFamily="18" charset="0"/>
                  </a:rPr>
                  <a:t>𝑡_0</a:t>
                </a:r>
                <a:r>
                  <a:rPr lang="el-GR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Γ(</a:t>
                </a:r>
                <a:r>
                  <a:rPr lang="it-IT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𝑤+1)</a:t>
                </a:r>
                <a:endParaRPr lang="it-IT" sz="1100"/>
              </a:p>
            </xdr:txBody>
          </xdr:sp>
        </mc:Fallback>
      </mc:AlternateContent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0.6939</cdr:x>
      <cdr:y>0.46292</cdr:y>
    </cdr:from>
    <cdr:to>
      <cdr:x>0.95734</cdr:x>
      <cdr:y>0.67637</cdr:y>
    </cdr:to>
    <cdr:sp macro="" textlink="">
      <cdr:nvSpPr>
        <cdr:cNvPr id="2" name="CasellaDiTesto 6">
          <a:extLst xmlns:a="http://schemas.openxmlformats.org/drawingml/2006/main">
            <a:ext uri="{FF2B5EF4-FFF2-40B4-BE49-F238E27FC236}">
              <a16:creationId xmlns:a16="http://schemas.microsoft.com/office/drawing/2014/main" id="{7E696076-8C22-4EC6-8C39-63B8E38294C1}"/>
            </a:ext>
          </a:extLst>
        </cdr:cNvPr>
        <cdr:cNvSpPr txBox="1"/>
      </cdr:nvSpPr>
      <cdr:spPr>
        <a:xfrm xmlns:a="http://schemas.openxmlformats.org/drawingml/2006/main">
          <a:off x="4814663" y="2838591"/>
          <a:ext cx="1827892" cy="130886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Cumulative deaths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K= 34821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6.09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7.06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0.9995</a:t>
          </a:r>
        </a:p>
        <a:p xmlns:a="http://schemas.openxmlformats.org/drawingml/2006/main"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212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740229</xdr:colOff>
      <xdr:row>2</xdr:row>
      <xdr:rowOff>152400</xdr:rowOff>
    </xdr:from>
    <xdr:ext cx="1981199" cy="4136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51ED4DB-D98F-4607-88B8-B2A5F5A5E99B}"/>
                </a:ext>
              </a:extLst>
            </xdr:cNvPr>
            <xdr:cNvSpPr txBox="1"/>
          </xdr:nvSpPr>
          <xdr:spPr>
            <a:xfrm>
              <a:off x="5355772" y="729343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51ED4DB-D98F-4607-88B8-B2A5F5A5E99B}"/>
                </a:ext>
              </a:extLst>
            </xdr:cNvPr>
            <xdr:cNvSpPr txBox="1"/>
          </xdr:nvSpPr>
          <xdr:spPr>
            <a:xfrm>
              <a:off x="5355772" y="729343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18</xdr:col>
      <xdr:colOff>7620</xdr:colOff>
      <xdr:row>5</xdr:row>
      <xdr:rowOff>0</xdr:rowOff>
    </xdr:from>
    <xdr:to>
      <xdr:col>29</xdr:col>
      <xdr:colOff>99060</xdr:colOff>
      <xdr:row>37</xdr:row>
      <xdr:rowOff>144780</xdr:rowOff>
    </xdr:to>
    <xdr:grpSp>
      <xdr:nvGrpSpPr>
        <xdr:cNvPr id="12" name="Gruppo 11">
          <a:extLst>
            <a:ext uri="{FF2B5EF4-FFF2-40B4-BE49-F238E27FC236}">
              <a16:creationId xmlns:a16="http://schemas.microsoft.com/office/drawing/2014/main" id="{444DAC1D-7761-4D25-8F3A-23225848A6E4}"/>
            </a:ext>
          </a:extLst>
        </xdr:cNvPr>
        <xdr:cNvGrpSpPr/>
      </xdr:nvGrpSpPr>
      <xdr:grpSpPr>
        <a:xfrm>
          <a:off x="13222877" y="1295400"/>
          <a:ext cx="6938554" cy="6349637"/>
          <a:chOff x="13222877" y="1284514"/>
          <a:chExt cx="6938554" cy="6131923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F5082D72-C1F7-4963-A285-6EBE98D385D7}"/>
              </a:ext>
            </a:extLst>
          </xdr:cNvPr>
          <xdr:cNvGraphicFramePr>
            <a:graphicFrameLocks/>
          </xdr:cNvGraphicFramePr>
        </xdr:nvGraphicFramePr>
        <xdr:xfrm>
          <a:off x="13222877" y="1284514"/>
          <a:ext cx="6938554" cy="613192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4" name="CasellaDiTesto 13">
                <a:extLst>
                  <a:ext uri="{FF2B5EF4-FFF2-40B4-BE49-F238E27FC236}">
                    <a16:creationId xmlns:a16="http://schemas.microsoft.com/office/drawing/2014/main" id="{CDABA8D7-058F-4FA1-868B-347C0B1C3351}"/>
                  </a:ext>
                </a:extLst>
              </xdr:cNvPr>
              <xdr:cNvSpPr txBox="1"/>
            </xdr:nvSpPr>
            <xdr:spPr>
              <a:xfrm>
                <a:off x="14684829" y="2460172"/>
                <a:ext cx="1981199" cy="41365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𝑦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sSup>
                        <m:sSupPr>
                          <m:ctrlP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f>
                                <m:f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num>
                                <m:den>
                                  <m:sSub>
                                    <m:sSub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e>
                                    <m:sub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d>
                        </m:e>
                        <m:sup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𝑤</m:t>
                          </m:r>
                        </m:sup>
                      </m:sSup>
                      <m:sSup>
                        <m:sSupPr>
                          <m:ctrlP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 </m:t>
                          </m:r>
                          <m:box>
                            <m:box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boxPr>
                            <m:e>
                              <m:argPr>
                                <m:argSz m:val="-1"/>
                              </m:argPr>
                              <m:f>
                                <m:f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num>
                                <m:den>
                                  <m:sSub>
                                    <m:sSub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e>
                                    <m:sub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box>
                        </m:sup>
                      </m:sSup>
                    </m:oMath>
                  </m:oMathPara>
                </a14:m>
                <a:endParaRPr lang="it-IT" sz="16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14" name="CasellaDiTesto 13">
                <a:extLst>
                  <a:ext uri="{FF2B5EF4-FFF2-40B4-BE49-F238E27FC236}">
                    <a16:creationId xmlns:a16="http://schemas.microsoft.com/office/drawing/2014/main" id="{CDABA8D7-058F-4FA1-868B-347C0B1C3351}"/>
                  </a:ext>
                </a:extLst>
              </xdr:cNvPr>
              <xdr:cNvSpPr txBox="1"/>
            </xdr:nvSpPr>
            <xdr:spPr>
              <a:xfrm>
                <a:off x="14684829" y="2460172"/>
                <a:ext cx="1981199" cy="41365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𝑦</a:t>
                </a:r>
                <a:r>
                  <a:rPr lang="it-IT" sz="1400" b="0" i="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=</a:t>
                </a:r>
                <a:r>
                  <a:rPr lang="it-IT" sz="1100" b="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(𝑡/𝑡_0 )^𝑤 𝑒^(− □(64&amp;𝑡/𝑡_0 ))</a:t>
                </a:r>
                <a:endParaRPr lang="it-IT" sz="16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sp macro="" textlink="">
        <xdr:nvSpPr>
          <xdr:cNvPr id="15" name="CasellaDiTesto 14">
            <a:extLst>
              <a:ext uri="{FF2B5EF4-FFF2-40B4-BE49-F238E27FC236}">
                <a16:creationId xmlns:a16="http://schemas.microsoft.com/office/drawing/2014/main" id="{ECEDAA15-C068-479E-B2FB-BC15E3292245}"/>
              </a:ext>
            </a:extLst>
          </xdr:cNvPr>
          <xdr:cNvSpPr txBox="1"/>
        </xdr:nvSpPr>
        <xdr:spPr>
          <a:xfrm>
            <a:off x="13650686" y="3450771"/>
            <a:ext cx="1981200" cy="138329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4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New cases detected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Peak value=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5541, </a:t>
            </a:r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t-Peak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= 35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1" i="1" u="none" strike="noStrike" baseline="-2500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4.40</a:t>
            </a:r>
            <a:endParaRPr lang="it-IT" b="1">
              <a:solidFill>
                <a:srgbClr val="0070C0"/>
              </a:solidFill>
            </a:endParaRP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7.99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>
                <a:solidFill>
                  <a:srgbClr val="0070C0"/>
                </a:solidFill>
              </a:rPr>
              <a:t>R</a:t>
            </a:r>
            <a:r>
              <a:rPr lang="it-IT" sz="1100" b="1" i="1" baseline="30000">
                <a:solidFill>
                  <a:srgbClr val="0070C0"/>
                </a:solidFill>
              </a:rPr>
              <a:t>2</a:t>
            </a:r>
            <a:r>
              <a:rPr lang="it-IT" sz="1100" b="1" baseline="0">
                <a:solidFill>
                  <a:srgbClr val="0070C0"/>
                </a:solidFill>
              </a:rPr>
              <a:t>= 0.9551</a:t>
            </a:r>
          </a:p>
          <a:p>
            <a:r>
              <a:rPr lang="it-IT" sz="1100" b="1" i="1" baseline="0">
                <a:solidFill>
                  <a:srgbClr val="0070C0"/>
                </a:solidFill>
              </a:rPr>
              <a:t>CI</a:t>
            </a:r>
            <a:r>
              <a:rPr lang="it-IT" sz="1100" b="1" baseline="0">
                <a:solidFill>
                  <a:srgbClr val="0070C0"/>
                </a:solidFill>
              </a:rPr>
              <a:t>= 973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it-IT" sz="1100" b="1" i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= Feb 20th)</a:t>
            </a:r>
            <a:endParaRPr lang="it-IT" b="1">
              <a:solidFill>
                <a:srgbClr val="0070C0"/>
              </a:solidFill>
              <a:effectLst/>
            </a:endParaRPr>
          </a:p>
          <a:p>
            <a:endParaRPr lang="it-IT" sz="1100" baseline="30000"/>
          </a:p>
        </xdr:txBody>
      </xdr:sp>
      <xdr:sp macro="" textlink="">
        <xdr:nvSpPr>
          <xdr:cNvPr id="6" name="CasellaDiTesto 5">
            <a:extLst>
              <a:ext uri="{FF2B5EF4-FFF2-40B4-BE49-F238E27FC236}">
                <a16:creationId xmlns:a16="http://schemas.microsoft.com/office/drawing/2014/main" id="{85F4D146-173D-4403-9F37-59A053CC9E63}"/>
              </a:ext>
            </a:extLst>
          </xdr:cNvPr>
          <xdr:cNvSpPr txBox="1"/>
        </xdr:nvSpPr>
        <xdr:spPr>
          <a:xfrm>
            <a:off x="17885228" y="4354285"/>
            <a:ext cx="1827940" cy="13498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400" b="1" i="1" u="none" strike="noStrike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Daily</a:t>
            </a:r>
            <a:r>
              <a:rPr lang="it-IT" sz="1400" b="1" i="1" u="none" strike="noStrike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new deaths</a:t>
            </a:r>
            <a:endPara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it-IT" sz="1100" b="1" i="1" u="none" strike="noStrike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Peak value=</a:t>
            </a:r>
            <a:r>
              <a:rPr lang="it-IT" b="1">
                <a:solidFill>
                  <a:srgbClr val="FF0000"/>
                </a:solidFill>
              </a:rPr>
              <a:t> </a:t>
            </a:r>
            <a:r>
              <a:rPr lang="it-IT" sz="1100" b="1" i="0" u="none" strike="noStrike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801, </a:t>
            </a:r>
            <a:r>
              <a:rPr lang="it-IT" sz="1100" b="1" i="1" u="none" strike="noStrike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t-Peak</a:t>
            </a:r>
            <a:r>
              <a:rPr lang="it-IT" sz="1100" b="1" i="0" u="none" strike="noStrike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= 42</a:t>
            </a:r>
            <a:r>
              <a:rPr lang="it-IT" b="1">
                <a:solidFill>
                  <a:srgbClr val="FF0000"/>
                </a:solidFill>
              </a:rPr>
              <a:t> </a:t>
            </a:r>
          </a:p>
          <a:p>
            <a:r>
              <a:rPr lang="it-IT" sz="1100" b="1" i="1" u="none" strike="noStrike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1" i="1" u="none" strike="noStrike" baseline="-250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1" i="1" u="none" strike="noStrike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 b="1">
                <a:solidFill>
                  <a:srgbClr val="FF0000"/>
                </a:solidFill>
              </a:rPr>
              <a:t> </a:t>
            </a:r>
            <a:r>
              <a:rPr lang="it-IT" sz="1100" b="1" i="0" u="none" strike="noStrike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6.00</a:t>
            </a:r>
            <a:endParaRPr lang="it-IT" b="1">
              <a:solidFill>
                <a:srgbClr val="FF0000"/>
              </a:solidFill>
            </a:endParaRPr>
          </a:p>
          <a:p>
            <a:r>
              <a:rPr lang="it-IT" sz="1100" b="1" i="1" u="none" strike="noStrike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 b="1">
                <a:solidFill>
                  <a:srgbClr val="FF0000"/>
                </a:solidFill>
              </a:rPr>
              <a:t> </a:t>
            </a:r>
            <a:r>
              <a:rPr lang="it-IT" sz="1100" b="1" i="0" u="none" strike="noStrike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7.03</a:t>
            </a:r>
            <a:r>
              <a:rPr lang="it-IT" b="1">
                <a:solidFill>
                  <a:srgbClr val="FF0000"/>
                </a:solidFill>
              </a:rPr>
              <a:t> </a:t>
            </a:r>
          </a:p>
          <a:p>
            <a:r>
              <a:rPr lang="it-IT" sz="1100" b="1" i="1">
                <a:solidFill>
                  <a:srgbClr val="FF0000"/>
                </a:solidFill>
              </a:rPr>
              <a:t>R</a:t>
            </a:r>
            <a:r>
              <a:rPr lang="it-IT" sz="1100" b="1" i="1" baseline="30000">
                <a:solidFill>
                  <a:srgbClr val="FF0000"/>
                </a:solidFill>
              </a:rPr>
              <a:t>2</a:t>
            </a:r>
            <a:r>
              <a:rPr lang="it-IT" sz="1100" b="1" baseline="0">
                <a:solidFill>
                  <a:srgbClr val="FF0000"/>
                </a:solidFill>
              </a:rPr>
              <a:t>= 0.9614</a:t>
            </a:r>
          </a:p>
          <a:p>
            <a:r>
              <a:rPr lang="it-IT" sz="1100" b="1" i="1" baseline="0">
                <a:solidFill>
                  <a:srgbClr val="FF0000"/>
                </a:solidFill>
              </a:rPr>
              <a:t>CI</a:t>
            </a:r>
            <a:r>
              <a:rPr lang="it-IT" sz="1100" b="1" baseline="0">
                <a:solidFill>
                  <a:srgbClr val="FF0000"/>
                </a:solidFill>
              </a:rPr>
              <a:t>= 133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it-IT" sz="11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="1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= Feb 20th)</a:t>
            </a:r>
            <a:endParaRPr lang="it-IT" b="1">
              <a:solidFill>
                <a:srgbClr val="FF0000"/>
              </a:solidFill>
              <a:effectLst/>
            </a:endParaRPr>
          </a:p>
          <a:p>
            <a:endParaRPr lang="it-IT" sz="1100" baseline="30000"/>
          </a:p>
        </xdr:txBody>
      </xdr:sp>
      <xdr:cxnSp macro="">
        <xdr:nvCxnSpPr>
          <xdr:cNvPr id="4" name="Connettore diritto 3">
            <a:extLst>
              <a:ext uri="{FF2B5EF4-FFF2-40B4-BE49-F238E27FC236}">
                <a16:creationId xmlns:a16="http://schemas.microsoft.com/office/drawing/2014/main" id="{836618B2-B830-40A6-8774-ED9E4AFDDF7D}"/>
              </a:ext>
            </a:extLst>
          </xdr:cNvPr>
          <xdr:cNvCxnSpPr/>
        </xdr:nvCxnSpPr>
        <xdr:spPr>
          <a:xfrm flipV="1">
            <a:off x="13672457" y="3189515"/>
            <a:ext cx="3570514" cy="2177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Connettore diritto 8">
            <a:extLst>
              <a:ext uri="{FF2B5EF4-FFF2-40B4-BE49-F238E27FC236}">
                <a16:creationId xmlns:a16="http://schemas.microsoft.com/office/drawing/2014/main" id="{D0546A43-C9CC-4D68-8CF5-1BC82D2EFA6A}"/>
              </a:ext>
            </a:extLst>
          </xdr:cNvPr>
          <xdr:cNvCxnSpPr/>
        </xdr:nvCxnSpPr>
        <xdr:spPr>
          <a:xfrm flipV="1">
            <a:off x="13672446" y="5769429"/>
            <a:ext cx="4288983" cy="10889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8" name="CasellaDiTesto 7">
                <a:extLst>
                  <a:ext uri="{FF2B5EF4-FFF2-40B4-BE49-F238E27FC236}">
                    <a16:creationId xmlns:a16="http://schemas.microsoft.com/office/drawing/2014/main" id="{5895920E-01C1-4B98-B2D1-CF203D6510D8}"/>
                  </a:ext>
                </a:extLst>
              </xdr:cNvPr>
              <xdr:cNvSpPr txBox="1"/>
            </xdr:nvSpPr>
            <xdr:spPr>
              <a:xfrm>
                <a:off x="14097000" y="3031672"/>
                <a:ext cx="482504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p>
                        <m:sSupPr>
                          <m:ctrlPr>
                            <a:rPr lang="it-IT" sz="110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𝑤</m:t>
                          </m:r>
                        </m:e>
                        <m:sup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𝑤</m:t>
                          </m:r>
                        </m:sup>
                      </m:sSup>
                      <m:sSup>
                        <m:sSupPr>
                          <m:ctrlPr>
                            <a:rPr lang="it-IT" sz="110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𝑒</m:t>
                          </m:r>
                        </m:e>
                        <m:sup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𝑤</m:t>
                          </m:r>
                        </m:sup>
                      </m:sSup>
                    </m:oMath>
                  </m:oMathPara>
                </a14:m>
                <a:endParaRPr lang="it-IT" sz="1100"/>
              </a:p>
            </xdr:txBody>
          </xdr:sp>
        </mc:Choice>
        <mc:Fallback xmlns="">
          <xdr:sp macro="" textlink="">
            <xdr:nvSpPr>
              <xdr:cNvPr id="8" name="CasellaDiTesto 7">
                <a:extLst>
                  <a:ext uri="{FF2B5EF4-FFF2-40B4-BE49-F238E27FC236}">
                    <a16:creationId xmlns:a16="http://schemas.microsoft.com/office/drawing/2014/main" id="{5895920E-01C1-4B98-B2D1-CF203D6510D8}"/>
                  </a:ext>
                </a:extLst>
              </xdr:cNvPr>
              <xdr:cNvSpPr txBox="1"/>
            </xdr:nvSpPr>
            <xdr:spPr>
              <a:xfrm>
                <a:off x="14097000" y="3031672"/>
                <a:ext cx="482504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it-IT" sz="1100" b="0" i="0">
                    <a:latin typeface="Cambria Math" panose="02040503050406030204" pitchFamily="18" charset="0"/>
                  </a:rPr>
                  <a:t>𝑤^𝑤 𝑒^(−𝑤)</a:t>
                </a:r>
                <a:endParaRPr lang="it-IT" sz="1100"/>
              </a:p>
            </xdr:txBody>
          </xdr:sp>
        </mc:Fallback>
      </mc:AlternateContent>
      <xdr:cxnSp macro="">
        <xdr:nvCxnSpPr>
          <xdr:cNvPr id="11" name="Connettore diritto 10">
            <a:extLst>
              <a:ext uri="{FF2B5EF4-FFF2-40B4-BE49-F238E27FC236}">
                <a16:creationId xmlns:a16="http://schemas.microsoft.com/office/drawing/2014/main" id="{DDFC7A15-B69B-4CD7-B81E-FAC3BF21CE85}"/>
              </a:ext>
            </a:extLst>
          </xdr:cNvPr>
          <xdr:cNvCxnSpPr/>
        </xdr:nvCxnSpPr>
        <xdr:spPr>
          <a:xfrm>
            <a:off x="16807547" y="3048006"/>
            <a:ext cx="2" cy="318951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7" name="CasellaDiTesto 16">
                <a:extLst>
                  <a:ext uri="{FF2B5EF4-FFF2-40B4-BE49-F238E27FC236}">
                    <a16:creationId xmlns:a16="http://schemas.microsoft.com/office/drawing/2014/main" id="{AD809589-4D0F-4389-B226-C88339652BEA}"/>
                  </a:ext>
                </a:extLst>
              </xdr:cNvPr>
              <xdr:cNvSpPr txBox="1"/>
            </xdr:nvSpPr>
            <xdr:spPr>
              <a:xfrm>
                <a:off x="16709572" y="6286500"/>
                <a:ext cx="259174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𝑤</m:t>
                      </m:r>
                      <m:sSub>
                        <m:sSubPr>
                          <m:ctrlPr>
                            <a:rPr lang="it-IT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e>
                        <m:sub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0</m:t>
                          </m:r>
                        </m:sub>
                      </m:sSub>
                    </m:oMath>
                  </m:oMathPara>
                </a14:m>
                <a:endParaRPr lang="it-IT" sz="1100"/>
              </a:p>
            </xdr:txBody>
          </xdr:sp>
        </mc:Choice>
        <mc:Fallback xmlns="">
          <xdr:sp macro="" textlink="">
            <xdr:nvSpPr>
              <xdr:cNvPr id="17" name="CasellaDiTesto 16">
                <a:extLst>
                  <a:ext uri="{FF2B5EF4-FFF2-40B4-BE49-F238E27FC236}">
                    <a16:creationId xmlns:a16="http://schemas.microsoft.com/office/drawing/2014/main" id="{AD809589-4D0F-4389-B226-C88339652BEA}"/>
                  </a:ext>
                </a:extLst>
              </xdr:cNvPr>
              <xdr:cNvSpPr txBox="1"/>
            </xdr:nvSpPr>
            <xdr:spPr>
              <a:xfrm>
                <a:off x="16709572" y="6286500"/>
                <a:ext cx="259174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it-IT" sz="1100" b="0" i="0">
                    <a:latin typeface="Cambria Math" panose="02040503050406030204" pitchFamily="18" charset="0"/>
                  </a:rPr>
                  <a:t>𝑤𝑡_0</a:t>
                </a:r>
                <a:endParaRPr lang="it-IT" sz="1100"/>
              </a:p>
            </xdr:txBody>
          </xdr:sp>
        </mc:Fallback>
      </mc:AlternateContent>
      <xdr:cxnSp macro="">
        <xdr:nvCxnSpPr>
          <xdr:cNvPr id="5" name="Connettore diritto 4">
            <a:extLst>
              <a:ext uri="{FF2B5EF4-FFF2-40B4-BE49-F238E27FC236}">
                <a16:creationId xmlns:a16="http://schemas.microsoft.com/office/drawing/2014/main" id="{BF9F2F52-415C-480C-A95F-0C75E8B05FF6}"/>
              </a:ext>
            </a:extLst>
          </xdr:cNvPr>
          <xdr:cNvCxnSpPr/>
        </xdr:nvCxnSpPr>
        <xdr:spPr>
          <a:xfrm>
            <a:off x="17526004" y="5758543"/>
            <a:ext cx="0" cy="489857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C6F43282-B674-4784-8686-F2035C7A1AE8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A59D82-5043-4877-A71E-47017D5BEBEC}" name="dpc_covid19_ita_andamento_nazionale__8" displayName="dpc_covid19_ita_andamento_nazionale__8" ref="A1:O42" tableType="queryTable" totalsRowShown="0">
  <autoFilter ref="A1:O42" xr:uid="{585C8A93-1E61-447A-BFA1-CBAD2F369C2C}"/>
  <tableColumns count="15">
    <tableColumn id="1" xr3:uid="{89AC5C3E-B3BF-4789-A368-8CE8A0A18199}" uniqueName="1" name="data" queryTableFieldId="1" dataDxfId="3"/>
    <tableColumn id="2" xr3:uid="{E0495A67-8083-47BA-B8EF-AC09A4AA1AED}" uniqueName="2" name="stato" queryTableFieldId="2" dataDxfId="2"/>
    <tableColumn id="3" xr3:uid="{1437AA6C-9D48-420D-9F20-0B2F1ABB7C76}" uniqueName="3" name="ricoverati_con_sintomi" queryTableFieldId="3"/>
    <tableColumn id="4" xr3:uid="{ED210980-03ED-45DE-8355-F1481076D885}" uniqueName="4" name="terapia_intensiva" queryTableFieldId="4"/>
    <tableColumn id="5" xr3:uid="{9EE2C770-05C5-4B88-BE4B-1C9993CF2F1C}" uniqueName="5" name="totale_ospedalizzati" queryTableFieldId="5"/>
    <tableColumn id="6" xr3:uid="{AE227A4D-6681-4558-BD0F-B69F7A3C2271}" uniqueName="6" name="isolamento_domiciliare" queryTableFieldId="6"/>
    <tableColumn id="7" xr3:uid="{3DF10501-D98F-4592-AA11-1FFC9F3270C1}" uniqueName="7" name="totale_positivi" queryTableFieldId="7"/>
    <tableColumn id="8" xr3:uid="{3DDC6618-FE4D-4500-9219-C8FAEDFD2EA1}" uniqueName="8" name="variazione_totale_positivi" queryTableFieldId="8"/>
    <tableColumn id="9" xr3:uid="{FE8F11A8-A084-404A-9980-F1AB999263BA}" uniqueName="9" name="nuovi_positivi" queryTableFieldId="9"/>
    <tableColumn id="10" xr3:uid="{D72B38E9-0B16-444C-9647-58F6B5CD2D31}" uniqueName="10" name="dimessi_guariti" queryTableFieldId="10"/>
    <tableColumn id="11" xr3:uid="{69770D2C-7B59-4EAD-A7CD-AFE9FACAAEC0}" uniqueName="11" name="deceduti" queryTableFieldId="11"/>
    <tableColumn id="12" xr3:uid="{218FC5CC-7EC1-4568-9A94-5A56A89B441D}" uniqueName="12" name="totale_casi" queryTableFieldId="12"/>
    <tableColumn id="13" xr3:uid="{3C339D34-898E-4BFA-BC76-5F3B2B696EAD}" uniqueName="13" name="tamponi" queryTableFieldId="13"/>
    <tableColumn id="14" xr3:uid="{66E9AA5C-E250-4A09-BAEF-74FDDF70583F}" uniqueName="14" name="note_it" queryTableFieldId="14" dataDxfId="1"/>
    <tableColumn id="15" xr3:uid="{48D285DA-5CFF-4CA3-B250-3EB265920596}" uniqueName="15" name="note_en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1" dT="2020-03-21T22:11:56.31" personId="{46504131-ADD3-4530-BCC7-16E4FED1C2C4}" id="{6AE41525-C545-4B83-8686-2D973E356B51}">
    <text>red zone</text>
  </threadedComment>
  <threadedComment ref="B17" dT="2020-03-21T22:12:51.46" personId="{46504131-ADD3-4530-BCC7-16E4FED1C2C4}" id="{D1C5CD7B-740D-43CC-A2B1-661E9701F950}">
    <text>partial lockdown (north)</text>
  </threadedComment>
  <threadedComment ref="B21" dT="2020-03-21T22:13:52.19" personId="{46504131-ADD3-4530-BCC7-16E4FED1C2C4}" id="{D6513010-1C40-479E-8D93-3E5E664A5DD3}">
    <text>school closure (Italy)</text>
  </threadedComment>
  <threadedComment ref="B24" dT="2020-03-21T22:14:24.84" personId="{46504131-ADD3-4530-BCC7-16E4FED1C2C4}" id="{D716A400-1BA0-4A74-B84E-CB03860A1D57}">
    <text>lockdown (north)</text>
  </threadedComment>
  <threadedComment ref="B26" dT="2020-03-21T22:14:52.14" personId="{46504131-ADD3-4530-BCC7-16E4FED1C2C4}" id="{7162E970-0C82-40C0-9D82-4DB3CD06F48A}">
    <text>partial lockdown (Italy)</text>
  </threadedComment>
  <threadedComment ref="B28" dT="2020-03-21T22:15:16.77" personId="{46504131-ADD3-4530-BCC7-16E4FED1C2C4}" id="{ABA66A1D-C810-456B-991F-51AB6F2F5F4A}">
    <text>lockdown (Italy)</text>
  </threadedComment>
  <threadedComment ref="B39" dT="2020-03-23T21:41:16.67" personId="{46504131-ADD3-4530-BCC7-16E4FED1C2C4}" id="{8DD349DE-7478-43D5-9443-337E52D93429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1" dT="2020-03-21T22:11:56.31" personId="{46504131-ADD3-4530-BCC7-16E4FED1C2C4}" id="{5FD8839A-74E9-44C2-B5F2-F977D0EA3D98}">
    <text>red zone</text>
  </threadedComment>
  <threadedComment ref="B17" dT="2020-03-21T22:12:51.46" personId="{46504131-ADD3-4530-BCC7-16E4FED1C2C4}" id="{95B83D2D-5EDB-4C8F-91A8-36D622D74B5B}">
    <text>partial lockdown (north)</text>
  </threadedComment>
  <threadedComment ref="B21" dT="2020-03-21T22:13:52.19" personId="{46504131-ADD3-4530-BCC7-16E4FED1C2C4}" id="{FB6547ED-429A-49D7-8367-DE2107BFB931}">
    <text>school closure (Italy)</text>
  </threadedComment>
  <threadedComment ref="B24" dT="2020-03-21T22:14:24.84" personId="{46504131-ADD3-4530-BCC7-16E4FED1C2C4}" id="{18DCC697-BA7F-479A-8641-1D7FCDC0672D}">
    <text>lockdown (north)</text>
  </threadedComment>
  <threadedComment ref="B26" dT="2020-03-21T22:14:52.14" personId="{46504131-ADD3-4530-BCC7-16E4FED1C2C4}" id="{5FB23112-C2D9-44D1-9DAD-0448A5341B10}">
    <text>partial lockdown (Italy)</text>
  </threadedComment>
  <threadedComment ref="B28" dT="2020-03-21T22:15:16.77" personId="{46504131-ADD3-4530-BCC7-16E4FED1C2C4}" id="{90A59D2F-F1E2-4415-85BD-E03CA55CB6FA}">
    <text>lockdown (Italy)</text>
  </threadedComment>
  <threadedComment ref="B39" dT="2020-03-23T21:41:16.67" personId="{46504131-ADD3-4530-BCC7-16E4FED1C2C4}" id="{0E1A0D26-B3B0-42D1-A5BA-750B79DBB49F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42"/>
  <sheetViews>
    <sheetView topLeftCell="A19"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50</v>
      </c>
      <c r="H1" t="s">
        <v>51</v>
      </c>
      <c r="I1" t="s">
        <v>52</v>
      </c>
      <c r="J1" t="s">
        <v>18</v>
      </c>
      <c r="K1" t="s">
        <v>19</v>
      </c>
      <c r="L1" t="s">
        <v>20</v>
      </c>
      <c r="M1" t="s">
        <v>21</v>
      </c>
      <c r="N1" t="s">
        <v>27</v>
      </c>
      <c r="O1" t="s">
        <v>28</v>
      </c>
    </row>
    <row r="2" spans="1:15" x14ac:dyDescent="0.3">
      <c r="A2" s="18">
        <v>43885.75</v>
      </c>
      <c r="B2" s="17" t="s">
        <v>22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7" t="s">
        <v>29</v>
      </c>
      <c r="O2" s="17" t="s">
        <v>29</v>
      </c>
    </row>
    <row r="3" spans="1:15" x14ac:dyDescent="0.3">
      <c r="A3" s="18">
        <v>43886.75</v>
      </c>
      <c r="B3" s="17" t="s">
        <v>22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7" t="s">
        <v>29</v>
      </c>
      <c r="O3" s="17" t="s">
        <v>29</v>
      </c>
    </row>
    <row r="4" spans="1:15" x14ac:dyDescent="0.3">
      <c r="A4" s="18">
        <v>43887.75</v>
      </c>
      <c r="B4" s="17" t="s">
        <v>22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7" t="s">
        <v>29</v>
      </c>
      <c r="O4" s="17" t="s">
        <v>29</v>
      </c>
    </row>
    <row r="5" spans="1:15" x14ac:dyDescent="0.3">
      <c r="A5" s="18">
        <v>43888.75</v>
      </c>
      <c r="B5" s="17" t="s">
        <v>22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7" t="s">
        <v>29</v>
      </c>
      <c r="O5" s="17" t="s">
        <v>29</v>
      </c>
    </row>
    <row r="6" spans="1:15" x14ac:dyDescent="0.3">
      <c r="A6" s="18">
        <v>43889.75</v>
      </c>
      <c r="B6" s="17" t="s">
        <v>22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7" t="s">
        <v>29</v>
      </c>
      <c r="O6" s="17" t="s">
        <v>29</v>
      </c>
    </row>
    <row r="7" spans="1:15" x14ac:dyDescent="0.3">
      <c r="A7" s="18">
        <v>43890.75</v>
      </c>
      <c r="B7" s="17" t="s">
        <v>22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7" t="s">
        <v>29</v>
      </c>
      <c r="O7" s="17" t="s">
        <v>29</v>
      </c>
    </row>
    <row r="8" spans="1:15" x14ac:dyDescent="0.3">
      <c r="A8" s="18">
        <v>43891.75</v>
      </c>
      <c r="B8" s="17" t="s">
        <v>22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7" t="s">
        <v>29</v>
      </c>
      <c r="O8" s="17" t="s">
        <v>29</v>
      </c>
    </row>
    <row r="9" spans="1:15" x14ac:dyDescent="0.3">
      <c r="A9" s="18">
        <v>43892.75</v>
      </c>
      <c r="B9" s="17" t="s">
        <v>22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7" t="s">
        <v>29</v>
      </c>
      <c r="O9" s="17" t="s">
        <v>29</v>
      </c>
    </row>
    <row r="10" spans="1:15" x14ac:dyDescent="0.3">
      <c r="A10" s="18">
        <v>43893.75</v>
      </c>
      <c r="B10" s="17" t="s">
        <v>22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7" t="s">
        <v>29</v>
      </c>
      <c r="O10" s="17" t="s">
        <v>29</v>
      </c>
    </row>
    <row r="11" spans="1:15" x14ac:dyDescent="0.3">
      <c r="A11" s="18">
        <v>43894.75</v>
      </c>
      <c r="B11" s="17" t="s">
        <v>22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7" t="s">
        <v>29</v>
      </c>
      <c r="O11" s="17" t="s">
        <v>29</v>
      </c>
    </row>
    <row r="12" spans="1:15" x14ac:dyDescent="0.3">
      <c r="A12" s="18">
        <v>43895.75</v>
      </c>
      <c r="B12" s="17" t="s">
        <v>22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7" t="s">
        <v>29</v>
      </c>
      <c r="O12" s="17" t="s">
        <v>29</v>
      </c>
    </row>
    <row r="13" spans="1:15" x14ac:dyDescent="0.3">
      <c r="A13" s="18">
        <v>43896.75</v>
      </c>
      <c r="B13" s="17" t="s">
        <v>22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7" t="s">
        <v>29</v>
      </c>
      <c r="O13" s="17" t="s">
        <v>29</v>
      </c>
    </row>
    <row r="14" spans="1:15" x14ac:dyDescent="0.3">
      <c r="A14" s="18">
        <v>43897.75</v>
      </c>
      <c r="B14" s="17" t="s">
        <v>22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7" t="s">
        <v>30</v>
      </c>
      <c r="O14" s="17" t="s">
        <v>31</v>
      </c>
    </row>
    <row r="15" spans="1:15" x14ac:dyDescent="0.3">
      <c r="A15" s="18">
        <v>43898.75</v>
      </c>
      <c r="B15" s="17" t="s">
        <v>22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7" t="s">
        <v>29</v>
      </c>
      <c r="O15" s="17" t="s">
        <v>29</v>
      </c>
    </row>
    <row r="16" spans="1:15" x14ac:dyDescent="0.3">
      <c r="A16" s="18">
        <v>43899.75</v>
      </c>
      <c r="B16" s="17" t="s">
        <v>22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7" t="s">
        <v>29</v>
      </c>
      <c r="O16" s="17" t="s">
        <v>29</v>
      </c>
    </row>
    <row r="17" spans="1:15" x14ac:dyDescent="0.3">
      <c r="A17" s="18">
        <v>43900.75</v>
      </c>
      <c r="B17" s="17" t="s">
        <v>22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7" t="s">
        <v>32</v>
      </c>
      <c r="O17" s="17" t="s">
        <v>33</v>
      </c>
    </row>
    <row r="18" spans="1:15" x14ac:dyDescent="0.3">
      <c r="A18" s="18">
        <v>43901.708333333336</v>
      </c>
      <c r="B18" s="17" t="s">
        <v>22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7" t="s">
        <v>34</v>
      </c>
      <c r="O18" s="17" t="s">
        <v>35</v>
      </c>
    </row>
    <row r="19" spans="1:15" x14ac:dyDescent="0.3">
      <c r="A19" s="18">
        <v>43902.708333333336</v>
      </c>
      <c r="B19" s="17" t="s">
        <v>22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7" t="s">
        <v>29</v>
      </c>
      <c r="O19" s="17" t="s">
        <v>29</v>
      </c>
    </row>
    <row r="20" spans="1:15" x14ac:dyDescent="0.3">
      <c r="A20" s="18">
        <v>43903.708333333336</v>
      </c>
      <c r="B20" s="17" t="s">
        <v>22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7" t="s">
        <v>29</v>
      </c>
      <c r="O20" s="17" t="s">
        <v>29</v>
      </c>
    </row>
    <row r="21" spans="1:15" x14ac:dyDescent="0.3">
      <c r="A21" s="18">
        <v>43904.708333333336</v>
      </c>
      <c r="B21" s="17" t="s">
        <v>22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7" t="s">
        <v>29</v>
      </c>
      <c r="O21" s="17" t="s">
        <v>29</v>
      </c>
    </row>
    <row r="22" spans="1:15" x14ac:dyDescent="0.3">
      <c r="A22" s="18">
        <v>43905.708333333336</v>
      </c>
      <c r="B22" s="17" t="s">
        <v>22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7" t="s">
        <v>29</v>
      </c>
      <c r="O22" s="17" t="s">
        <v>29</v>
      </c>
    </row>
    <row r="23" spans="1:15" x14ac:dyDescent="0.3">
      <c r="A23" s="18">
        <v>43906.708333333336</v>
      </c>
      <c r="B23" s="17" t="s">
        <v>22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7" t="s">
        <v>36</v>
      </c>
      <c r="O23" s="17" t="s">
        <v>37</v>
      </c>
    </row>
    <row r="24" spans="1:15" x14ac:dyDescent="0.3">
      <c r="A24" s="18">
        <v>43907.708333333336</v>
      </c>
      <c r="B24" s="17" t="s">
        <v>22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7" t="s">
        <v>38</v>
      </c>
      <c r="O24" s="17" t="s">
        <v>39</v>
      </c>
    </row>
    <row r="25" spans="1:15" x14ac:dyDescent="0.3">
      <c r="A25" s="18">
        <v>43908.708333333336</v>
      </c>
      <c r="B25" s="17" t="s">
        <v>22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7" t="s">
        <v>40</v>
      </c>
      <c r="O25" s="17" t="s">
        <v>41</v>
      </c>
    </row>
    <row r="26" spans="1:15" x14ac:dyDescent="0.3">
      <c r="A26" s="18">
        <v>43909.708333333336</v>
      </c>
      <c r="B26" s="17" t="s">
        <v>22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7" t="s">
        <v>29</v>
      </c>
      <c r="O26" s="17" t="s">
        <v>29</v>
      </c>
    </row>
    <row r="27" spans="1:15" x14ac:dyDescent="0.3">
      <c r="A27" s="18">
        <v>43910.708333333336</v>
      </c>
      <c r="B27" s="17" t="s">
        <v>22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7" t="s">
        <v>29</v>
      </c>
      <c r="O27" s="17" t="s">
        <v>29</v>
      </c>
    </row>
    <row r="28" spans="1:15" x14ac:dyDescent="0.3">
      <c r="A28" s="18">
        <v>43911.708333333336</v>
      </c>
      <c r="B28" s="17" t="s">
        <v>22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7" t="s">
        <v>29</v>
      </c>
      <c r="O28" s="17" t="s">
        <v>29</v>
      </c>
    </row>
    <row r="29" spans="1:15" x14ac:dyDescent="0.3">
      <c r="A29" s="18">
        <v>43912.708333333336</v>
      </c>
      <c r="B29" s="17" t="s">
        <v>22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7" t="s">
        <v>29</v>
      </c>
      <c r="O29" s="17" t="s">
        <v>29</v>
      </c>
    </row>
    <row r="30" spans="1:15" x14ac:dyDescent="0.3">
      <c r="A30" s="18">
        <v>43913.708333333336</v>
      </c>
      <c r="B30" s="17" t="s">
        <v>22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7" t="s">
        <v>29</v>
      </c>
      <c r="O30" s="17" t="s">
        <v>29</v>
      </c>
    </row>
    <row r="31" spans="1:15" x14ac:dyDescent="0.3">
      <c r="A31" s="18">
        <v>43914.708333333336</v>
      </c>
      <c r="B31" s="17" t="s">
        <v>22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7" t="s">
        <v>29</v>
      </c>
      <c r="O31" s="17" t="s">
        <v>29</v>
      </c>
    </row>
    <row r="32" spans="1:15" x14ac:dyDescent="0.3">
      <c r="A32" s="18">
        <v>43915.708333333336</v>
      </c>
      <c r="B32" s="17" t="s">
        <v>22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7" t="s">
        <v>29</v>
      </c>
      <c r="O32" s="17" t="s">
        <v>29</v>
      </c>
    </row>
    <row r="33" spans="1:15" x14ac:dyDescent="0.3">
      <c r="A33" s="18">
        <v>43916.708333333336</v>
      </c>
      <c r="B33" s="17" t="s">
        <v>22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7" t="s">
        <v>42</v>
      </c>
      <c r="O33" s="17" t="s">
        <v>43</v>
      </c>
    </row>
    <row r="34" spans="1:15" x14ac:dyDescent="0.3">
      <c r="A34" s="18">
        <v>43917.708333333336</v>
      </c>
      <c r="B34" s="17" t="s">
        <v>22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7" t="s">
        <v>29</v>
      </c>
      <c r="O34" s="17" t="s">
        <v>29</v>
      </c>
    </row>
    <row r="35" spans="1:15" x14ac:dyDescent="0.3">
      <c r="A35" s="18">
        <v>43918.708333333336</v>
      </c>
      <c r="B35" s="17" t="s">
        <v>22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7" t="s">
        <v>29</v>
      </c>
      <c r="O35" s="17" t="s">
        <v>29</v>
      </c>
    </row>
    <row r="36" spans="1:15" x14ac:dyDescent="0.3">
      <c r="A36" s="18">
        <v>43919.708333333336</v>
      </c>
      <c r="B36" s="17" t="s">
        <v>22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7" t="s">
        <v>47</v>
      </c>
      <c r="O36" s="17" t="s">
        <v>48</v>
      </c>
    </row>
    <row r="37" spans="1:15" x14ac:dyDescent="0.3">
      <c r="A37" s="18">
        <v>43920.708333333336</v>
      </c>
      <c r="B37" s="17" t="s">
        <v>22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7" t="s">
        <v>29</v>
      </c>
      <c r="O37" s="17" t="s">
        <v>29</v>
      </c>
    </row>
    <row r="38" spans="1:15" x14ac:dyDescent="0.3">
      <c r="A38" s="18">
        <v>43921.708333333336</v>
      </c>
      <c r="B38" s="17" t="s">
        <v>22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7" t="s">
        <v>29</v>
      </c>
      <c r="O38" s="17" t="s">
        <v>29</v>
      </c>
    </row>
    <row r="39" spans="1:15" x14ac:dyDescent="0.3">
      <c r="A39" s="18">
        <v>43922.708333333336</v>
      </c>
      <c r="B39" s="17" t="s">
        <v>22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7" t="s">
        <v>29</v>
      </c>
      <c r="O39" s="17" t="s">
        <v>29</v>
      </c>
    </row>
    <row r="40" spans="1:15" x14ac:dyDescent="0.3">
      <c r="A40" s="18">
        <v>43923.708333333336</v>
      </c>
      <c r="B40" s="17" t="s">
        <v>22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7" t="s">
        <v>29</v>
      </c>
      <c r="O40" s="17" t="s">
        <v>29</v>
      </c>
    </row>
    <row r="41" spans="1:15" x14ac:dyDescent="0.3">
      <c r="A41" s="18">
        <v>43924.708333333336</v>
      </c>
      <c r="B41" s="17" t="s">
        <v>22</v>
      </c>
      <c r="C41" s="2">
        <v>28741</v>
      </c>
      <c r="D41" s="2">
        <v>4068</v>
      </c>
      <c r="E41" s="2">
        <v>32809</v>
      </c>
      <c r="F41" s="2">
        <v>52579</v>
      </c>
      <c r="G41" s="2">
        <v>85388</v>
      </c>
      <c r="H41" s="2">
        <v>2339</v>
      </c>
      <c r="I41" s="2">
        <v>4585</v>
      </c>
      <c r="J41" s="2">
        <v>19758</v>
      </c>
      <c r="K41" s="2">
        <v>14681</v>
      </c>
      <c r="L41" s="2">
        <v>119827</v>
      </c>
      <c r="M41" s="2">
        <v>619849</v>
      </c>
      <c r="N41" s="17" t="s">
        <v>29</v>
      </c>
      <c r="O41" s="17" t="s">
        <v>29</v>
      </c>
    </row>
    <row r="42" spans="1:15" x14ac:dyDescent="0.3">
      <c r="A42" s="18">
        <v>43925.708333333336</v>
      </c>
      <c r="B42" s="17" t="s">
        <v>22</v>
      </c>
      <c r="C42" s="2">
        <v>29010</v>
      </c>
      <c r="D42" s="2">
        <v>3994</v>
      </c>
      <c r="E42" s="2">
        <v>33004</v>
      </c>
      <c r="F42" s="2">
        <v>55270</v>
      </c>
      <c r="G42" s="2">
        <v>88274</v>
      </c>
      <c r="H42" s="2">
        <v>2886</v>
      </c>
      <c r="I42" s="2">
        <v>4805</v>
      </c>
      <c r="J42" s="2">
        <v>20996</v>
      </c>
      <c r="K42" s="2">
        <v>15362</v>
      </c>
      <c r="L42" s="2">
        <v>124632</v>
      </c>
      <c r="M42" s="2">
        <v>657224</v>
      </c>
      <c r="N42" s="17" t="s">
        <v>29</v>
      </c>
      <c r="O42" s="17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AB265"/>
  <sheetViews>
    <sheetView topLeftCell="A4" zoomScale="70" zoomScaleNormal="70" workbookViewId="0">
      <selection activeCell="AB6" sqref="AB6:AB22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0.88671875" style="2" bestFit="1" customWidth="1"/>
    <col min="9" max="9" width="15.44140625" style="2" customWidth="1"/>
    <col min="10" max="10" width="11.33203125" style="2" customWidth="1"/>
    <col min="11" max="11" width="11.109375" style="2" customWidth="1"/>
    <col min="12" max="12" width="1.77734375" style="2" customWidth="1"/>
    <col min="13" max="13" width="11.21875" style="2" customWidth="1"/>
    <col min="14" max="14" width="11.44140625" style="2" bestFit="1" customWidth="1"/>
    <col min="15" max="18" width="8.88671875" style="2"/>
    <col min="19" max="19" width="11" style="2" bestFit="1" customWidth="1"/>
    <col min="20" max="16384" width="8.88671875" style="2"/>
  </cols>
  <sheetData>
    <row r="2" spans="2:28" ht="31.2" x14ac:dyDescent="0.6">
      <c r="B2" s="11" t="s">
        <v>11</v>
      </c>
    </row>
    <row r="3" spans="2:28" ht="17.399999999999999" customHeight="1" x14ac:dyDescent="0.6">
      <c r="B3" s="12"/>
      <c r="C3" s="13"/>
      <c r="D3" s="13"/>
      <c r="E3" s="13"/>
      <c r="F3" s="13"/>
      <c r="H3" s="13"/>
      <c r="I3" s="13"/>
      <c r="J3" s="13"/>
      <c r="O3" s="20" t="s">
        <v>0</v>
      </c>
      <c r="P3" s="19" t="s">
        <v>70</v>
      </c>
      <c r="Q3" s="34"/>
      <c r="R3" s="16"/>
    </row>
    <row r="4" spans="2:28" ht="20.399999999999999" x14ac:dyDescent="0.35">
      <c r="B4" s="15" t="s">
        <v>49</v>
      </c>
      <c r="C4" s="14"/>
      <c r="D4" s="13"/>
      <c r="E4" s="13"/>
      <c r="F4" s="13"/>
      <c r="H4" s="13"/>
      <c r="I4" s="13"/>
      <c r="J4" s="13"/>
      <c r="O4" s="20" t="s">
        <v>23</v>
      </c>
      <c r="P4" s="19" t="s">
        <v>73</v>
      </c>
      <c r="Q4" s="16"/>
      <c r="R4" s="16"/>
    </row>
    <row r="5" spans="2:28" ht="18.600000000000001" thickBot="1" x14ac:dyDescent="0.4">
      <c r="B5" s="28" t="s">
        <v>58</v>
      </c>
      <c r="C5" s="13"/>
      <c r="D5" s="13"/>
      <c r="E5" s="13"/>
      <c r="F5" s="13"/>
      <c r="H5" s="13"/>
      <c r="I5" s="13"/>
      <c r="J5" s="13"/>
      <c r="O5" s="20" t="s">
        <v>1</v>
      </c>
      <c r="P5" s="19" t="s">
        <v>73</v>
      </c>
      <c r="Q5" s="16"/>
      <c r="R5" s="16"/>
    </row>
    <row r="6" spans="2:28" ht="28.8" x14ac:dyDescent="0.3">
      <c r="B6" s="4" t="s">
        <v>8</v>
      </c>
      <c r="C6" s="4" t="s">
        <v>9</v>
      </c>
      <c r="D6" s="4" t="s">
        <v>10</v>
      </c>
      <c r="E6" s="8" t="s">
        <v>54</v>
      </c>
      <c r="F6" s="8" t="s">
        <v>44</v>
      </c>
      <c r="G6" s="8" t="s">
        <v>45</v>
      </c>
      <c r="H6" s="4" t="s">
        <v>53</v>
      </c>
      <c r="I6" s="8" t="s">
        <v>55</v>
      </c>
      <c r="J6" s="8" t="s">
        <v>56</v>
      </c>
      <c r="K6" s="8" t="s">
        <v>57</v>
      </c>
      <c r="L6" s="8"/>
      <c r="M6" s="29" t="s">
        <v>46</v>
      </c>
      <c r="N6" s="3"/>
      <c r="O6" s="3"/>
      <c r="AB6" s="42" t="s">
        <v>74</v>
      </c>
    </row>
    <row r="7" spans="2:28" x14ac:dyDescent="0.3">
      <c r="B7" s="25">
        <v>43881</v>
      </c>
      <c r="C7" s="26">
        <v>1</v>
      </c>
      <c r="D7" s="27">
        <v>3</v>
      </c>
      <c r="E7" s="8">
        <f t="shared" ref="E7:E38" si="0">t0*_xlfn.GAMMA.DIST($C7/t0,w+1,1,1)*_xlfn.GAMMA(w+1)</f>
        <v>8.8759102306288587E-7</v>
      </c>
      <c r="F7" s="10">
        <f>E7+CI</f>
        <v>2351.0685202712739</v>
      </c>
      <c r="G7" s="10">
        <f>MAX(E7-CI,0)</f>
        <v>0</v>
      </c>
      <c r="H7" s="26">
        <v>0</v>
      </c>
      <c r="I7" s="8">
        <f t="shared" ref="I7:I38" si="1">t0h*_xlfn.GAMMA.DIST($C7/t0h,wh+1,1,1)*_xlfn.GAMMA(wh+1)</f>
        <v>3.0725030127831611E-7</v>
      </c>
      <c r="J7" s="10">
        <f t="shared" ref="J7:J46" si="2">I7+CIh</f>
        <v>212.36639515875609</v>
      </c>
      <c r="K7" s="10">
        <f t="shared" ref="K7:K46" si="3">MAX(I7-CIh,0)</f>
        <v>0</v>
      </c>
      <c r="L7" s="8"/>
      <c r="M7" s="39"/>
      <c r="N7" s="39"/>
      <c r="O7" s="3"/>
      <c r="AB7" s="43">
        <f>MAX($N$13)</f>
        <v>0.99922909818496375</v>
      </c>
    </row>
    <row r="8" spans="2:28" ht="15.6" x14ac:dyDescent="0.35">
      <c r="B8" s="25">
        <v>43882</v>
      </c>
      <c r="C8" s="26">
        <v>2</v>
      </c>
      <c r="D8" s="27">
        <v>20</v>
      </c>
      <c r="E8" s="8">
        <f t="shared" si="0"/>
        <v>3.6603556445853326E-4</v>
      </c>
      <c r="F8" s="10">
        <f>E8+CI</f>
        <v>2351.0688854192476</v>
      </c>
      <c r="G8" s="10">
        <f>MAX(E8-CI,0)</f>
        <v>0</v>
      </c>
      <c r="H8" s="26">
        <v>1</v>
      </c>
      <c r="I8" s="8">
        <f t="shared" si="1"/>
        <v>7.0994287528512357E-5</v>
      </c>
      <c r="J8" s="10">
        <f t="shared" si="2"/>
        <v>212.36646584579333</v>
      </c>
      <c r="K8" s="10">
        <f t="shared" si="3"/>
        <v>0</v>
      </c>
      <c r="L8" s="8"/>
      <c r="M8" s="21" t="s">
        <v>24</v>
      </c>
      <c r="N8" s="30">
        <v>4.2282842615638625</v>
      </c>
      <c r="O8" s="3"/>
      <c r="AB8" s="44">
        <f>COUNT($N$8,$N$9)</f>
        <v>2</v>
      </c>
    </row>
    <row r="9" spans="2:28" x14ac:dyDescent="0.3">
      <c r="B9" s="25">
        <v>43883</v>
      </c>
      <c r="C9" s="26">
        <v>3</v>
      </c>
      <c r="D9" s="27">
        <v>62</v>
      </c>
      <c r="E9" s="8">
        <f t="shared" si="0"/>
        <v>1.135944354707303E-2</v>
      </c>
      <c r="F9" s="10">
        <f>E9+CI</f>
        <v>2351.07987882723</v>
      </c>
      <c r="G9" s="10">
        <f>MAX(E9-CI,0)</f>
        <v>0</v>
      </c>
      <c r="H9" s="26">
        <v>2</v>
      </c>
      <c r="I9" s="8">
        <f t="shared" si="1"/>
        <v>1.613583215142078E-3</v>
      </c>
      <c r="J9" s="10">
        <f t="shared" si="2"/>
        <v>212.36800843472093</v>
      </c>
      <c r="K9" s="10">
        <f t="shared" si="3"/>
        <v>0</v>
      </c>
      <c r="L9" s="8"/>
      <c r="M9" s="21" t="s">
        <v>1</v>
      </c>
      <c r="N9" s="30">
        <v>7.9939169732118822</v>
      </c>
      <c r="O9" s="3"/>
      <c r="AB9" s="44">
        <f>{32767;32767;0.000001;0;FALSE;FALSE;FALSE;1;2;1;0.0001;TRUE}</f>
        <v>32767</v>
      </c>
    </row>
    <row r="10" spans="2:28" x14ac:dyDescent="0.3">
      <c r="B10" s="25">
        <v>43884</v>
      </c>
      <c r="C10" s="26">
        <v>4</v>
      </c>
      <c r="D10" s="27">
        <v>155</v>
      </c>
      <c r="E10" s="8">
        <f t="shared" si="0"/>
        <v>0.12227796065762751</v>
      </c>
      <c r="F10" s="10">
        <f>E10+CI</f>
        <v>2351.1907973443408</v>
      </c>
      <c r="G10" s="10">
        <f>MAX(E10-CI,0)</f>
        <v>0</v>
      </c>
      <c r="H10" s="26">
        <v>3</v>
      </c>
      <c r="I10" s="8">
        <f t="shared" si="1"/>
        <v>1.4193162655759541E-2</v>
      </c>
      <c r="J10" s="10">
        <f t="shared" si="2"/>
        <v>212.38058801416156</v>
      </c>
      <c r="K10" s="10">
        <f t="shared" si="3"/>
        <v>0</v>
      </c>
      <c r="L10" s="8"/>
      <c r="M10" s="5" t="s">
        <v>2</v>
      </c>
      <c r="N10" s="1">
        <f>AVERAGE(D7:D70)</f>
        <v>37418.977777777778</v>
      </c>
      <c r="O10" s="3"/>
      <c r="AB10" s="44">
        <f>{0;0;1;100;0;FALSE;FALSE;0.075;0;0;FALSE;30}</f>
        <v>0</v>
      </c>
    </row>
    <row r="11" spans="2:28" x14ac:dyDescent="0.3">
      <c r="B11" s="22">
        <v>43885</v>
      </c>
      <c r="C11" s="4">
        <v>5</v>
      </c>
      <c r="D11" s="10">
        <f>'dpc-covid19-ita-andamento-naz'!L2</f>
        <v>229</v>
      </c>
      <c r="E11" s="8">
        <f t="shared" si="0"/>
        <v>0.73701671103174604</v>
      </c>
      <c r="F11" s="10">
        <f t="shared" ref="F11:F33" si="4">E11+CI</f>
        <v>2351.8055360947146</v>
      </c>
      <c r="G11" s="10">
        <f t="shared" ref="G11:G37" si="5">MAX(E11-CI,0)</f>
        <v>0</v>
      </c>
      <c r="H11" s="10">
        <f>'dpc-covid19-ita-andamento-naz'!K2</f>
        <v>7</v>
      </c>
      <c r="I11" s="8">
        <f t="shared" si="1"/>
        <v>7.4219618552999231E-2</v>
      </c>
      <c r="J11" s="10">
        <f t="shared" si="2"/>
        <v>212.44061447005879</v>
      </c>
      <c r="K11" s="10">
        <f t="shared" si="3"/>
        <v>0</v>
      </c>
      <c r="L11" s="1"/>
      <c r="M11" s="5" t="s">
        <v>3</v>
      </c>
      <c r="N11" s="1">
        <f>COUNT(D7:D70)-COUNT(N7:N9)</f>
        <v>43</v>
      </c>
      <c r="AB11" s="44">
        <f>{32767;32767;0.000001;0;FALSE;FALSE;FALSE;1;2;1;0.0001;TRUE}</f>
        <v>32767</v>
      </c>
    </row>
    <row r="12" spans="2:28" x14ac:dyDescent="0.3">
      <c r="B12" s="9">
        <v>43886</v>
      </c>
      <c r="C12" s="4">
        <v>6</v>
      </c>
      <c r="D12" s="10">
        <f>'dpc-covid19-ita-andamento-naz'!L3</f>
        <v>322</v>
      </c>
      <c r="E12" s="8">
        <f t="shared" si="0"/>
        <v>3.078852297345648</v>
      </c>
      <c r="F12" s="10">
        <f t="shared" si="4"/>
        <v>2354.1473716810287</v>
      </c>
      <c r="G12" s="10">
        <f t="shared" si="5"/>
        <v>0</v>
      </c>
      <c r="H12" s="10">
        <f>'dpc-covid19-ita-andamento-naz'!K3</f>
        <v>10</v>
      </c>
      <c r="I12" s="8">
        <f t="shared" si="1"/>
        <v>0.27935303105307197</v>
      </c>
      <c r="J12" s="10">
        <f t="shared" si="2"/>
        <v>212.64574788255885</v>
      </c>
      <c r="K12" s="10">
        <f t="shared" si="3"/>
        <v>0</v>
      </c>
      <c r="L12" s="1"/>
      <c r="M12" s="5" t="s">
        <v>4</v>
      </c>
      <c r="N12" s="6" cm="1">
        <f t="array" ref="N12">SQRT(SUM((D7:D51-E7:E51)^2)/df)</f>
        <v>1165.8043405354015</v>
      </c>
      <c r="AB12" s="45">
        <f>{0;0;1;100;0;FALSE;FALSE;0.075;0;0;FALSE;30}</f>
        <v>0</v>
      </c>
    </row>
    <row r="13" spans="2:28" ht="16.2" x14ac:dyDescent="0.3">
      <c r="B13" s="9">
        <v>43887</v>
      </c>
      <c r="C13" s="4">
        <v>7</v>
      </c>
      <c r="D13" s="10">
        <f>'dpc-covid19-ita-andamento-naz'!L4</f>
        <v>400</v>
      </c>
      <c r="E13" s="8">
        <f t="shared" si="0"/>
        <v>9.9886267861895153</v>
      </c>
      <c r="F13" s="10">
        <f t="shared" si="4"/>
        <v>2361.0571461698723</v>
      </c>
      <c r="G13" s="10">
        <f t="shared" si="5"/>
        <v>0</v>
      </c>
      <c r="H13" s="10">
        <f>'dpc-covid19-ita-andamento-naz'!K4</f>
        <v>12</v>
      </c>
      <c r="I13" s="8">
        <f t="shared" si="1"/>
        <v>0.83807431369396812</v>
      </c>
      <c r="J13" s="10">
        <f t="shared" si="2"/>
        <v>213.20446916519975</v>
      </c>
      <c r="K13" s="10">
        <f t="shared" si="3"/>
        <v>0</v>
      </c>
      <c r="L13" s="1"/>
      <c r="M13" s="5" t="s">
        <v>5</v>
      </c>
      <c r="N13" s="7" cm="1">
        <f t="array" ref="N13">1-SUM((D7:D51-E7:E51)^2)/SUM((D7:D51-Mean_of_y)^2)</f>
        <v>0.99922909818496375</v>
      </c>
      <c r="AB13" s="46"/>
    </row>
    <row r="14" spans="2:28" x14ac:dyDescent="0.3">
      <c r="B14" s="9">
        <v>43888</v>
      </c>
      <c r="C14" s="4">
        <v>8</v>
      </c>
      <c r="D14" s="10">
        <f>'dpc-covid19-ita-andamento-naz'!L5</f>
        <v>650</v>
      </c>
      <c r="E14" s="8">
        <f t="shared" si="0"/>
        <v>26.935971732276542</v>
      </c>
      <c r="F14" s="10">
        <f t="shared" si="4"/>
        <v>2378.0044911159594</v>
      </c>
      <c r="G14" s="10">
        <f t="shared" si="5"/>
        <v>0</v>
      </c>
      <c r="H14" s="10">
        <f>'dpc-covid19-ita-andamento-naz'!K5</f>
        <v>17</v>
      </c>
      <c r="I14" s="8">
        <f t="shared" si="1"/>
        <v>2.1298558206916312</v>
      </c>
      <c r="J14" s="10">
        <f t="shared" si="2"/>
        <v>214.49625067219742</v>
      </c>
      <c r="K14" s="10">
        <f t="shared" si="3"/>
        <v>0</v>
      </c>
      <c r="L14" s="1"/>
      <c r="M14" s="5" t="s">
        <v>6</v>
      </c>
      <c r="N14" s="7">
        <f>TINV(0.05,df)</f>
        <v>2.0166921992278248</v>
      </c>
      <c r="AB14" s="47"/>
    </row>
    <row r="15" spans="2:28" x14ac:dyDescent="0.3">
      <c r="B15" s="9">
        <v>43889</v>
      </c>
      <c r="C15" s="4">
        <v>9</v>
      </c>
      <c r="D15" s="10">
        <f>'dpc-covid19-ita-andamento-naz'!L6</f>
        <v>888</v>
      </c>
      <c r="E15" s="8">
        <f t="shared" si="0"/>
        <v>63.081724848876362</v>
      </c>
      <c r="F15" s="10">
        <f t="shared" si="4"/>
        <v>2414.1502442325595</v>
      </c>
      <c r="G15" s="10">
        <f t="shared" si="5"/>
        <v>0</v>
      </c>
      <c r="H15" s="10">
        <f>'dpc-covid19-ita-andamento-naz'!K6</f>
        <v>21</v>
      </c>
      <c r="I15" s="8">
        <f t="shared" si="1"/>
        <v>4.7688598453580484</v>
      </c>
      <c r="J15" s="10">
        <f t="shared" si="2"/>
        <v>217.13525469686383</v>
      </c>
      <c r="K15" s="10">
        <f t="shared" si="3"/>
        <v>0</v>
      </c>
      <c r="L15" s="1"/>
      <c r="M15" s="5" t="s">
        <v>7</v>
      </c>
      <c r="N15" s="1">
        <f>Critical_t*SE_of_y</f>
        <v>2351.068519383683</v>
      </c>
      <c r="AB15" s="47"/>
    </row>
    <row r="16" spans="2:28" ht="15" thickBot="1" x14ac:dyDescent="0.35">
      <c r="B16" s="9">
        <v>43890</v>
      </c>
      <c r="C16" s="4">
        <v>10</v>
      </c>
      <c r="D16" s="10">
        <f>'dpc-covid19-ita-andamento-naz'!L7</f>
        <v>1128</v>
      </c>
      <c r="E16" s="8">
        <f t="shared" si="0"/>
        <v>132.19583923324222</v>
      </c>
      <c r="F16" s="10">
        <f t="shared" si="4"/>
        <v>2483.2643586169252</v>
      </c>
      <c r="G16" s="10">
        <f t="shared" si="5"/>
        <v>0</v>
      </c>
      <c r="H16" s="10">
        <f>'dpc-covid19-ita-andamento-naz'!K7</f>
        <v>29</v>
      </c>
      <c r="I16" s="8">
        <f t="shared" si="1"/>
        <v>9.6632644808409225</v>
      </c>
      <c r="J16" s="10">
        <f t="shared" si="2"/>
        <v>222.02965933234671</v>
      </c>
      <c r="K16" s="10">
        <f t="shared" si="3"/>
        <v>0</v>
      </c>
      <c r="L16" s="1"/>
      <c r="M16" s="35" t="s">
        <v>69</v>
      </c>
      <c r="N16" s="36">
        <f>t0*_xlfn.GAMMA(w+1)</f>
        <v>168279.20220617147</v>
      </c>
      <c r="AB16" s="48"/>
    </row>
    <row r="17" spans="2:28" ht="15" thickTop="1" x14ac:dyDescent="0.3">
      <c r="B17" s="22">
        <v>43891</v>
      </c>
      <c r="C17" s="4">
        <v>11</v>
      </c>
      <c r="D17" s="10">
        <f>'dpc-covid19-ita-andamento-naz'!L8</f>
        <v>1694</v>
      </c>
      <c r="E17" s="8">
        <f t="shared" si="0"/>
        <v>253.25026544180093</v>
      </c>
      <c r="F17" s="10">
        <f t="shared" si="4"/>
        <v>2604.3187848254838</v>
      </c>
      <c r="G17" s="10">
        <f t="shared" si="5"/>
        <v>0</v>
      </c>
      <c r="H17" s="10">
        <f>'dpc-covid19-ita-andamento-naz'!K8</f>
        <v>34</v>
      </c>
      <c r="I17" s="8">
        <f t="shared" si="1"/>
        <v>18.06289620614357</v>
      </c>
      <c r="J17" s="10">
        <f t="shared" si="2"/>
        <v>230.42929105764935</v>
      </c>
      <c r="K17" s="10">
        <f t="shared" si="3"/>
        <v>0</v>
      </c>
      <c r="L17" s="1"/>
      <c r="M17" s="23" t="s">
        <v>53</v>
      </c>
      <c r="N17" s="3"/>
      <c r="AB17" s="49">
        <f>MAX($N$24)</f>
        <v>0.99954710683884707</v>
      </c>
    </row>
    <row r="18" spans="2:28" x14ac:dyDescent="0.3">
      <c r="B18" s="9">
        <v>43892</v>
      </c>
      <c r="C18" s="4">
        <v>12</v>
      </c>
      <c r="D18" s="10">
        <f>'dpc-covid19-ita-andamento-naz'!L9</f>
        <v>2036</v>
      </c>
      <c r="E18" s="8">
        <f t="shared" si="0"/>
        <v>450.55783090955424</v>
      </c>
      <c r="F18" s="10">
        <f t="shared" si="4"/>
        <v>2801.626350293237</v>
      </c>
      <c r="G18" s="10">
        <f t="shared" si="5"/>
        <v>0</v>
      </c>
      <c r="H18" s="10">
        <f>'dpc-covid19-ita-andamento-naz'!K9</f>
        <v>52</v>
      </c>
      <c r="I18" s="8">
        <f t="shared" si="1"/>
        <v>31.589396406852849</v>
      </c>
      <c r="J18" s="10">
        <f t="shared" si="2"/>
        <v>243.95579125835863</v>
      </c>
      <c r="K18" s="10">
        <f t="shared" si="3"/>
        <v>0</v>
      </c>
      <c r="L18" s="1"/>
      <c r="M18" s="40"/>
      <c r="N18" s="40"/>
      <c r="AB18" s="50">
        <f>COUNT($N$19,$N$20)</f>
        <v>2</v>
      </c>
    </row>
    <row r="19" spans="2:28" ht="15.6" x14ac:dyDescent="0.35">
      <c r="B19" s="9">
        <v>43893</v>
      </c>
      <c r="C19" s="4">
        <v>13</v>
      </c>
      <c r="D19" s="10">
        <f>'dpc-covid19-ita-andamento-naz'!L10</f>
        <v>2502</v>
      </c>
      <c r="E19" s="8">
        <f t="shared" si="0"/>
        <v>753.39826114878565</v>
      </c>
      <c r="F19" s="10">
        <f t="shared" si="4"/>
        <v>3104.4667805324689</v>
      </c>
      <c r="G19" s="10">
        <f t="shared" si="5"/>
        <v>0</v>
      </c>
      <c r="H19" s="10">
        <f>'dpc-covid19-ita-andamento-naz'!K10</f>
        <v>79</v>
      </c>
      <c r="I19" s="8">
        <f t="shared" si="1"/>
        <v>52.245212848110924</v>
      </c>
      <c r="J19" s="10">
        <f t="shared" si="2"/>
        <v>264.61160769961668</v>
      </c>
      <c r="K19" s="10">
        <f t="shared" si="3"/>
        <v>0</v>
      </c>
      <c r="L19" s="1"/>
      <c r="M19" s="21" t="s">
        <v>24</v>
      </c>
      <c r="N19" s="30">
        <v>6.0931093620883479</v>
      </c>
      <c r="AB19" s="50">
        <f>{32767;32767;0.000001;0;FALSE;FALSE;FALSE;1;2;1;0.0001;TRUE}</f>
        <v>32767</v>
      </c>
    </row>
    <row r="20" spans="2:28" x14ac:dyDescent="0.3">
      <c r="B20" s="9">
        <v>43894</v>
      </c>
      <c r="C20" s="4">
        <v>14</v>
      </c>
      <c r="D20" s="10">
        <f>'dpc-covid19-ita-andamento-naz'!L11</f>
        <v>3089</v>
      </c>
      <c r="E20" s="8">
        <f t="shared" si="0"/>
        <v>1195.1444532645046</v>
      </c>
      <c r="F20" s="10">
        <f t="shared" si="4"/>
        <v>3546.2129726481876</v>
      </c>
      <c r="G20" s="10">
        <f t="shared" si="5"/>
        <v>0</v>
      </c>
      <c r="H20" s="10">
        <f>'dpc-covid19-ita-andamento-naz'!K11</f>
        <v>107</v>
      </c>
      <c r="I20" s="8">
        <f t="shared" si="1"/>
        <v>82.399903046682994</v>
      </c>
      <c r="J20" s="10">
        <f t="shared" si="2"/>
        <v>294.76629789818878</v>
      </c>
      <c r="K20" s="10">
        <f t="shared" si="3"/>
        <v>0</v>
      </c>
      <c r="L20" s="1"/>
      <c r="M20" s="21" t="s">
        <v>1</v>
      </c>
      <c r="N20" s="30">
        <v>7.062212780435102</v>
      </c>
      <c r="AB20" s="50">
        <f>{0;0;1;100;0;FALSE;FALSE;0.075;0;0;FALSE;30}</f>
        <v>0</v>
      </c>
    </row>
    <row r="21" spans="2:28" x14ac:dyDescent="0.3">
      <c r="B21" s="22">
        <v>43895</v>
      </c>
      <c r="C21" s="4">
        <v>15</v>
      </c>
      <c r="D21" s="10">
        <f>'dpc-covid19-ita-andamento-naz'!L12</f>
        <v>3858</v>
      </c>
      <c r="E21" s="8">
        <f t="shared" si="0"/>
        <v>1811.9634674135341</v>
      </c>
      <c r="F21" s="10">
        <f t="shared" si="4"/>
        <v>4163.0319867972175</v>
      </c>
      <c r="G21" s="10">
        <f t="shared" si="5"/>
        <v>0</v>
      </c>
      <c r="H21" s="10">
        <f>'dpc-covid19-ita-andamento-naz'!K12</f>
        <v>148</v>
      </c>
      <c r="I21" s="8">
        <f t="shared" si="1"/>
        <v>124.75427951018689</v>
      </c>
      <c r="J21" s="10">
        <f t="shared" si="2"/>
        <v>337.12067436169269</v>
      </c>
      <c r="K21" s="10">
        <f t="shared" si="3"/>
        <v>0</v>
      </c>
      <c r="L21" s="1"/>
      <c r="M21" s="2" t="s">
        <v>2</v>
      </c>
      <c r="N21" s="1">
        <f>AVERAGE(H7:H70)</f>
        <v>3861.8</v>
      </c>
      <c r="AB21" s="50">
        <f>{32767;32767;0.000001;0;FALSE;FALSE;FALSE;1;2;1;0.0001;TRUE}</f>
        <v>32767</v>
      </c>
    </row>
    <row r="22" spans="2:28" ht="15" thickBot="1" x14ac:dyDescent="0.35">
      <c r="B22" s="9">
        <v>43896</v>
      </c>
      <c r="C22" s="4">
        <v>16</v>
      </c>
      <c r="D22" s="10">
        <f>'dpc-covid19-ita-andamento-naz'!L13</f>
        <v>4636</v>
      </c>
      <c r="E22" s="8">
        <f t="shared" si="0"/>
        <v>2641.2102089583532</v>
      </c>
      <c r="F22" s="10">
        <f t="shared" si="4"/>
        <v>4992.2787283420366</v>
      </c>
      <c r="G22" s="10">
        <f t="shared" si="5"/>
        <v>290.14168957467018</v>
      </c>
      <c r="H22" s="10">
        <f>'dpc-covid19-ita-andamento-naz'!K13</f>
        <v>197</v>
      </c>
      <c r="I22" s="8">
        <f t="shared" si="1"/>
        <v>182.28463294188327</v>
      </c>
      <c r="J22" s="10">
        <f t="shared" si="2"/>
        <v>394.65102779338906</v>
      </c>
      <c r="K22" s="10">
        <f t="shared" si="3"/>
        <v>0</v>
      </c>
      <c r="L22" s="1"/>
      <c r="M22" s="2" t="s">
        <v>3</v>
      </c>
      <c r="N22" s="1">
        <f>COUNT(H7:H70)-COUNT(N18:N20)</f>
        <v>43</v>
      </c>
      <c r="AB22" s="51">
        <f>{0;0;1;100;0;FALSE;FALSE;0.075;0;0;FALSE;30}</f>
        <v>0</v>
      </c>
    </row>
    <row r="23" spans="2:28" x14ac:dyDescent="0.3">
      <c r="B23" s="9">
        <v>43897</v>
      </c>
      <c r="C23" s="4">
        <v>17</v>
      </c>
      <c r="D23" s="10">
        <f>'dpc-covid19-ita-andamento-naz'!L14</f>
        <v>5883</v>
      </c>
      <c r="E23" s="8">
        <f t="shared" si="0"/>
        <v>3719.6549574163569</v>
      </c>
      <c r="F23" s="10">
        <f t="shared" si="4"/>
        <v>6070.7234768000399</v>
      </c>
      <c r="G23" s="10">
        <f t="shared" si="5"/>
        <v>1368.5864380326739</v>
      </c>
      <c r="H23" s="10">
        <f>'dpc-covid19-ita-andamento-naz'!K14</f>
        <v>233</v>
      </c>
      <c r="I23" s="8">
        <f t="shared" si="1"/>
        <v>258.17054327817442</v>
      </c>
      <c r="J23" s="10">
        <f t="shared" si="2"/>
        <v>470.53693812968021</v>
      </c>
      <c r="K23" s="10">
        <f t="shared" si="3"/>
        <v>45.804148426668633</v>
      </c>
      <c r="L23" s="1"/>
      <c r="M23" s="2" t="s">
        <v>4</v>
      </c>
      <c r="N23" s="6" cm="1">
        <f t="array" ref="N23">SQRT(SUM((H7:H51-I7:I51)^2)/dfh)</f>
        <v>105.30431710541608</v>
      </c>
    </row>
    <row r="24" spans="2:28" ht="16.2" x14ac:dyDescent="0.3">
      <c r="B24" s="22">
        <v>43898</v>
      </c>
      <c r="C24" s="4">
        <v>18</v>
      </c>
      <c r="D24" s="10">
        <f>'dpc-covid19-ita-andamento-naz'!L15</f>
        <v>7375</v>
      </c>
      <c r="E24" s="8">
        <f t="shared" si="0"/>
        <v>5081.68990095968</v>
      </c>
      <c r="F24" s="10">
        <f t="shared" si="4"/>
        <v>7432.7584203433635</v>
      </c>
      <c r="G24" s="10">
        <f t="shared" si="5"/>
        <v>2730.621381575997</v>
      </c>
      <c r="H24" s="10">
        <f>'dpc-covid19-ita-andamento-naz'!K15</f>
        <v>366</v>
      </c>
      <c r="I24" s="8">
        <f t="shared" si="1"/>
        <v>355.71060418218894</v>
      </c>
      <c r="J24" s="10">
        <f t="shared" si="2"/>
        <v>568.07699903369473</v>
      </c>
      <c r="K24" s="10">
        <f t="shared" si="3"/>
        <v>143.34420933068316</v>
      </c>
      <c r="L24" s="1"/>
      <c r="M24" s="2" t="s">
        <v>5</v>
      </c>
      <c r="N24" s="7" cm="1">
        <f t="array" ref="N24">1-SUM((H7:H51-I7:I51)^2)/SUM((H7:H51-Mean_of_yh)^2)</f>
        <v>0.99954710683884707</v>
      </c>
    </row>
    <row r="25" spans="2:28" x14ac:dyDescent="0.3">
      <c r="B25" s="9">
        <v>43899</v>
      </c>
      <c r="C25" s="4">
        <v>19</v>
      </c>
      <c r="D25" s="10">
        <f>'dpc-covid19-ita-andamento-naz'!L16</f>
        <v>9172</v>
      </c>
      <c r="E25" s="8">
        <f t="shared" si="0"/>
        <v>6757.6480989387173</v>
      </c>
      <c r="F25" s="10">
        <f t="shared" si="4"/>
        <v>9108.7166183223999</v>
      </c>
      <c r="G25" s="10">
        <f t="shared" si="5"/>
        <v>4406.5795795550348</v>
      </c>
      <c r="H25" s="10">
        <f>'dpc-covid19-ita-andamento-naz'!K16</f>
        <v>463</v>
      </c>
      <c r="I25" s="8">
        <f t="shared" si="1"/>
        <v>478.23076880501412</v>
      </c>
      <c r="J25" s="10">
        <f t="shared" si="2"/>
        <v>690.59716365651991</v>
      </c>
      <c r="K25" s="10">
        <f t="shared" si="3"/>
        <v>265.86437395350833</v>
      </c>
      <c r="L25" s="1"/>
      <c r="M25" s="2" t="s">
        <v>6</v>
      </c>
      <c r="N25" s="7">
        <f>TINV(0.05,dfh)</f>
        <v>2.0166921992278248</v>
      </c>
    </row>
    <row r="26" spans="2:28" x14ac:dyDescent="0.3">
      <c r="B26" s="22">
        <v>43900</v>
      </c>
      <c r="C26" s="4">
        <v>20</v>
      </c>
      <c r="D26" s="10">
        <f>'dpc-covid19-ita-andamento-naz'!L17</f>
        <v>10149</v>
      </c>
      <c r="E26" s="8">
        <f t="shared" si="0"/>
        <v>8772.3453618425865</v>
      </c>
      <c r="F26" s="10">
        <f t="shared" si="4"/>
        <v>11123.41388122627</v>
      </c>
      <c r="G26" s="10">
        <f t="shared" si="5"/>
        <v>6421.276842458903</v>
      </c>
      <c r="H26" s="10">
        <f>'dpc-covid19-ita-andamento-naz'!K17</f>
        <v>631</v>
      </c>
      <c r="I26" s="8">
        <f t="shared" si="1"/>
        <v>628.99002982629077</v>
      </c>
      <c r="J26" s="10">
        <f t="shared" si="2"/>
        <v>841.35642467779655</v>
      </c>
      <c r="K26" s="10">
        <f t="shared" si="3"/>
        <v>416.62363497478498</v>
      </c>
      <c r="L26" s="1"/>
      <c r="M26" s="2" t="s">
        <v>7</v>
      </c>
      <c r="N26" s="1">
        <f>Critical_th*SE_of_yh</f>
        <v>212.36639485150579</v>
      </c>
    </row>
    <row r="27" spans="2:28" x14ac:dyDescent="0.3">
      <c r="B27" s="9">
        <v>43901</v>
      </c>
      <c r="C27" s="4">
        <v>21</v>
      </c>
      <c r="D27" s="10">
        <f>'dpc-covid19-ita-andamento-naz'!L18</f>
        <v>12462</v>
      </c>
      <c r="E27" s="8">
        <f t="shared" si="0"/>
        <v>11143.926116599197</v>
      </c>
      <c r="F27" s="10">
        <f t="shared" si="4"/>
        <v>13494.994635982881</v>
      </c>
      <c r="G27" s="10">
        <f t="shared" si="5"/>
        <v>8792.857597215514</v>
      </c>
      <c r="H27" s="10">
        <f>'dpc-covid19-ita-andamento-naz'!K18</f>
        <v>827</v>
      </c>
      <c r="I27" s="8">
        <f t="shared" si="1"/>
        <v>811.0878488122645</v>
      </c>
      <c r="J27" s="10">
        <f t="shared" si="2"/>
        <v>1023.4542436637703</v>
      </c>
      <c r="K27" s="10">
        <f t="shared" si="3"/>
        <v>598.72145396075871</v>
      </c>
      <c r="L27" s="1"/>
      <c r="M27" s="37" t="s">
        <v>69</v>
      </c>
      <c r="N27" s="38">
        <f>t0h*_xlfn.GAMMA(wh+1)</f>
        <v>34820.984365449513</v>
      </c>
    </row>
    <row r="28" spans="2:28" x14ac:dyDescent="0.3">
      <c r="B28" s="22">
        <v>43902</v>
      </c>
      <c r="C28" s="4">
        <v>22</v>
      </c>
      <c r="D28" s="10">
        <f>'dpc-covid19-ita-andamento-naz'!L19</f>
        <v>15113</v>
      </c>
      <c r="E28" s="8">
        <f t="shared" si="0"/>
        <v>13883.062655833332</v>
      </c>
      <c r="F28" s="10">
        <f t="shared" si="4"/>
        <v>16234.131175217015</v>
      </c>
      <c r="G28" s="10">
        <f t="shared" si="5"/>
        <v>11531.994136449648</v>
      </c>
      <c r="H28" s="10">
        <f>'dpc-covid19-ita-andamento-naz'!K19</f>
        <v>1016</v>
      </c>
      <c r="I28" s="8">
        <f t="shared" si="1"/>
        <v>1027.3772283613619</v>
      </c>
      <c r="J28" s="10">
        <f t="shared" si="2"/>
        <v>1239.7436232128675</v>
      </c>
      <c r="K28" s="10">
        <f t="shared" si="3"/>
        <v>815.01083350985607</v>
      </c>
      <c r="L28" s="1"/>
      <c r="M28" s="5"/>
    </row>
    <row r="29" spans="2:28" x14ac:dyDescent="0.3">
      <c r="B29" s="9">
        <v>43903</v>
      </c>
      <c r="C29" s="4">
        <v>23</v>
      </c>
      <c r="D29" s="10">
        <f>'dpc-covid19-ita-andamento-naz'!L20</f>
        <v>17660</v>
      </c>
      <c r="E29" s="8">
        <f t="shared" si="0"/>
        <v>16992.526666865149</v>
      </c>
      <c r="F29" s="10">
        <f t="shared" si="4"/>
        <v>19343.595186248833</v>
      </c>
      <c r="G29" s="10">
        <f t="shared" si="5"/>
        <v>14641.458147481466</v>
      </c>
      <c r="H29" s="10">
        <f>'dpc-covid19-ita-andamento-naz'!K20</f>
        <v>1266</v>
      </c>
      <c r="I29" s="8">
        <f t="shared" si="1"/>
        <v>1280.3866524942273</v>
      </c>
      <c r="J29" s="10">
        <f t="shared" si="2"/>
        <v>1492.7530473457332</v>
      </c>
      <c r="K29" s="10">
        <f t="shared" si="3"/>
        <v>1068.0202576427214</v>
      </c>
      <c r="L29" s="1"/>
      <c r="M29" s="5"/>
    </row>
    <row r="30" spans="2:28" x14ac:dyDescent="0.3">
      <c r="B30" s="9">
        <v>43904</v>
      </c>
      <c r="C30" s="4">
        <v>24</v>
      </c>
      <c r="D30" s="10">
        <f>'dpc-covid19-ita-andamento-naz'!L21</f>
        <v>21157</v>
      </c>
      <c r="E30" s="8">
        <f t="shared" si="0"/>
        <v>20467.125048971287</v>
      </c>
      <c r="F30" s="10">
        <f t="shared" si="4"/>
        <v>22818.193568354971</v>
      </c>
      <c r="G30" s="10">
        <f t="shared" si="5"/>
        <v>18116.056529587604</v>
      </c>
      <c r="H30" s="10">
        <f>'dpc-covid19-ita-andamento-naz'!K21</f>
        <v>1441</v>
      </c>
      <c r="I30" s="8">
        <f t="shared" si="1"/>
        <v>1572.2533756589037</v>
      </c>
      <c r="J30" s="10">
        <f t="shared" si="2"/>
        <v>1784.6197705104096</v>
      </c>
      <c r="K30" s="10">
        <f t="shared" si="3"/>
        <v>1359.8869808073978</v>
      </c>
      <c r="L30" s="1"/>
      <c r="M30" s="5"/>
    </row>
    <row r="31" spans="2:28" x14ac:dyDescent="0.3">
      <c r="B31" s="9">
        <v>43905</v>
      </c>
      <c r="C31" s="4">
        <v>25</v>
      </c>
      <c r="D31" s="10">
        <f>'dpc-covid19-ita-andamento-naz'!L22</f>
        <v>24747</v>
      </c>
      <c r="E31" s="8">
        <f t="shared" si="0"/>
        <v>24293.970258380257</v>
      </c>
      <c r="F31" s="10">
        <f t="shared" si="4"/>
        <v>26645.038777763941</v>
      </c>
      <c r="G31" s="10">
        <f t="shared" si="5"/>
        <v>21942.901738996574</v>
      </c>
      <c r="H31" s="10">
        <f>'dpc-covid19-ita-andamento-naz'!K22</f>
        <v>1809</v>
      </c>
      <c r="I31" s="8">
        <f t="shared" si="1"/>
        <v>1904.6697771213808</v>
      </c>
      <c r="J31" s="10">
        <f t="shared" si="2"/>
        <v>2117.0361719728867</v>
      </c>
      <c r="K31" s="10">
        <f t="shared" si="3"/>
        <v>1692.3033822698749</v>
      </c>
      <c r="L31" s="1"/>
      <c r="M31" s="5"/>
    </row>
    <row r="32" spans="2:28" x14ac:dyDescent="0.3">
      <c r="B32" s="9">
        <v>43906</v>
      </c>
      <c r="C32" s="4">
        <v>26</v>
      </c>
      <c r="D32" s="10">
        <f>'dpc-covid19-ita-andamento-naz'!L23</f>
        <v>27980</v>
      </c>
      <c r="E32" s="8">
        <f t="shared" si="0"/>
        <v>28453.039442966878</v>
      </c>
      <c r="F32" s="10">
        <f t="shared" si="4"/>
        <v>30804.107962350561</v>
      </c>
      <c r="G32" s="10">
        <f t="shared" si="5"/>
        <v>26101.970923583194</v>
      </c>
      <c r="H32" s="10">
        <f>'dpc-covid19-ita-andamento-naz'!K23</f>
        <v>2158</v>
      </c>
      <c r="I32" s="8">
        <f t="shared" si="1"/>
        <v>2278.8437618806838</v>
      </c>
      <c r="J32" s="10">
        <f t="shared" si="2"/>
        <v>2491.2101567321897</v>
      </c>
      <c r="K32" s="10">
        <f t="shared" si="3"/>
        <v>2066.4773670291779</v>
      </c>
      <c r="L32" s="1"/>
      <c r="M32" s="5"/>
    </row>
    <row r="33" spans="2:17" x14ac:dyDescent="0.3">
      <c r="B33" s="9">
        <v>43907</v>
      </c>
      <c r="C33" s="4">
        <v>27</v>
      </c>
      <c r="D33" s="10">
        <f>'dpc-covid19-ita-andamento-naz'!L24</f>
        <v>31506</v>
      </c>
      <c r="E33" s="8">
        <f t="shared" si="0"/>
        <v>32917.966454294707</v>
      </c>
      <c r="F33" s="10">
        <f t="shared" si="4"/>
        <v>35269.03497367839</v>
      </c>
      <c r="G33" s="10">
        <f t="shared" si="5"/>
        <v>30566.897934911023</v>
      </c>
      <c r="H33" s="10">
        <f>'dpc-covid19-ita-andamento-naz'!K24</f>
        <v>2503</v>
      </c>
      <c r="I33" s="8">
        <f t="shared" si="1"/>
        <v>2695.4735160049745</v>
      </c>
      <c r="J33" s="10">
        <f t="shared" si="2"/>
        <v>2907.8399108564804</v>
      </c>
      <c r="K33" s="10">
        <f t="shared" si="3"/>
        <v>2483.1071211534686</v>
      </c>
      <c r="L33" s="1"/>
      <c r="N33" s="1"/>
    </row>
    <row r="34" spans="2:17" x14ac:dyDescent="0.3">
      <c r="B34" s="9">
        <v>43908</v>
      </c>
      <c r="C34" s="4">
        <v>28</v>
      </c>
      <c r="D34" s="10">
        <f>'dpc-covid19-ita-andamento-naz'!L25</f>
        <v>35713</v>
      </c>
      <c r="E34" s="8">
        <f t="shared" si="0"/>
        <v>37657.005985612617</v>
      </c>
      <c r="F34" s="10">
        <f t="shared" ref="F34:F48" si="6">E34+CI</f>
        <v>40008.074504996301</v>
      </c>
      <c r="G34" s="10">
        <f t="shared" si="5"/>
        <v>35305.937466228934</v>
      </c>
      <c r="H34" s="10">
        <f>'dpc-covid19-ita-andamento-naz'!K25</f>
        <v>2978</v>
      </c>
      <c r="I34" s="8">
        <f t="shared" si="1"/>
        <v>3154.736336655903</v>
      </c>
      <c r="J34" s="10">
        <f t="shared" si="2"/>
        <v>3367.1027315074089</v>
      </c>
      <c r="K34" s="10">
        <f t="shared" si="3"/>
        <v>2942.3699418043971</v>
      </c>
      <c r="N34" s="6"/>
      <c r="Q34" s="1"/>
    </row>
    <row r="35" spans="2:17" x14ac:dyDescent="0.3">
      <c r="B35" s="9">
        <v>43909</v>
      </c>
      <c r="C35" s="4">
        <v>29</v>
      </c>
      <c r="D35" s="10">
        <f>'dpc-covid19-ita-andamento-naz'!L26</f>
        <v>41035</v>
      </c>
      <c r="E35" s="8">
        <f t="shared" si="0"/>
        <v>42634.108805646872</v>
      </c>
      <c r="F35" s="10">
        <f t="shared" si="6"/>
        <v>44985.177325030556</v>
      </c>
      <c r="G35" s="10">
        <f t="shared" si="5"/>
        <v>40283.040286263189</v>
      </c>
      <c r="H35" s="10">
        <f>'dpc-covid19-ita-andamento-naz'!K26</f>
        <v>3405</v>
      </c>
      <c r="I35" s="8">
        <f t="shared" si="1"/>
        <v>3656.290768463834</v>
      </c>
      <c r="J35" s="10">
        <f t="shared" si="2"/>
        <v>3868.6571633153399</v>
      </c>
      <c r="K35" s="10">
        <f t="shared" si="3"/>
        <v>3443.9243736123281</v>
      </c>
      <c r="N35" s="7"/>
    </row>
    <row r="36" spans="2:17" x14ac:dyDescent="0.3">
      <c r="B36" s="9">
        <v>43910</v>
      </c>
      <c r="C36" s="4">
        <v>30</v>
      </c>
      <c r="D36" s="10">
        <f>'dpc-covid19-ita-andamento-naz'!L27</f>
        <v>47021</v>
      </c>
      <c r="E36" s="8">
        <f t="shared" si="0"/>
        <v>47810.050406077782</v>
      </c>
      <c r="F36" s="10">
        <f t="shared" si="6"/>
        <v>50161.118925461466</v>
      </c>
      <c r="G36" s="10">
        <f t="shared" si="5"/>
        <v>45458.981886694099</v>
      </c>
      <c r="H36" s="10">
        <f>'dpc-covid19-ita-andamento-naz'!K27</f>
        <v>4032</v>
      </c>
      <c r="I36" s="8">
        <f t="shared" si="1"/>
        <v>4199.2908935735813</v>
      </c>
      <c r="J36" s="10">
        <f t="shared" si="2"/>
        <v>4411.6572884250872</v>
      </c>
      <c r="K36" s="10">
        <f t="shared" si="3"/>
        <v>3986.9244987220754</v>
      </c>
      <c r="N36" s="7"/>
    </row>
    <row r="37" spans="2:17" x14ac:dyDescent="0.3">
      <c r="B37" s="9">
        <v>43911</v>
      </c>
      <c r="C37" s="4">
        <v>31</v>
      </c>
      <c r="D37" s="10">
        <f>'dpc-covid19-ita-andamento-naz'!L28</f>
        <v>53578</v>
      </c>
      <c r="E37" s="8">
        <f t="shared" si="0"/>
        <v>53143.561381696862</v>
      </c>
      <c r="F37" s="10">
        <f t="shared" si="6"/>
        <v>55494.629901080545</v>
      </c>
      <c r="G37" s="10">
        <f t="shared" si="5"/>
        <v>50792.492862313178</v>
      </c>
      <c r="H37" s="10">
        <f>'dpc-covid19-ita-andamento-naz'!K28</f>
        <v>4825</v>
      </c>
      <c r="I37" s="8">
        <f t="shared" si="1"/>
        <v>4782.4113413580117</v>
      </c>
      <c r="J37" s="10">
        <f t="shared" si="2"/>
        <v>4994.7777362095176</v>
      </c>
      <c r="K37" s="10">
        <f t="shared" si="3"/>
        <v>4570.0449465065058</v>
      </c>
      <c r="N37" s="1"/>
    </row>
    <row r="38" spans="2:17" x14ac:dyDescent="0.3">
      <c r="B38" s="9">
        <v>43912</v>
      </c>
      <c r="C38" s="4">
        <v>32</v>
      </c>
      <c r="D38" s="10">
        <f>'dpc-covid19-ita-andamento-naz'!L29</f>
        <v>59138</v>
      </c>
      <c r="E38" s="8">
        <f t="shared" si="0"/>
        <v>58592.415588921962</v>
      </c>
      <c r="F38" s="10">
        <f t="shared" si="6"/>
        <v>60943.484108305645</v>
      </c>
      <c r="G38" s="10">
        <f t="shared" ref="G38:G48" si="7">MAX(E38-CI,0)</f>
        <v>56241.347069538278</v>
      </c>
      <c r="H38" s="10">
        <f>'dpc-covid19-ita-andamento-naz'!K29</f>
        <v>5476</v>
      </c>
      <c r="I38" s="8">
        <f t="shared" si="1"/>
        <v>5403.8813994096781</v>
      </c>
      <c r="J38" s="10">
        <f t="shared" si="2"/>
        <v>5616.247794261184</v>
      </c>
      <c r="K38" s="10">
        <f t="shared" si="3"/>
        <v>5191.5150045581722</v>
      </c>
    </row>
    <row r="39" spans="2:17" x14ac:dyDescent="0.3">
      <c r="B39" s="22">
        <v>43913</v>
      </c>
      <c r="C39" s="4">
        <v>33</v>
      </c>
      <c r="D39" s="10">
        <f>'dpc-covid19-ita-andamento-naz'!L30</f>
        <v>63927</v>
      </c>
      <c r="E39" s="8">
        <f t="shared" ref="E39:E70" si="8">t0*_xlfn.GAMMA.DIST($C39/t0,w+1,1,1)*_xlfn.GAMMA(w+1)</f>
        <v>64114.440756740973</v>
      </c>
      <c r="F39" s="10">
        <f t="shared" si="6"/>
        <v>66465.509276124649</v>
      </c>
      <c r="G39" s="10">
        <f t="shared" si="7"/>
        <v>61763.372237357289</v>
      </c>
      <c r="H39" s="10">
        <f>'dpc-covid19-ita-andamento-naz'!K30</f>
        <v>6077</v>
      </c>
      <c r="I39" s="8">
        <f t="shared" ref="I39:I70" si="9">t0h*_xlfn.GAMMA.DIST($C39/t0h,wh+1,1,1)*_xlfn.GAMMA(wh+1)</f>
        <v>6061.5265105117751</v>
      </c>
      <c r="J39" s="10">
        <f t="shared" si="2"/>
        <v>6273.892905363281</v>
      </c>
      <c r="K39" s="10">
        <f t="shared" si="3"/>
        <v>5849.1601156602692</v>
      </c>
    </row>
    <row r="40" spans="2:17" x14ac:dyDescent="0.3">
      <c r="B40" s="9">
        <v>43914</v>
      </c>
      <c r="C40" s="4">
        <v>34</v>
      </c>
      <c r="D40" s="10">
        <f>'dpc-covid19-ita-andamento-naz'!L31</f>
        <v>69176</v>
      </c>
      <c r="E40" s="8">
        <f t="shared" si="8"/>
        <v>69668.425066398515</v>
      </c>
      <c r="F40" s="10">
        <f t="shared" si="6"/>
        <v>72019.493585782198</v>
      </c>
      <c r="G40" s="10">
        <f t="shared" si="7"/>
        <v>67317.356547014831</v>
      </c>
      <c r="H40" s="10">
        <f>'dpc-covid19-ita-andamento-naz'!K31</f>
        <v>6820</v>
      </c>
      <c r="I40" s="8">
        <f t="shared" si="9"/>
        <v>6752.8154193130204</v>
      </c>
      <c r="J40" s="10">
        <f t="shared" si="2"/>
        <v>6965.1818141645263</v>
      </c>
      <c r="K40" s="10">
        <f t="shared" si="3"/>
        <v>6540.4490244615145</v>
      </c>
    </row>
    <row r="41" spans="2:17" x14ac:dyDescent="0.3">
      <c r="B41" s="9">
        <v>43915</v>
      </c>
      <c r="C41" s="4">
        <v>35</v>
      </c>
      <c r="D41" s="10">
        <f>'dpc-covid19-ita-andamento-naz'!L32</f>
        <v>74386</v>
      </c>
      <c r="E41" s="8">
        <f t="shared" si="8"/>
        <v>75214.901732953425</v>
      </c>
      <c r="F41" s="10">
        <f t="shared" si="6"/>
        <v>77565.970252337109</v>
      </c>
      <c r="G41" s="10">
        <f t="shared" si="7"/>
        <v>72863.833213569742</v>
      </c>
      <c r="H41" s="10">
        <f>'dpc-covid19-ita-andamento-naz'!K32</f>
        <v>7503</v>
      </c>
      <c r="I41" s="8">
        <f t="shared" si="9"/>
        <v>7474.9112748074849</v>
      </c>
      <c r="J41" s="10">
        <f t="shared" si="2"/>
        <v>7687.2776696589908</v>
      </c>
      <c r="K41" s="10">
        <f t="shared" si="3"/>
        <v>7262.544879955979</v>
      </c>
    </row>
    <row r="42" spans="2:17" x14ac:dyDescent="0.3">
      <c r="B42" s="9">
        <v>43916</v>
      </c>
      <c r="C42" s="4">
        <v>36</v>
      </c>
      <c r="D42" s="10">
        <f>'dpc-covid19-ita-andamento-naz'!L33</f>
        <v>80539</v>
      </c>
      <c r="E42" s="8">
        <f t="shared" si="8"/>
        <v>80716.801420406002</v>
      </c>
      <c r="F42" s="10">
        <f t="shared" si="6"/>
        <v>83067.869939789685</v>
      </c>
      <c r="G42" s="10">
        <f t="shared" si="7"/>
        <v>78365.732901022318</v>
      </c>
      <c r="H42" s="10">
        <f>'dpc-covid19-ita-andamento-naz'!K33</f>
        <v>8165</v>
      </c>
      <c r="I42" s="8">
        <f t="shared" si="9"/>
        <v>8224.7250876816215</v>
      </c>
      <c r="J42" s="10">
        <f t="shared" si="2"/>
        <v>8437.0914825331274</v>
      </c>
      <c r="K42" s="10">
        <f t="shared" si="3"/>
        <v>8012.3586928301156</v>
      </c>
    </row>
    <row r="43" spans="2:17" x14ac:dyDescent="0.3">
      <c r="B43" s="9">
        <v>43917</v>
      </c>
      <c r="C43" s="4">
        <v>37</v>
      </c>
      <c r="D43" s="10">
        <f>'dpc-covid19-ita-andamento-naz'!L34</f>
        <v>86498</v>
      </c>
      <c r="E43" s="8">
        <f t="shared" si="8"/>
        <v>86139.969143978873</v>
      </c>
      <c r="F43" s="10">
        <f t="shared" si="6"/>
        <v>88491.037663362556</v>
      </c>
      <c r="G43" s="10">
        <f t="shared" si="7"/>
        <v>83788.90062459519</v>
      </c>
      <c r="H43" s="10">
        <f>'dpc-covid19-ita-andamento-naz'!K34</f>
        <v>9134</v>
      </c>
      <c r="I43" s="8">
        <f t="shared" si="9"/>
        <v>8998.9700728180997</v>
      </c>
      <c r="J43" s="10">
        <f t="shared" si="2"/>
        <v>9211.3364676696056</v>
      </c>
      <c r="K43" s="10">
        <f t="shared" si="3"/>
        <v>8786.6036779665938</v>
      </c>
    </row>
    <row r="44" spans="2:17" x14ac:dyDescent="0.3">
      <c r="B44" s="9">
        <v>43918</v>
      </c>
      <c r="C44" s="4">
        <v>38</v>
      </c>
      <c r="D44" s="10">
        <f>'dpc-covid19-ita-andamento-naz'!L35</f>
        <v>92472</v>
      </c>
      <c r="E44" s="8">
        <f t="shared" si="8"/>
        <v>91453.548016137152</v>
      </c>
      <c r="F44" s="10">
        <f t="shared" si="6"/>
        <v>93804.616535520836</v>
      </c>
      <c r="G44" s="10">
        <f t="shared" si="7"/>
        <v>89102.479496753469</v>
      </c>
      <c r="H44" s="10">
        <f>'dpc-covid19-ita-andamento-naz'!K35</f>
        <v>10023</v>
      </c>
      <c r="I44" s="8">
        <f t="shared" si="9"/>
        <v>9794.2155653240989</v>
      </c>
      <c r="J44" s="10">
        <f t="shared" si="2"/>
        <v>10006.581960175605</v>
      </c>
      <c r="K44" s="10">
        <f t="shared" si="3"/>
        <v>9581.849170472593</v>
      </c>
    </row>
    <row r="45" spans="2:17" x14ac:dyDescent="0.3">
      <c r="B45" s="9">
        <v>43919</v>
      </c>
      <c r="C45" s="4">
        <v>39</v>
      </c>
      <c r="D45" s="10">
        <f>'dpc-covid19-ita-andamento-naz'!L36</f>
        <v>97689</v>
      </c>
      <c r="E45" s="8">
        <f t="shared" si="8"/>
        <v>96630.236730145582</v>
      </c>
      <c r="F45" s="10">
        <f t="shared" si="6"/>
        <v>98981.305249529265</v>
      </c>
      <c r="G45" s="10">
        <f t="shared" si="7"/>
        <v>94279.168210761898</v>
      </c>
      <c r="H45" s="10">
        <f>'dpc-covid19-ita-andamento-naz'!K36</f>
        <v>10779</v>
      </c>
      <c r="I45" s="8">
        <f t="shared" si="9"/>
        <v>10606.939373170826</v>
      </c>
      <c r="J45" s="10">
        <f t="shared" si="2"/>
        <v>10819.305768022332</v>
      </c>
      <c r="K45" s="10">
        <f t="shared" si="3"/>
        <v>10394.57297831932</v>
      </c>
    </row>
    <row r="46" spans="2:17" x14ac:dyDescent="0.3">
      <c r="B46" s="9">
        <v>43920</v>
      </c>
      <c r="C46" s="4">
        <v>40</v>
      </c>
      <c r="D46" s="10">
        <f>'dpc-covid19-ita-andamento-naz'!L37</f>
        <v>101739</v>
      </c>
      <c r="E46" s="8">
        <f t="shared" si="8"/>
        <v>101646.4310733008</v>
      </c>
      <c r="F46" s="10">
        <f t="shared" si="6"/>
        <v>103997.49959268449</v>
      </c>
      <c r="G46" s="10">
        <f t="shared" si="7"/>
        <v>99295.362553917119</v>
      </c>
      <c r="H46" s="10">
        <f>'dpc-covid19-ita-andamento-naz'!K37</f>
        <v>11591</v>
      </c>
      <c r="I46" s="8">
        <f t="shared" si="9"/>
        <v>11433.577612054243</v>
      </c>
      <c r="J46" s="10">
        <f t="shared" si="2"/>
        <v>11645.944006905749</v>
      </c>
      <c r="K46" s="10">
        <f t="shared" si="3"/>
        <v>11221.211217202737</v>
      </c>
    </row>
    <row r="47" spans="2:17" x14ac:dyDescent="0.3">
      <c r="B47" s="9">
        <v>43921</v>
      </c>
      <c r="C47" s="4">
        <v>41</v>
      </c>
      <c r="D47" s="10">
        <f>'dpc-covid19-ita-andamento-naz'!L38</f>
        <v>105792</v>
      </c>
      <c r="E47" s="8">
        <f t="shared" si="8"/>
        <v>106482.26210190763</v>
      </c>
      <c r="F47" s="10">
        <f t="shared" si="6"/>
        <v>108833.33062129132</v>
      </c>
      <c r="G47" s="10">
        <f t="shared" si="7"/>
        <v>104131.19358252395</v>
      </c>
      <c r="H47" s="10">
        <f>'dpc-covid19-ita-andamento-naz'!K38</f>
        <v>12428</v>
      </c>
      <c r="I47" s="8">
        <f t="shared" si="9"/>
        <v>12270.571251016245</v>
      </c>
      <c r="J47" s="10">
        <f>I47+CIh</f>
        <v>12482.937645867751</v>
      </c>
      <c r="K47" s="10">
        <f>MAX(I47-CIh,0)</f>
        <v>12058.204856164739</v>
      </c>
    </row>
    <row r="48" spans="2:17" x14ac:dyDescent="0.3">
      <c r="B48" s="9">
        <v>43922</v>
      </c>
      <c r="C48" s="4">
        <v>42</v>
      </c>
      <c r="D48" s="10">
        <f>'dpc-covid19-ita-andamento-naz'!L39</f>
        <v>110574</v>
      </c>
      <c r="E48" s="8">
        <f t="shared" si="8"/>
        <v>111121.54500751696</v>
      </c>
      <c r="F48" s="10">
        <f t="shared" si="6"/>
        <v>113472.61352690065</v>
      </c>
      <c r="G48" s="10">
        <f t="shared" si="7"/>
        <v>108770.47648813328</v>
      </c>
      <c r="H48" s="10">
        <f>'dpc-covid19-ita-andamento-naz'!K39</f>
        <v>13155</v>
      </c>
      <c r="I48" s="8">
        <f t="shared" si="9"/>
        <v>13114.408774729814</v>
      </c>
      <c r="J48" s="10">
        <f>I48+CIh</f>
        <v>13326.77516958132</v>
      </c>
      <c r="K48" s="10">
        <f>MAX(I48-CIh,0)</f>
        <v>12902.042379878309</v>
      </c>
    </row>
    <row r="49" spans="2:11" x14ac:dyDescent="0.3">
      <c r="B49" s="9">
        <v>43923</v>
      </c>
      <c r="C49" s="4">
        <v>43</v>
      </c>
      <c r="D49" s="10">
        <f>'dpc-covid19-ita-andamento-naz'!L40</f>
        <v>115242</v>
      </c>
      <c r="E49" s="8">
        <f t="shared" si="8"/>
        <v>115551.65329498128</v>
      </c>
      <c r="F49" s="10">
        <f t="shared" ref="F49" si="10">E49+CI</f>
        <v>117902.72181436497</v>
      </c>
      <c r="G49" s="10">
        <f t="shared" ref="G49" si="11">MAX(E49-CI,0)</f>
        <v>113200.5847755976</v>
      </c>
      <c r="H49" s="10">
        <f>'dpc-covid19-ita-andamento-naz'!K40</f>
        <v>13915</v>
      </c>
      <c r="I49" s="8">
        <f t="shared" si="9"/>
        <v>13961.66453553015</v>
      </c>
      <c r="J49" s="10">
        <f>I49+CIh</f>
        <v>14174.030930381656</v>
      </c>
      <c r="K49" s="10">
        <f>MAX(I49-CIh,0)</f>
        <v>13749.298140678644</v>
      </c>
    </row>
    <row r="50" spans="2:11" x14ac:dyDescent="0.3">
      <c r="B50" s="9">
        <v>43924</v>
      </c>
      <c r="C50" s="4">
        <v>44</v>
      </c>
      <c r="D50" s="10">
        <f>'dpc-covid19-ita-andamento-naz'!L41</f>
        <v>119827</v>
      </c>
      <c r="E50" s="8">
        <f t="shared" si="8"/>
        <v>119763.33282133375</v>
      </c>
      <c r="F50" s="10">
        <f t="shared" ref="F50" si="12">E50+CI</f>
        <v>122114.40134071744</v>
      </c>
      <c r="G50" s="10">
        <f t="shared" ref="G50" si="13">MAX(E50-CI,0)</f>
        <v>117412.26430195007</v>
      </c>
      <c r="H50" s="10">
        <f>'dpc-covid19-ita-andamento-naz'!K41</f>
        <v>14681</v>
      </c>
      <c r="I50" s="8">
        <f t="shared" si="9"/>
        <v>14809.032521888113</v>
      </c>
      <c r="J50" s="10">
        <f>I50+CIh</f>
        <v>15021.398916739619</v>
      </c>
      <c r="K50" s="10">
        <f>MAX(I50-CIh,0)</f>
        <v>14596.666127036608</v>
      </c>
    </row>
    <row r="51" spans="2:11" x14ac:dyDescent="0.3">
      <c r="B51" s="9">
        <v>43925</v>
      </c>
      <c r="C51" s="4">
        <v>45</v>
      </c>
      <c r="D51" s="10">
        <f>'dpc-covid19-ita-andamento-naz'!L42</f>
        <v>124632</v>
      </c>
      <c r="E51" s="8">
        <f t="shared" si="8"/>
        <v>123750.46965249424</v>
      </c>
      <c r="F51" s="10">
        <f t="shared" ref="F51" si="14">E51+CI</f>
        <v>126101.53817187792</v>
      </c>
      <c r="G51" s="10">
        <f t="shared" ref="G51" si="15">MAX(E51-CI,0)</f>
        <v>121399.40113311056</v>
      </c>
      <c r="H51" s="10">
        <f>'dpc-covid19-ita-andamento-naz'!K42</f>
        <v>15362</v>
      </c>
      <c r="I51" s="8">
        <f t="shared" si="9"/>
        <v>15653.355407796531</v>
      </c>
      <c r="J51" s="10">
        <f>I51+CIh</f>
        <v>15865.721802648037</v>
      </c>
      <c r="K51" s="10">
        <f>MAX(I51-CIh,0)</f>
        <v>15440.989012945025</v>
      </c>
    </row>
    <row r="52" spans="2:11" x14ac:dyDescent="0.3">
      <c r="B52" s="9">
        <v>43926</v>
      </c>
      <c r="C52" s="4">
        <v>46</v>
      </c>
      <c r="E52" s="8">
        <f t="shared" si="8"/>
        <v>127509.82471586418</v>
      </c>
      <c r="I52" s="8">
        <f t="shared" si="9"/>
        <v>16491.648868150765</v>
      </c>
    </row>
    <row r="53" spans="2:11" x14ac:dyDescent="0.3">
      <c r="B53" s="9">
        <v>43927</v>
      </c>
      <c r="C53" s="4">
        <v>47</v>
      </c>
      <c r="E53" s="8">
        <f t="shared" si="8"/>
        <v>131040.74698141553</v>
      </c>
      <c r="I53" s="8">
        <f t="shared" si="9"/>
        <v>17321.121248131771</v>
      </c>
    </row>
    <row r="54" spans="2:11" x14ac:dyDescent="0.3">
      <c r="B54" s="9">
        <v>43928</v>
      </c>
      <c r="C54" s="4">
        <v>48</v>
      </c>
      <c r="E54" s="8">
        <f t="shared" si="8"/>
        <v>134344.8754965156</v>
      </c>
      <c r="I54" s="8">
        <f t="shared" si="9"/>
        <v>18139.188759971359</v>
      </c>
    </row>
    <row r="55" spans="2:11" x14ac:dyDescent="0.3">
      <c r="B55" s="9">
        <v>43929</v>
      </c>
      <c r="C55" s="4">
        <v>49</v>
      </c>
      <c r="E55" s="8">
        <f t="shared" si="8"/>
        <v>137425.83911819241</v>
      </c>
      <c r="I55" s="8">
        <f t="shared" si="9"/>
        <v>18943.486448940006</v>
      </c>
    </row>
    <row r="56" spans="2:11" x14ac:dyDescent="0.3">
      <c r="B56" s="9">
        <v>43930</v>
      </c>
      <c r="C56" s="4">
        <v>50</v>
      </c>
      <c r="E56" s="8">
        <f t="shared" si="8"/>
        <v>140288.96130172332</v>
      </c>
      <c r="I56" s="8">
        <f t="shared" si="9"/>
        <v>19731.875222974733</v>
      </c>
    </row>
    <row r="57" spans="2:11" x14ac:dyDescent="0.3">
      <c r="B57" s="9">
        <v>43931</v>
      </c>
      <c r="C57" s="4">
        <v>51</v>
      </c>
      <c r="E57" s="8">
        <f t="shared" si="8"/>
        <v>142940.97587120809</v>
      </c>
      <c r="I57" s="8">
        <f t="shared" si="9"/>
        <v>20502.445278361232</v>
      </c>
    </row>
    <row r="58" spans="2:11" x14ac:dyDescent="0.3">
      <c r="B58" s="9">
        <v>43932</v>
      </c>
      <c r="C58" s="4">
        <v>52</v>
      </c>
      <c r="E58" s="8">
        <f t="shared" si="8"/>
        <v>145389.75835656517</v>
      </c>
      <c r="I58" s="8">
        <f t="shared" si="9"/>
        <v>21253.516278778618</v>
      </c>
    </row>
    <row r="59" spans="2:11" x14ac:dyDescent="0.3">
      <c r="B59" s="9">
        <v>43933</v>
      </c>
      <c r="C59" s="4">
        <v>53</v>
      </c>
      <c r="E59" s="8">
        <f t="shared" si="8"/>
        <v>147644.0762597502</v>
      </c>
      <c r="I59" s="8">
        <f t="shared" si="9"/>
        <v>21983.634658379415</v>
      </c>
    </row>
    <row r="60" spans="2:11" x14ac:dyDescent="0.3">
      <c r="B60" s="9">
        <v>43934</v>
      </c>
      <c r="C60" s="4">
        <v>54</v>
      </c>
      <c r="E60" s="8">
        <f t="shared" si="8"/>
        <v>149713.36052769184</v>
      </c>
      <c r="I60" s="8">
        <f t="shared" si="9"/>
        <v>22691.568423012814</v>
      </c>
    </row>
    <row r="61" spans="2:11" x14ac:dyDescent="0.3">
      <c r="B61" s="9">
        <v>43935</v>
      </c>
      <c r="C61" s="4">
        <v>55</v>
      </c>
      <c r="E61" s="8">
        <f t="shared" si="8"/>
        <v>151607.49956827826</v>
      </c>
      <c r="I61" s="8">
        <f t="shared" si="9"/>
        <v>23376.29981877785</v>
      </c>
    </row>
    <row r="62" spans="2:11" x14ac:dyDescent="0.3">
      <c r="B62" s="9">
        <v>43936</v>
      </c>
      <c r="C62" s="4">
        <v>56</v>
      </c>
      <c r="E62" s="8">
        <f t="shared" si="8"/>
        <v>153336.65634940084</v>
      </c>
      <c r="I62" s="8">
        <f t="shared" si="9"/>
        <v>24037.016225325104</v>
      </c>
    </row>
    <row r="63" spans="2:11" x14ac:dyDescent="0.3">
      <c r="B63" s="9">
        <v>43937</v>
      </c>
      <c r="C63" s="4">
        <v>57</v>
      </c>
      <c r="E63" s="8">
        <f t="shared" si="8"/>
        <v>154911.10846485742</v>
      </c>
      <c r="I63" s="8">
        <f t="shared" si="9"/>
        <v>24673.099614116847</v>
      </c>
    </row>
    <row r="64" spans="2:11" x14ac:dyDescent="0.3">
      <c r="B64" s="9">
        <v>43938</v>
      </c>
      <c r="C64" s="4">
        <v>58</v>
      </c>
      <c r="E64" s="8">
        <f t="shared" si="8"/>
        <v>156341.11052616587</v>
      </c>
      <c r="I64" s="8">
        <f t="shared" si="9"/>
        <v>25284.114890500681</v>
      </c>
    </row>
    <row r="65" spans="2:9" x14ac:dyDescent="0.3">
      <c r="B65" s="9">
        <v>43939</v>
      </c>
      <c r="C65" s="4">
        <v>59</v>
      </c>
      <c r="E65" s="8">
        <f t="shared" si="8"/>
        <v>157636.77783473415</v>
      </c>
      <c r="I65" s="8">
        <f t="shared" si="9"/>
        <v>25869.797414110843</v>
      </c>
    </row>
    <row r="66" spans="2:9" x14ac:dyDescent="0.3">
      <c r="B66" s="9">
        <v>43940</v>
      </c>
      <c r="C66" s="4">
        <v>60</v>
      </c>
      <c r="E66" s="8">
        <f t="shared" si="8"/>
        <v>158807.98999146521</v>
      </c>
      <c r="I66" s="8">
        <f t="shared" si="9"/>
        <v>26430.039965809789</v>
      </c>
    </row>
    <row r="67" spans="2:9" x14ac:dyDescent="0.3">
      <c r="B67" s="9">
        <v>43941</v>
      </c>
      <c r="C67" s="4">
        <v>61</v>
      </c>
      <c r="E67" s="8">
        <f t="shared" si="8"/>
        <v>159864.31289711726</v>
      </c>
      <c r="I67" s="8">
        <f t="shared" si="9"/>
        <v>26964.879402005139</v>
      </c>
    </row>
    <row r="68" spans="2:9" x14ac:dyDescent="0.3">
      <c r="B68" s="9">
        <v>43942</v>
      </c>
      <c r="C68" s="4">
        <v>62</v>
      </c>
      <c r="E68" s="8">
        <f t="shared" si="8"/>
        <v>160814.93747291178</v>
      </c>
      <c r="I68" s="8">
        <f t="shared" si="9"/>
        <v>27474.48320948218</v>
      </c>
    </row>
    <row r="69" spans="2:9" x14ac:dyDescent="0.3">
      <c r="B69" s="9">
        <v>43943</v>
      </c>
      <c r="C69" s="4">
        <v>63</v>
      </c>
      <c r="E69" s="8">
        <f t="shared" si="8"/>
        <v>161668.6333737564</v>
      </c>
      <c r="I69" s="8">
        <f t="shared" si="9"/>
        <v>27959.136146498036</v>
      </c>
    </row>
    <row r="70" spans="2:9" x14ac:dyDescent="0.3">
      <c r="B70" s="9">
        <v>43944</v>
      </c>
      <c r="C70" s="4">
        <v>64</v>
      </c>
      <c r="E70" s="8">
        <f t="shared" si="8"/>
        <v>162433.71596362934</v>
      </c>
      <c r="I70" s="8">
        <f t="shared" si="9"/>
        <v>28419.227129305193</v>
      </c>
    </row>
    <row r="71" spans="2:9" x14ac:dyDescent="0.3">
      <c r="B71" s="9"/>
      <c r="C71" s="4"/>
      <c r="E71" s="8"/>
      <c r="I71" s="8"/>
    </row>
    <row r="72" spans="2:9" x14ac:dyDescent="0.3">
      <c r="B72" s="9"/>
      <c r="C72" s="4"/>
      <c r="E72" s="8"/>
      <c r="I72" s="8"/>
    </row>
    <row r="73" spans="2:9" x14ac:dyDescent="0.3">
      <c r="B73" s="9"/>
      <c r="C73" s="4"/>
      <c r="E73" s="8"/>
      <c r="I73" s="8"/>
    </row>
    <row r="74" spans="2:9" x14ac:dyDescent="0.3">
      <c r="B74" s="9"/>
      <c r="C74" s="4"/>
      <c r="E74" s="8"/>
      <c r="I74" s="8"/>
    </row>
    <row r="75" spans="2:9" x14ac:dyDescent="0.3">
      <c r="B75" s="9"/>
      <c r="C75" s="4"/>
      <c r="E75" s="8"/>
      <c r="I75" s="8"/>
    </row>
    <row r="76" spans="2:9" x14ac:dyDescent="0.3">
      <c r="B76" s="9"/>
      <c r="C76" s="4"/>
      <c r="E76" s="8"/>
      <c r="I76" s="8"/>
    </row>
    <row r="77" spans="2:9" x14ac:dyDescent="0.3">
      <c r="B77" s="9"/>
      <c r="C77" s="4"/>
      <c r="E77" s="8"/>
      <c r="I77" s="8"/>
    </row>
    <row r="78" spans="2:9" x14ac:dyDescent="0.3">
      <c r="B78" s="9"/>
      <c r="C78" s="4"/>
      <c r="E78" s="8"/>
      <c r="I78" s="8"/>
    </row>
    <row r="79" spans="2:9" x14ac:dyDescent="0.3">
      <c r="B79" s="9"/>
      <c r="C79" s="4"/>
      <c r="E79" s="8"/>
      <c r="I79" s="8"/>
    </row>
    <row r="80" spans="2:9" x14ac:dyDescent="0.3">
      <c r="B80" s="9"/>
      <c r="C80" s="4"/>
      <c r="E80" s="8"/>
      <c r="I80" s="8"/>
    </row>
    <row r="81" spans="2:9" x14ac:dyDescent="0.3">
      <c r="B81" s="9"/>
      <c r="C81" s="4"/>
      <c r="E81" s="8"/>
      <c r="I81" s="8"/>
    </row>
    <row r="82" spans="2:9" x14ac:dyDescent="0.3">
      <c r="B82" s="9"/>
      <c r="C82" s="4"/>
      <c r="E82" s="8"/>
      <c r="I82" s="8"/>
    </row>
    <row r="83" spans="2:9" x14ac:dyDescent="0.3">
      <c r="B83" s="9"/>
      <c r="C83" s="4"/>
      <c r="E83" s="8"/>
      <c r="I83" s="8"/>
    </row>
    <row r="84" spans="2:9" x14ac:dyDescent="0.3">
      <c r="B84" s="9"/>
      <c r="C84" s="4"/>
      <c r="E84" s="8"/>
      <c r="I84" s="8"/>
    </row>
    <row r="85" spans="2:9" x14ac:dyDescent="0.3">
      <c r="B85" s="9"/>
      <c r="C85" s="4"/>
      <c r="E85" s="8"/>
      <c r="I85" s="8"/>
    </row>
    <row r="86" spans="2:9" x14ac:dyDescent="0.3">
      <c r="B86" s="9"/>
      <c r="C86" s="4"/>
      <c r="E86" s="8"/>
      <c r="I86" s="8"/>
    </row>
    <row r="87" spans="2:9" x14ac:dyDescent="0.3">
      <c r="B87" s="9"/>
      <c r="C87" s="4"/>
      <c r="E87" s="8"/>
      <c r="I87" s="8"/>
    </row>
    <row r="88" spans="2:9" x14ac:dyDescent="0.3">
      <c r="B88" s="9"/>
      <c r="C88" s="4"/>
      <c r="E88" s="8"/>
      <c r="I88" s="8"/>
    </row>
    <row r="89" spans="2:9" x14ac:dyDescent="0.3">
      <c r="B89" s="9"/>
      <c r="C89" s="4"/>
      <c r="E89" s="8"/>
      <c r="I89" s="8"/>
    </row>
    <row r="90" spans="2:9" x14ac:dyDescent="0.3">
      <c r="B90" s="9"/>
      <c r="C90" s="4"/>
      <c r="E90" s="8"/>
      <c r="I90" s="8"/>
    </row>
    <row r="91" spans="2:9" x14ac:dyDescent="0.3">
      <c r="B91" s="9"/>
      <c r="C91" s="4"/>
      <c r="E91" s="8"/>
      <c r="I91" s="8"/>
    </row>
    <row r="92" spans="2:9" x14ac:dyDescent="0.3">
      <c r="B92" s="9"/>
      <c r="C92" s="4"/>
      <c r="E92" s="8"/>
      <c r="I92" s="8"/>
    </row>
    <row r="93" spans="2:9" x14ac:dyDescent="0.3">
      <c r="B93" s="9"/>
      <c r="C93" s="4"/>
      <c r="E93" s="8"/>
      <c r="I93" s="8"/>
    </row>
    <row r="94" spans="2:9" x14ac:dyDescent="0.3">
      <c r="B94" s="9"/>
      <c r="C94" s="4"/>
      <c r="E94" s="8"/>
      <c r="I94" s="8"/>
    </row>
    <row r="95" spans="2:9" x14ac:dyDescent="0.3">
      <c r="B95" s="9"/>
      <c r="C95" s="4"/>
      <c r="E95" s="8"/>
      <c r="I95" s="8"/>
    </row>
    <row r="96" spans="2:9" x14ac:dyDescent="0.3">
      <c r="B96" s="9"/>
      <c r="C96" s="4"/>
      <c r="E96" s="8"/>
      <c r="I96" s="8"/>
    </row>
    <row r="97" spans="2:9" x14ac:dyDescent="0.3">
      <c r="B97" s="9"/>
      <c r="C97" s="4"/>
      <c r="E97" s="8"/>
      <c r="I97" s="8"/>
    </row>
    <row r="98" spans="2:9" x14ac:dyDescent="0.3">
      <c r="B98" s="9"/>
      <c r="C98" s="4"/>
      <c r="E98" s="8"/>
      <c r="I98" s="8"/>
    </row>
    <row r="99" spans="2:9" x14ac:dyDescent="0.3">
      <c r="B99" s="9"/>
      <c r="C99" s="4"/>
      <c r="E99" s="8"/>
      <c r="I99" s="8"/>
    </row>
    <row r="100" spans="2:9" x14ac:dyDescent="0.3">
      <c r="B100" s="9"/>
      <c r="C100" s="4"/>
      <c r="E100" s="8"/>
      <c r="I100" s="8"/>
    </row>
    <row r="101" spans="2:9" x14ac:dyDescent="0.3">
      <c r="B101" s="9"/>
      <c r="C101" s="4"/>
      <c r="E101" s="8"/>
      <c r="I101" s="8"/>
    </row>
    <row r="102" spans="2:9" x14ac:dyDescent="0.3">
      <c r="B102" s="9"/>
      <c r="C102" s="4"/>
      <c r="E102" s="8"/>
      <c r="I102" s="8"/>
    </row>
    <row r="103" spans="2:9" x14ac:dyDescent="0.3">
      <c r="B103" s="9"/>
      <c r="C103" s="4"/>
      <c r="E103" s="8"/>
      <c r="I103" s="8"/>
    </row>
    <row r="104" spans="2:9" x14ac:dyDescent="0.3">
      <c r="B104" s="9"/>
      <c r="C104" s="4"/>
      <c r="E104" s="8"/>
      <c r="I104" s="8"/>
    </row>
    <row r="105" spans="2:9" x14ac:dyDescent="0.3">
      <c r="B105" s="9"/>
      <c r="C105" s="4"/>
      <c r="E105" s="8"/>
      <c r="I105" s="8"/>
    </row>
    <row r="106" spans="2:9" x14ac:dyDescent="0.3">
      <c r="B106" s="9"/>
      <c r="C106" s="4"/>
      <c r="E106" s="8"/>
      <c r="I106" s="8"/>
    </row>
    <row r="107" spans="2:9" x14ac:dyDescent="0.3">
      <c r="B107" s="9"/>
      <c r="C107" s="4"/>
      <c r="E107" s="8"/>
      <c r="I107" s="8"/>
    </row>
    <row r="108" spans="2:9" x14ac:dyDescent="0.3">
      <c r="B108" s="9"/>
      <c r="C108" s="4"/>
      <c r="E108" s="8"/>
      <c r="I108" s="8"/>
    </row>
    <row r="109" spans="2:9" x14ac:dyDescent="0.3">
      <c r="B109" s="9"/>
      <c r="C109" s="4"/>
      <c r="E109" s="8"/>
      <c r="I109" s="8"/>
    </row>
    <row r="110" spans="2:9" x14ac:dyDescent="0.3">
      <c r="B110" s="9"/>
      <c r="C110" s="4"/>
      <c r="E110" s="8"/>
      <c r="I110" s="8"/>
    </row>
    <row r="111" spans="2:9" x14ac:dyDescent="0.3">
      <c r="B111" s="9"/>
      <c r="C111" s="4"/>
      <c r="E111" s="8"/>
      <c r="I111" s="8"/>
    </row>
    <row r="112" spans="2:9" x14ac:dyDescent="0.3">
      <c r="B112" s="9"/>
      <c r="C112" s="4"/>
      <c r="E112" s="8"/>
      <c r="I112" s="8"/>
    </row>
    <row r="113" spans="2:9" x14ac:dyDescent="0.3">
      <c r="B113" s="9"/>
      <c r="C113" s="4"/>
      <c r="E113" s="8"/>
      <c r="I113" s="8"/>
    </row>
    <row r="114" spans="2:9" x14ac:dyDescent="0.3">
      <c r="B114" s="9"/>
      <c r="C114" s="4"/>
      <c r="E114" s="8"/>
      <c r="I114" s="8"/>
    </row>
    <row r="115" spans="2:9" x14ac:dyDescent="0.3">
      <c r="B115" s="9"/>
      <c r="C115" s="4"/>
      <c r="E115" s="8"/>
      <c r="I115" s="8"/>
    </row>
    <row r="116" spans="2:9" x14ac:dyDescent="0.3">
      <c r="B116" s="9"/>
      <c r="C116" s="4"/>
      <c r="E116" s="8"/>
      <c r="I116" s="8"/>
    </row>
    <row r="117" spans="2:9" x14ac:dyDescent="0.3">
      <c r="B117" s="9"/>
      <c r="C117" s="4"/>
      <c r="E117" s="8"/>
      <c r="I117" s="8"/>
    </row>
    <row r="118" spans="2:9" x14ac:dyDescent="0.3">
      <c r="B118" s="9"/>
      <c r="C118" s="4"/>
      <c r="E118" s="8"/>
      <c r="I118" s="8"/>
    </row>
    <row r="119" spans="2:9" x14ac:dyDescent="0.3">
      <c r="B119" s="9"/>
      <c r="C119" s="4"/>
      <c r="E119" s="8"/>
      <c r="I119" s="8"/>
    </row>
    <row r="120" spans="2:9" x14ac:dyDescent="0.3">
      <c r="B120" s="9"/>
      <c r="C120" s="4"/>
      <c r="E120" s="8"/>
      <c r="I120" s="8"/>
    </row>
    <row r="121" spans="2:9" x14ac:dyDescent="0.3">
      <c r="B121" s="9"/>
      <c r="C121" s="4"/>
      <c r="E121" s="8"/>
      <c r="I121" s="8"/>
    </row>
    <row r="122" spans="2:9" x14ac:dyDescent="0.3">
      <c r="B122" s="9"/>
      <c r="C122" s="4"/>
      <c r="E122" s="8"/>
      <c r="I122" s="8"/>
    </row>
    <row r="123" spans="2:9" x14ac:dyDescent="0.3">
      <c r="B123" s="9"/>
      <c r="C123" s="4"/>
      <c r="E123" s="8"/>
      <c r="I123" s="8"/>
    </row>
    <row r="124" spans="2:9" x14ac:dyDescent="0.3">
      <c r="B124" s="9"/>
      <c r="C124" s="4"/>
      <c r="E124" s="8"/>
      <c r="I124" s="8"/>
    </row>
    <row r="125" spans="2:9" x14ac:dyDescent="0.3">
      <c r="B125" s="9"/>
      <c r="C125" s="4"/>
      <c r="E125" s="8"/>
      <c r="I125" s="8"/>
    </row>
    <row r="126" spans="2:9" x14ac:dyDescent="0.3">
      <c r="B126" s="9"/>
      <c r="C126" s="4"/>
      <c r="E126" s="8"/>
      <c r="I126" s="8"/>
    </row>
    <row r="127" spans="2:9" x14ac:dyDescent="0.3">
      <c r="B127" s="9"/>
      <c r="C127" s="4"/>
      <c r="E127" s="8"/>
      <c r="I127" s="8"/>
    </row>
    <row r="128" spans="2:9" x14ac:dyDescent="0.3">
      <c r="B128" s="9"/>
      <c r="C128" s="4"/>
      <c r="E128" s="8"/>
      <c r="I128" s="8"/>
    </row>
    <row r="129" spans="2:9" x14ac:dyDescent="0.3">
      <c r="B129" s="9"/>
      <c r="C129" s="4"/>
      <c r="E129" s="8"/>
      <c r="I129" s="8"/>
    </row>
    <row r="130" spans="2:9" x14ac:dyDescent="0.3">
      <c r="B130" s="9"/>
      <c r="C130" s="4"/>
      <c r="E130" s="8"/>
      <c r="I130" s="8"/>
    </row>
    <row r="131" spans="2:9" x14ac:dyDescent="0.3">
      <c r="B131" s="9"/>
      <c r="C131" s="4"/>
      <c r="E131" s="8"/>
      <c r="I131" s="8"/>
    </row>
    <row r="132" spans="2:9" x14ac:dyDescent="0.3">
      <c r="B132" s="9"/>
      <c r="C132" s="4"/>
      <c r="E132" s="8"/>
      <c r="I132" s="8"/>
    </row>
    <row r="133" spans="2:9" x14ac:dyDescent="0.3">
      <c r="B133" s="9"/>
      <c r="C133" s="4"/>
      <c r="E133" s="8"/>
      <c r="I133" s="8"/>
    </row>
    <row r="134" spans="2:9" x14ac:dyDescent="0.3">
      <c r="B134" s="9"/>
      <c r="C134" s="4"/>
      <c r="E134" s="8"/>
      <c r="I134" s="8"/>
    </row>
    <row r="135" spans="2:9" x14ac:dyDescent="0.3">
      <c r="B135" s="9"/>
      <c r="C135" s="4"/>
      <c r="E135" s="8"/>
      <c r="I135" s="8"/>
    </row>
    <row r="136" spans="2:9" x14ac:dyDescent="0.3">
      <c r="B136" s="9"/>
      <c r="C136" s="4"/>
      <c r="E136" s="8"/>
      <c r="I136" s="8"/>
    </row>
    <row r="137" spans="2:9" x14ac:dyDescent="0.3">
      <c r="B137" s="9"/>
      <c r="C137" s="4"/>
      <c r="E137" s="8"/>
      <c r="I137" s="8"/>
    </row>
    <row r="138" spans="2:9" x14ac:dyDescent="0.3">
      <c r="B138" s="9"/>
      <c r="C138" s="4"/>
      <c r="E138" s="8"/>
      <c r="I138" s="8"/>
    </row>
    <row r="139" spans="2:9" x14ac:dyDescent="0.3">
      <c r="B139" s="9"/>
      <c r="C139" s="4"/>
      <c r="E139" s="8"/>
      <c r="I139" s="8"/>
    </row>
    <row r="140" spans="2:9" x14ac:dyDescent="0.3">
      <c r="B140" s="9"/>
      <c r="C140" s="4"/>
      <c r="E140" s="8"/>
      <c r="I140" s="8"/>
    </row>
    <row r="141" spans="2:9" x14ac:dyDescent="0.3">
      <c r="B141" s="9"/>
      <c r="C141" s="4"/>
      <c r="E141" s="8"/>
      <c r="I141" s="8"/>
    </row>
    <row r="142" spans="2:9" x14ac:dyDescent="0.3">
      <c r="B142" s="9"/>
      <c r="C142" s="4"/>
      <c r="E142" s="8"/>
      <c r="I142" s="8"/>
    </row>
    <row r="143" spans="2:9" x14ac:dyDescent="0.3">
      <c r="B143" s="9"/>
      <c r="C143" s="4"/>
      <c r="E143" s="8"/>
      <c r="I143" s="8"/>
    </row>
    <row r="144" spans="2:9" x14ac:dyDescent="0.3">
      <c r="B144" s="9"/>
      <c r="C144" s="4"/>
      <c r="E144" s="8"/>
      <c r="I144" s="8"/>
    </row>
    <row r="145" spans="2:9" x14ac:dyDescent="0.3">
      <c r="B145" s="9"/>
      <c r="C145" s="4"/>
      <c r="E145" s="8"/>
      <c r="I145" s="8"/>
    </row>
    <row r="146" spans="2:9" x14ac:dyDescent="0.3">
      <c r="B146" s="9"/>
      <c r="C146" s="4"/>
      <c r="E146" s="8"/>
      <c r="I146" s="8"/>
    </row>
    <row r="147" spans="2:9" x14ac:dyDescent="0.3">
      <c r="B147" s="9"/>
      <c r="C147" s="4"/>
      <c r="E147" s="8"/>
      <c r="I147" s="8"/>
    </row>
    <row r="148" spans="2:9" x14ac:dyDescent="0.3">
      <c r="B148" s="9"/>
      <c r="C148" s="4"/>
      <c r="E148" s="8"/>
      <c r="I148" s="8"/>
    </row>
    <row r="149" spans="2:9" x14ac:dyDescent="0.3">
      <c r="B149" s="9"/>
      <c r="C149" s="4"/>
      <c r="E149" s="8"/>
      <c r="I149" s="8"/>
    </row>
    <row r="150" spans="2:9" x14ac:dyDescent="0.3">
      <c r="B150" s="9"/>
      <c r="C150" s="4"/>
      <c r="E150" s="8"/>
      <c r="I150" s="8"/>
    </row>
    <row r="151" spans="2:9" x14ac:dyDescent="0.3">
      <c r="B151" s="9"/>
      <c r="C151" s="4"/>
      <c r="E151" s="8"/>
      <c r="I151" s="8"/>
    </row>
    <row r="152" spans="2:9" x14ac:dyDescent="0.3">
      <c r="B152" s="9"/>
      <c r="C152" s="4"/>
      <c r="E152" s="8"/>
      <c r="I152" s="8"/>
    </row>
    <row r="153" spans="2:9" x14ac:dyDescent="0.3">
      <c r="B153" s="9"/>
      <c r="C153" s="4"/>
      <c r="E153" s="8"/>
      <c r="I153" s="8"/>
    </row>
    <row r="154" spans="2:9" x14ac:dyDescent="0.3">
      <c r="B154" s="9"/>
      <c r="C154" s="4"/>
      <c r="E154" s="8"/>
      <c r="I154" s="8"/>
    </row>
    <row r="155" spans="2:9" x14ac:dyDescent="0.3">
      <c r="B155" s="9"/>
      <c r="C155" s="4"/>
      <c r="E155" s="8"/>
      <c r="I155" s="8"/>
    </row>
    <row r="156" spans="2:9" x14ac:dyDescent="0.3">
      <c r="B156" s="9"/>
      <c r="C156" s="4"/>
      <c r="E156" s="8"/>
      <c r="I156" s="8"/>
    </row>
    <row r="157" spans="2:9" x14ac:dyDescent="0.3">
      <c r="B157" s="9"/>
      <c r="C157" s="4"/>
      <c r="E157" s="8"/>
      <c r="I157" s="8"/>
    </row>
    <row r="158" spans="2:9" x14ac:dyDescent="0.3">
      <c r="B158" s="9"/>
      <c r="C158" s="4"/>
      <c r="E158" s="8"/>
      <c r="I158" s="8"/>
    </row>
    <row r="159" spans="2:9" x14ac:dyDescent="0.3">
      <c r="B159" s="9"/>
      <c r="C159" s="4"/>
      <c r="E159" s="8"/>
      <c r="I159" s="8"/>
    </row>
    <row r="160" spans="2:9" x14ac:dyDescent="0.3">
      <c r="B160" s="9"/>
      <c r="C160" s="4"/>
      <c r="E160" s="8"/>
      <c r="I160" s="8"/>
    </row>
    <row r="161" spans="2:9" x14ac:dyDescent="0.3">
      <c r="B161" s="9"/>
      <c r="C161" s="4"/>
      <c r="E161" s="8"/>
      <c r="I161" s="8"/>
    </row>
    <row r="162" spans="2:9" x14ac:dyDescent="0.3">
      <c r="B162" s="9"/>
      <c r="C162" s="4"/>
      <c r="E162" s="8"/>
      <c r="I162" s="8"/>
    </row>
    <row r="163" spans="2:9" x14ac:dyDescent="0.3">
      <c r="B163" s="9"/>
      <c r="C163" s="4"/>
      <c r="E163" s="8"/>
      <c r="I163" s="8"/>
    </row>
    <row r="164" spans="2:9" x14ac:dyDescent="0.3">
      <c r="B164" s="9"/>
      <c r="C164" s="4"/>
      <c r="E164" s="8"/>
      <c r="I164" s="8"/>
    </row>
    <row r="165" spans="2:9" x14ac:dyDescent="0.3">
      <c r="B165" s="9"/>
      <c r="C165" s="4"/>
      <c r="E165" s="8"/>
      <c r="I165" s="8"/>
    </row>
    <row r="166" spans="2:9" x14ac:dyDescent="0.3">
      <c r="B166" s="9"/>
      <c r="C166" s="4"/>
      <c r="E166" s="8"/>
      <c r="I166" s="8"/>
    </row>
    <row r="167" spans="2:9" x14ac:dyDescent="0.3">
      <c r="B167" s="9"/>
      <c r="C167" s="4"/>
      <c r="E167" s="8"/>
      <c r="I167" s="8"/>
    </row>
    <row r="168" spans="2:9" x14ac:dyDescent="0.3">
      <c r="B168" s="9"/>
      <c r="C168" s="4"/>
      <c r="E168" s="8"/>
      <c r="I168" s="8"/>
    </row>
    <row r="169" spans="2:9" x14ac:dyDescent="0.3">
      <c r="B169" s="9"/>
      <c r="C169" s="4"/>
      <c r="E169" s="8"/>
      <c r="I169" s="8"/>
    </row>
    <row r="170" spans="2:9" x14ac:dyDescent="0.3">
      <c r="B170" s="9"/>
      <c r="C170" s="4"/>
      <c r="E170" s="8"/>
      <c r="I170" s="8"/>
    </row>
    <row r="171" spans="2:9" x14ac:dyDescent="0.3">
      <c r="B171" s="9"/>
      <c r="C171" s="4"/>
      <c r="E171" s="8"/>
      <c r="I171" s="8"/>
    </row>
    <row r="172" spans="2:9" x14ac:dyDescent="0.3">
      <c r="B172" s="9"/>
      <c r="C172" s="4"/>
      <c r="E172" s="8"/>
      <c r="I172" s="8"/>
    </row>
    <row r="173" spans="2:9" x14ac:dyDescent="0.3">
      <c r="B173" s="9"/>
      <c r="C173" s="4"/>
      <c r="E173" s="8"/>
      <c r="I173" s="8"/>
    </row>
    <row r="174" spans="2:9" x14ac:dyDescent="0.3">
      <c r="B174" s="9"/>
      <c r="C174" s="4"/>
      <c r="E174" s="8"/>
      <c r="I174" s="8"/>
    </row>
    <row r="175" spans="2:9" x14ac:dyDescent="0.3">
      <c r="B175" s="9"/>
      <c r="C175" s="4"/>
      <c r="E175" s="8"/>
      <c r="I175" s="8"/>
    </row>
    <row r="176" spans="2:9" x14ac:dyDescent="0.3">
      <c r="B176" s="9"/>
      <c r="C176" s="4"/>
      <c r="E176" s="8"/>
      <c r="I176" s="8"/>
    </row>
    <row r="177" spans="2:9" x14ac:dyDescent="0.3">
      <c r="B177" s="9"/>
      <c r="C177" s="4"/>
      <c r="E177" s="8"/>
      <c r="I177" s="8"/>
    </row>
    <row r="178" spans="2:9" x14ac:dyDescent="0.3">
      <c r="B178" s="9"/>
      <c r="C178" s="4"/>
      <c r="E178" s="8"/>
      <c r="I178" s="8"/>
    </row>
    <row r="179" spans="2:9" x14ac:dyDescent="0.3">
      <c r="B179" s="9"/>
      <c r="C179" s="4"/>
      <c r="E179" s="8"/>
      <c r="I179" s="8"/>
    </row>
    <row r="180" spans="2:9" x14ac:dyDescent="0.3">
      <c r="B180" s="9"/>
      <c r="C180" s="4"/>
      <c r="E180" s="8"/>
      <c r="I180" s="8"/>
    </row>
    <row r="181" spans="2:9" x14ac:dyDescent="0.3">
      <c r="B181" s="9"/>
      <c r="C181" s="4"/>
      <c r="E181" s="8"/>
      <c r="I181" s="8"/>
    </row>
    <row r="182" spans="2:9" x14ac:dyDescent="0.3">
      <c r="B182" s="9"/>
      <c r="C182" s="4"/>
      <c r="E182" s="8"/>
      <c r="I182" s="8"/>
    </row>
    <row r="183" spans="2:9" x14ac:dyDescent="0.3">
      <c r="B183" s="9"/>
      <c r="C183" s="4"/>
      <c r="E183" s="8"/>
      <c r="I183" s="8"/>
    </row>
    <row r="184" spans="2:9" x14ac:dyDescent="0.3">
      <c r="B184" s="9"/>
      <c r="C184" s="4"/>
      <c r="E184" s="8"/>
      <c r="I184" s="8"/>
    </row>
    <row r="185" spans="2:9" x14ac:dyDescent="0.3">
      <c r="B185" s="9"/>
      <c r="C185" s="4"/>
      <c r="E185" s="8"/>
      <c r="I185" s="8"/>
    </row>
    <row r="186" spans="2:9" x14ac:dyDescent="0.3">
      <c r="B186" s="9"/>
      <c r="C186" s="4"/>
      <c r="E186" s="8"/>
      <c r="I186" s="8"/>
    </row>
    <row r="187" spans="2:9" x14ac:dyDescent="0.3">
      <c r="B187" s="9"/>
      <c r="C187" s="4"/>
      <c r="E187" s="8"/>
      <c r="I187" s="8"/>
    </row>
    <row r="188" spans="2:9" x14ac:dyDescent="0.3">
      <c r="B188" s="9"/>
      <c r="C188" s="4"/>
      <c r="E188" s="8"/>
      <c r="I188" s="8"/>
    </row>
    <row r="189" spans="2:9" x14ac:dyDescent="0.3">
      <c r="B189" s="9"/>
      <c r="C189" s="4"/>
      <c r="E189" s="8"/>
      <c r="I189" s="8"/>
    </row>
    <row r="190" spans="2:9" x14ac:dyDescent="0.3">
      <c r="B190" s="9"/>
      <c r="C190" s="4"/>
      <c r="E190" s="8"/>
      <c r="I190" s="8"/>
    </row>
    <row r="191" spans="2:9" x14ac:dyDescent="0.3">
      <c r="B191" s="9"/>
      <c r="C191" s="4"/>
      <c r="E191" s="8"/>
      <c r="I191" s="8"/>
    </row>
    <row r="192" spans="2:9" x14ac:dyDescent="0.3">
      <c r="B192" s="9"/>
      <c r="C192" s="4"/>
      <c r="E192" s="8"/>
      <c r="I192" s="8"/>
    </row>
    <row r="193" spans="2:9" x14ac:dyDescent="0.3">
      <c r="B193" s="9"/>
      <c r="C193" s="4"/>
      <c r="E193" s="8"/>
      <c r="I193" s="8"/>
    </row>
    <row r="194" spans="2:9" x14ac:dyDescent="0.3">
      <c r="B194" s="9"/>
      <c r="C194" s="4"/>
      <c r="E194" s="8"/>
      <c r="I194" s="8"/>
    </row>
    <row r="195" spans="2:9" x14ac:dyDescent="0.3">
      <c r="B195" s="9"/>
      <c r="C195" s="4"/>
      <c r="E195" s="8"/>
      <c r="I195" s="8"/>
    </row>
    <row r="196" spans="2:9" x14ac:dyDescent="0.3">
      <c r="B196" s="9"/>
      <c r="C196" s="4"/>
      <c r="E196" s="8"/>
      <c r="I196" s="8"/>
    </row>
    <row r="197" spans="2:9" x14ac:dyDescent="0.3">
      <c r="B197" s="9"/>
      <c r="C197" s="4"/>
      <c r="E197" s="8"/>
      <c r="I197" s="8"/>
    </row>
    <row r="198" spans="2:9" x14ac:dyDescent="0.3">
      <c r="B198" s="9"/>
      <c r="C198" s="4"/>
      <c r="E198" s="8"/>
      <c r="I198" s="8"/>
    </row>
    <row r="199" spans="2:9" x14ac:dyDescent="0.3">
      <c r="B199" s="9"/>
      <c r="C199" s="4"/>
      <c r="E199" s="8"/>
      <c r="I199" s="8"/>
    </row>
    <row r="200" spans="2:9" x14ac:dyDescent="0.3">
      <c r="B200" s="9"/>
      <c r="C200" s="4"/>
      <c r="E200" s="8"/>
      <c r="I200" s="8"/>
    </row>
    <row r="201" spans="2:9" x14ac:dyDescent="0.3">
      <c r="B201" s="9"/>
      <c r="C201" s="4"/>
      <c r="E201" s="8"/>
      <c r="I201" s="8"/>
    </row>
    <row r="202" spans="2:9" x14ac:dyDescent="0.3">
      <c r="B202" s="9"/>
      <c r="C202" s="4"/>
      <c r="E202" s="8"/>
      <c r="I202" s="8"/>
    </row>
    <row r="203" spans="2:9" x14ac:dyDescent="0.3">
      <c r="B203" s="9"/>
      <c r="C203" s="4"/>
      <c r="E203" s="8"/>
      <c r="I203" s="8"/>
    </row>
    <row r="204" spans="2:9" x14ac:dyDescent="0.3">
      <c r="B204" s="9"/>
      <c r="C204" s="4"/>
      <c r="E204" s="8"/>
      <c r="I204" s="8"/>
    </row>
    <row r="205" spans="2:9" x14ac:dyDescent="0.3">
      <c r="B205" s="9"/>
      <c r="C205" s="4"/>
      <c r="E205" s="8"/>
      <c r="I205" s="8"/>
    </row>
    <row r="206" spans="2:9" x14ac:dyDescent="0.3">
      <c r="B206" s="9"/>
      <c r="C206" s="4"/>
      <c r="E206" s="8"/>
      <c r="I206" s="8"/>
    </row>
    <row r="207" spans="2:9" x14ac:dyDescent="0.3">
      <c r="B207" s="9"/>
      <c r="C207" s="4"/>
      <c r="E207" s="8"/>
      <c r="I207" s="8"/>
    </row>
    <row r="208" spans="2:9" x14ac:dyDescent="0.3">
      <c r="B208" s="9"/>
      <c r="C208" s="4"/>
      <c r="E208" s="8"/>
      <c r="I208" s="8"/>
    </row>
    <row r="209" spans="2:9" x14ac:dyDescent="0.3">
      <c r="B209" s="9"/>
      <c r="C209" s="4"/>
      <c r="E209" s="8"/>
      <c r="I209" s="8"/>
    </row>
    <row r="210" spans="2:9" x14ac:dyDescent="0.3">
      <c r="B210" s="9"/>
      <c r="C210" s="4"/>
      <c r="E210" s="8"/>
      <c r="I210" s="8"/>
    </row>
    <row r="211" spans="2:9" x14ac:dyDescent="0.3">
      <c r="B211" s="9"/>
      <c r="C211" s="4"/>
      <c r="E211" s="8"/>
      <c r="I211" s="8"/>
    </row>
    <row r="212" spans="2:9" x14ac:dyDescent="0.3">
      <c r="B212" s="9"/>
      <c r="C212" s="4"/>
      <c r="E212" s="8"/>
      <c r="I212" s="8"/>
    </row>
    <row r="213" spans="2:9" x14ac:dyDescent="0.3">
      <c r="B213" s="9"/>
      <c r="C213" s="4"/>
      <c r="E213" s="8"/>
      <c r="I213" s="8"/>
    </row>
    <row r="214" spans="2:9" x14ac:dyDescent="0.3">
      <c r="B214" s="9"/>
      <c r="C214" s="4"/>
      <c r="E214" s="8"/>
      <c r="I214" s="8"/>
    </row>
    <row r="215" spans="2:9" x14ac:dyDescent="0.3">
      <c r="B215" s="9"/>
      <c r="C215" s="4"/>
      <c r="E215" s="8"/>
      <c r="I215" s="8"/>
    </row>
    <row r="216" spans="2:9" x14ac:dyDescent="0.3">
      <c r="B216" s="9"/>
      <c r="C216" s="4"/>
      <c r="E216" s="8"/>
      <c r="I216" s="8"/>
    </row>
    <row r="217" spans="2:9" x14ac:dyDescent="0.3">
      <c r="B217" s="9"/>
      <c r="C217" s="4"/>
      <c r="E217" s="8"/>
      <c r="I217" s="8"/>
    </row>
    <row r="218" spans="2:9" x14ac:dyDescent="0.3">
      <c r="B218" s="9"/>
      <c r="C218" s="4"/>
      <c r="E218" s="8"/>
      <c r="I218" s="8"/>
    </row>
    <row r="219" spans="2:9" x14ac:dyDescent="0.3">
      <c r="B219" s="9"/>
      <c r="C219" s="4"/>
      <c r="E219" s="8"/>
      <c r="I219" s="8"/>
    </row>
    <row r="220" spans="2:9" x14ac:dyDescent="0.3">
      <c r="B220" s="9"/>
      <c r="C220" s="4"/>
      <c r="E220" s="8"/>
      <c r="I220" s="8"/>
    </row>
    <row r="221" spans="2:9" x14ac:dyDescent="0.3">
      <c r="B221" s="9"/>
      <c r="C221" s="4"/>
      <c r="E221" s="8"/>
      <c r="I221" s="8"/>
    </row>
    <row r="222" spans="2:9" x14ac:dyDescent="0.3">
      <c r="B222" s="9"/>
      <c r="C222" s="4"/>
      <c r="E222" s="8"/>
      <c r="I222" s="8"/>
    </row>
    <row r="223" spans="2:9" x14ac:dyDescent="0.3">
      <c r="B223" s="9"/>
      <c r="C223" s="4"/>
      <c r="E223" s="8"/>
      <c r="I223" s="8"/>
    </row>
    <row r="224" spans="2:9" x14ac:dyDescent="0.3">
      <c r="B224" s="9"/>
      <c r="C224" s="4"/>
      <c r="E224" s="8"/>
      <c r="I224" s="8"/>
    </row>
    <row r="225" spans="2:9" x14ac:dyDescent="0.3">
      <c r="B225" s="9"/>
      <c r="C225" s="4"/>
      <c r="E225" s="8"/>
      <c r="I225" s="8"/>
    </row>
    <row r="226" spans="2:9" x14ac:dyDescent="0.3">
      <c r="B226" s="9"/>
      <c r="C226" s="4"/>
      <c r="E226" s="8"/>
      <c r="I226" s="8"/>
    </row>
    <row r="227" spans="2:9" x14ac:dyDescent="0.3">
      <c r="B227" s="9"/>
      <c r="C227" s="4"/>
      <c r="E227" s="8"/>
      <c r="I227" s="8"/>
    </row>
    <row r="228" spans="2:9" x14ac:dyDescent="0.3">
      <c r="B228" s="9"/>
      <c r="C228" s="4"/>
      <c r="E228" s="8"/>
      <c r="I228" s="8"/>
    </row>
    <row r="229" spans="2:9" x14ac:dyDescent="0.3">
      <c r="B229" s="9"/>
      <c r="C229" s="4"/>
      <c r="E229" s="8"/>
      <c r="I229" s="8"/>
    </row>
    <row r="230" spans="2:9" x14ac:dyDescent="0.3">
      <c r="B230" s="9"/>
      <c r="C230" s="4"/>
      <c r="E230" s="8"/>
      <c r="I230" s="8"/>
    </row>
    <row r="231" spans="2:9" x14ac:dyDescent="0.3">
      <c r="B231" s="9"/>
      <c r="C231" s="4"/>
      <c r="E231" s="8"/>
      <c r="I231" s="8"/>
    </row>
    <row r="232" spans="2:9" x14ac:dyDescent="0.3">
      <c r="B232" s="9"/>
      <c r="C232" s="4"/>
      <c r="E232" s="8"/>
      <c r="I232" s="8"/>
    </row>
    <row r="233" spans="2:9" x14ac:dyDescent="0.3">
      <c r="B233" s="9"/>
      <c r="C233" s="4"/>
      <c r="E233" s="8"/>
      <c r="I233" s="8"/>
    </row>
    <row r="234" spans="2:9" x14ac:dyDescent="0.3">
      <c r="B234" s="9"/>
      <c r="C234" s="4"/>
      <c r="E234" s="8"/>
      <c r="I234" s="8"/>
    </row>
    <row r="235" spans="2:9" x14ac:dyDescent="0.3">
      <c r="B235" s="9"/>
      <c r="C235" s="4"/>
      <c r="E235" s="8"/>
      <c r="I235" s="8"/>
    </row>
    <row r="236" spans="2:9" x14ac:dyDescent="0.3">
      <c r="B236" s="9"/>
      <c r="C236" s="4"/>
      <c r="E236" s="8"/>
      <c r="I236" s="8"/>
    </row>
    <row r="237" spans="2:9" x14ac:dyDescent="0.3">
      <c r="B237" s="9"/>
      <c r="C237" s="4"/>
      <c r="E237" s="8"/>
      <c r="I237" s="8"/>
    </row>
    <row r="238" spans="2:9" x14ac:dyDescent="0.3">
      <c r="B238" s="9"/>
      <c r="C238" s="4"/>
      <c r="E238" s="8"/>
      <c r="I238" s="8"/>
    </row>
    <row r="239" spans="2:9" x14ac:dyDescent="0.3">
      <c r="B239" s="9"/>
      <c r="C239" s="4"/>
      <c r="E239" s="8"/>
      <c r="I239" s="8"/>
    </row>
    <row r="240" spans="2:9" x14ac:dyDescent="0.3">
      <c r="B240" s="9"/>
      <c r="C240" s="4"/>
      <c r="E240" s="8"/>
      <c r="I240" s="8"/>
    </row>
    <row r="241" spans="2:9" x14ac:dyDescent="0.3">
      <c r="B241" s="9"/>
      <c r="C241" s="4"/>
      <c r="E241" s="8"/>
      <c r="I241" s="8"/>
    </row>
    <row r="242" spans="2:9" x14ac:dyDescent="0.3">
      <c r="B242" s="9"/>
      <c r="C242" s="4"/>
      <c r="E242" s="8"/>
      <c r="I242" s="8"/>
    </row>
    <row r="243" spans="2:9" x14ac:dyDescent="0.3">
      <c r="B243" s="9"/>
      <c r="C243" s="4"/>
      <c r="E243" s="8"/>
      <c r="I243" s="8"/>
    </row>
    <row r="244" spans="2:9" x14ac:dyDescent="0.3">
      <c r="B244" s="9"/>
      <c r="C244" s="4"/>
      <c r="E244" s="8"/>
      <c r="I244" s="8"/>
    </row>
    <row r="245" spans="2:9" x14ac:dyDescent="0.3">
      <c r="B245" s="9"/>
      <c r="C245" s="4"/>
      <c r="E245" s="8"/>
      <c r="I245" s="8"/>
    </row>
    <row r="246" spans="2:9" x14ac:dyDescent="0.3">
      <c r="B246" s="9"/>
      <c r="C246" s="4"/>
      <c r="E246" s="8"/>
      <c r="I246" s="8"/>
    </row>
    <row r="247" spans="2:9" x14ac:dyDescent="0.3">
      <c r="B247" s="9"/>
      <c r="C247" s="4"/>
      <c r="E247" s="8"/>
      <c r="I247" s="8"/>
    </row>
    <row r="248" spans="2:9" x14ac:dyDescent="0.3">
      <c r="B248" s="9"/>
      <c r="C248" s="4"/>
      <c r="E248" s="8"/>
      <c r="I248" s="8"/>
    </row>
    <row r="249" spans="2:9" x14ac:dyDescent="0.3">
      <c r="B249" s="9"/>
      <c r="C249" s="4"/>
      <c r="E249" s="8"/>
      <c r="I249" s="8"/>
    </row>
    <row r="250" spans="2:9" x14ac:dyDescent="0.3">
      <c r="B250" s="9"/>
      <c r="C250" s="4"/>
      <c r="E250" s="8"/>
      <c r="I250" s="8"/>
    </row>
    <row r="251" spans="2:9" x14ac:dyDescent="0.3">
      <c r="B251" s="9"/>
      <c r="C251" s="4"/>
      <c r="E251" s="8"/>
      <c r="I251" s="8"/>
    </row>
    <row r="252" spans="2:9" x14ac:dyDescent="0.3">
      <c r="B252" s="9"/>
      <c r="C252" s="4"/>
      <c r="E252" s="8"/>
      <c r="I252" s="8"/>
    </row>
    <row r="253" spans="2:9" x14ac:dyDescent="0.3">
      <c r="B253" s="9"/>
      <c r="C253" s="4"/>
      <c r="E253" s="8"/>
      <c r="I253" s="8"/>
    </row>
    <row r="254" spans="2:9" x14ac:dyDescent="0.3">
      <c r="B254" s="9"/>
      <c r="C254" s="4"/>
      <c r="E254" s="8"/>
      <c r="I254" s="8"/>
    </row>
    <row r="255" spans="2:9" x14ac:dyDescent="0.3">
      <c r="B255" s="9"/>
      <c r="C255" s="4"/>
      <c r="E255" s="8"/>
      <c r="I255" s="8"/>
    </row>
    <row r="256" spans="2:9" x14ac:dyDescent="0.3">
      <c r="B256" s="9"/>
      <c r="C256" s="4"/>
      <c r="E256" s="8"/>
      <c r="I256" s="8"/>
    </row>
    <row r="257" spans="2:9" x14ac:dyDescent="0.3">
      <c r="B257" s="9"/>
      <c r="C257" s="4"/>
      <c r="E257" s="8"/>
      <c r="I257" s="8"/>
    </row>
    <row r="258" spans="2:9" x14ac:dyDescent="0.3">
      <c r="B258" s="9"/>
      <c r="C258" s="4"/>
      <c r="E258" s="8"/>
      <c r="I258" s="8"/>
    </row>
    <row r="259" spans="2:9" x14ac:dyDescent="0.3">
      <c r="B259" s="9"/>
      <c r="C259" s="4"/>
      <c r="E259" s="8"/>
      <c r="I259" s="8"/>
    </row>
    <row r="260" spans="2:9" x14ac:dyDescent="0.3">
      <c r="B260" s="9"/>
      <c r="C260" s="4"/>
      <c r="E260" s="8"/>
      <c r="I260" s="8"/>
    </row>
    <row r="261" spans="2:9" x14ac:dyDescent="0.3">
      <c r="B261" s="9"/>
      <c r="C261" s="4"/>
      <c r="E261" s="8"/>
      <c r="I261" s="8"/>
    </row>
    <row r="262" spans="2:9" x14ac:dyDescent="0.3">
      <c r="B262" s="9"/>
      <c r="C262" s="4"/>
      <c r="E262" s="8"/>
      <c r="I262" s="8"/>
    </row>
    <row r="263" spans="2:9" x14ac:dyDescent="0.3">
      <c r="B263" s="9"/>
      <c r="C263" s="4"/>
      <c r="E263" s="8"/>
      <c r="I263" s="8"/>
    </row>
    <row r="264" spans="2:9" x14ac:dyDescent="0.3">
      <c r="B264" s="9"/>
      <c r="C264" s="4"/>
      <c r="E264" s="8"/>
      <c r="I264" s="8"/>
    </row>
    <row r="265" spans="2:9" x14ac:dyDescent="0.3">
      <c r="B265" s="9"/>
      <c r="C265" s="4"/>
      <c r="E265" s="8"/>
      <c r="I265" s="8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DCB-1D80-454C-84B7-4D685A0A31EC}">
  <dimension ref="B2:AE72"/>
  <sheetViews>
    <sheetView tabSelected="1" topLeftCell="E1" zoomScale="70" zoomScaleNormal="70" workbookViewId="0">
      <selection activeCell="R13" sqref="R13"/>
    </sheetView>
  </sheetViews>
  <sheetFormatPr defaultRowHeight="14.4" x14ac:dyDescent="0.3"/>
  <cols>
    <col min="1" max="1" width="2.77734375" style="2" customWidth="1"/>
    <col min="2" max="2" width="8.88671875" style="2"/>
    <col min="3" max="3" width="4.44140625" style="2" bestFit="1" customWidth="1"/>
    <col min="4" max="4" width="14.88671875" style="2" bestFit="1" customWidth="1"/>
    <col min="5" max="5" width="10.109375" style="2" bestFit="1" customWidth="1"/>
    <col min="6" max="6" width="12.6640625" style="2" bestFit="1" customWidth="1"/>
    <col min="7" max="7" width="16.109375" style="2" bestFit="1" customWidth="1"/>
    <col min="8" max="8" width="10.5546875" style="2" bestFit="1" customWidth="1"/>
    <col min="9" max="9" width="10.44140625" style="2" bestFit="1" customWidth="1"/>
    <col min="10" max="10" width="14.88671875" style="2" bestFit="1" customWidth="1"/>
    <col min="11" max="11" width="10.109375" style="2" bestFit="1" customWidth="1"/>
    <col min="12" max="12" width="12.6640625" style="2" bestFit="1" customWidth="1"/>
    <col min="13" max="13" width="16.109375" style="2" bestFit="1" customWidth="1"/>
    <col min="14" max="14" width="12" style="2" bestFit="1" customWidth="1"/>
    <col min="15" max="15" width="11.88671875" style="2" bestFit="1" customWidth="1"/>
    <col min="16" max="16" width="1.77734375" style="2" customWidth="1"/>
    <col min="17" max="17" width="10.33203125" style="2" customWidth="1"/>
    <col min="18" max="18" width="11.44140625" style="2" bestFit="1" customWidth="1"/>
    <col min="19" max="22" width="8.88671875" style="2"/>
    <col min="23" max="23" width="11" style="2" bestFit="1" customWidth="1"/>
    <col min="24" max="16384" width="8.88671875" style="2"/>
  </cols>
  <sheetData>
    <row r="2" spans="2:31" ht="31.2" x14ac:dyDescent="0.6">
      <c r="B2" s="11" t="s">
        <v>11</v>
      </c>
    </row>
    <row r="3" spans="2:31" ht="17.399999999999999" customHeight="1" x14ac:dyDescent="0.6">
      <c r="B3" s="12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S3" s="20"/>
      <c r="T3" s="19"/>
      <c r="U3" s="34"/>
      <c r="V3" s="16"/>
    </row>
    <row r="4" spans="2:31" ht="20.399999999999999" x14ac:dyDescent="0.35">
      <c r="B4" s="15" t="s">
        <v>49</v>
      </c>
      <c r="C4" s="14"/>
      <c r="D4" s="13"/>
      <c r="E4" s="13"/>
      <c r="F4" s="13"/>
      <c r="G4" s="13"/>
      <c r="H4" s="13"/>
      <c r="J4" s="13"/>
      <c r="K4" s="13"/>
      <c r="L4" s="13"/>
      <c r="M4" s="13"/>
      <c r="N4" s="13"/>
      <c r="S4" s="20" t="s">
        <v>23</v>
      </c>
      <c r="T4" s="19" t="s">
        <v>73</v>
      </c>
      <c r="U4" s="16"/>
      <c r="V4" s="16"/>
    </row>
    <row r="5" spans="2:31" ht="18.600000000000001" thickBot="1" x14ac:dyDescent="0.4">
      <c r="B5" s="28" t="s">
        <v>58</v>
      </c>
      <c r="C5" s="13"/>
      <c r="D5" s="13"/>
      <c r="E5" s="13"/>
      <c r="F5" s="13"/>
      <c r="G5" s="13"/>
      <c r="H5" s="13"/>
      <c r="J5" s="13"/>
      <c r="K5" s="13"/>
      <c r="L5" s="13"/>
      <c r="M5" s="13"/>
      <c r="N5" s="13"/>
      <c r="S5" s="20" t="s">
        <v>1</v>
      </c>
      <c r="T5" s="19" t="s">
        <v>73</v>
      </c>
      <c r="U5" s="16"/>
      <c r="V5" s="16"/>
    </row>
    <row r="6" spans="2:31" ht="28.8" x14ac:dyDescent="0.3">
      <c r="B6" s="4" t="s">
        <v>8</v>
      </c>
      <c r="C6" s="4" t="s">
        <v>9</v>
      </c>
      <c r="D6" s="4" t="s">
        <v>25</v>
      </c>
      <c r="E6" s="32" t="s">
        <v>26</v>
      </c>
      <c r="F6" s="8" t="s">
        <v>59</v>
      </c>
      <c r="G6" s="8" t="s">
        <v>60</v>
      </c>
      <c r="H6" s="8" t="s">
        <v>61</v>
      </c>
      <c r="I6" s="8" t="s">
        <v>62</v>
      </c>
      <c r="J6" s="4" t="s">
        <v>63</v>
      </c>
      <c r="K6" s="26" t="s">
        <v>64</v>
      </c>
      <c r="L6" s="8" t="s">
        <v>65</v>
      </c>
      <c r="M6" s="8" t="s">
        <v>66</v>
      </c>
      <c r="N6" s="8" t="s">
        <v>67</v>
      </c>
      <c r="O6" s="8" t="s">
        <v>68</v>
      </c>
      <c r="P6" s="8"/>
      <c r="Q6" s="31" t="s">
        <v>46</v>
      </c>
      <c r="R6" s="3"/>
      <c r="S6" s="3"/>
      <c r="AE6" s="42" t="s">
        <v>74</v>
      </c>
    </row>
    <row r="7" spans="2:31" x14ac:dyDescent="0.3">
      <c r="B7" s="25">
        <v>43881</v>
      </c>
      <c r="C7" s="26">
        <v>1</v>
      </c>
      <c r="D7" s="27">
        <v>3</v>
      </c>
      <c r="E7" s="33">
        <f>D7</f>
        <v>3</v>
      </c>
      <c r="F7" s="8">
        <f t="shared" ref="F7:F38" si="0">t0n*_xlfn.GAMMA.DIST($C7/t0n,wn+1,1,1)*_xlfn.GAMMA(wn+1)</f>
        <v>6.5178587227424158E-7</v>
      </c>
      <c r="G7" s="24">
        <f t="shared" ref="G7:G38" si="1">(($C7/t0n)^wn)*EXP(-($C7/t0n))</f>
        <v>5.7281685401223906E-6</v>
      </c>
      <c r="H7" s="10">
        <f>G7+CIn</f>
        <v>973.40838448312775</v>
      </c>
      <c r="I7" s="10">
        <f>MAX(G7-CIn,0)</f>
        <v>0</v>
      </c>
      <c r="J7" s="26">
        <v>0</v>
      </c>
      <c r="K7" s="27">
        <f>J7</f>
        <v>0</v>
      </c>
      <c r="L7" s="8">
        <f t="shared" ref="L7:L38" si="2">t0d*_xlfn.GAMMA.DIST($C7/t0d,wd+1,1,1)*_xlfn.GAMMA(wd+1)</f>
        <v>3.6264306212678687E-7</v>
      </c>
      <c r="M7" s="24">
        <f t="shared" ref="M7:M38" si="3">(($C7/t0d)^wd)*EXP(-($C7/t0d))</f>
        <v>2.8594662764003492E-6</v>
      </c>
      <c r="N7" s="10">
        <f t="shared" ref="N7:N45" si="4">M7+CId</f>
        <v>133.16071410930763</v>
      </c>
      <c r="O7" s="10">
        <f t="shared" ref="O7:O45" si="5">MAX(M7-CId,0)</f>
        <v>0</v>
      </c>
      <c r="P7" s="8"/>
      <c r="Q7" s="21"/>
      <c r="R7" s="41"/>
      <c r="S7" s="3"/>
      <c r="AE7" s="43">
        <f>MAX($R$13)</f>
        <v>0.95514073403717714</v>
      </c>
    </row>
    <row r="8" spans="2:31" ht="15.6" x14ac:dyDescent="0.35">
      <c r="B8" s="25">
        <v>43882</v>
      </c>
      <c r="C8" s="26">
        <v>2</v>
      </c>
      <c r="D8" s="27">
        <v>20</v>
      </c>
      <c r="E8" s="33">
        <f>D8-D7</f>
        <v>17</v>
      </c>
      <c r="F8" s="8">
        <f t="shared" si="0"/>
        <v>2.7075952995762837E-4</v>
      </c>
      <c r="G8" s="24">
        <f t="shared" si="1"/>
        <v>1.1622674382510861E-3</v>
      </c>
      <c r="H8" s="10">
        <f>G8+CIn</f>
        <v>973.40954102239755</v>
      </c>
      <c r="I8" s="10">
        <f>MAX(G8-CIn,0)</f>
        <v>0</v>
      </c>
      <c r="J8" s="26">
        <v>1</v>
      </c>
      <c r="K8" s="27">
        <f>J8-J7</f>
        <v>1</v>
      </c>
      <c r="L8" s="8">
        <f t="shared" si="2"/>
        <v>8.1932934730998848E-5</v>
      </c>
      <c r="M8" s="24">
        <f t="shared" si="3"/>
        <v>3.1698309203105049E-4</v>
      </c>
      <c r="N8" s="10">
        <f t="shared" si="4"/>
        <v>133.1610282329334</v>
      </c>
      <c r="O8" s="10">
        <f t="shared" si="5"/>
        <v>0</v>
      </c>
      <c r="P8" s="8"/>
      <c r="Q8" s="21" t="s">
        <v>24</v>
      </c>
      <c r="R8" s="30">
        <v>4.4006419009762547</v>
      </c>
      <c r="S8" s="3"/>
      <c r="AE8" s="44">
        <f>COUNT($R$8,$R$9)</f>
        <v>2</v>
      </c>
    </row>
    <row r="9" spans="2:31" x14ac:dyDescent="0.3">
      <c r="B9" s="25">
        <v>43883</v>
      </c>
      <c r="C9" s="26">
        <v>3</v>
      </c>
      <c r="D9" s="27">
        <v>62</v>
      </c>
      <c r="E9" s="33">
        <f>D9-D8</f>
        <v>42</v>
      </c>
      <c r="F9" s="8">
        <f t="shared" si="0"/>
        <v>8.4673504804114088E-3</v>
      </c>
      <c r="G9" s="24">
        <f t="shared" si="1"/>
        <v>2.3660546583939526E-2</v>
      </c>
      <c r="H9" s="10">
        <f>G9+CIn</f>
        <v>973.43203930154323</v>
      </c>
      <c r="I9" s="10">
        <f>MAX(G9-CIn,0)</f>
        <v>0</v>
      </c>
      <c r="J9" s="26">
        <v>2</v>
      </c>
      <c r="K9" s="27">
        <f>J9-J8</f>
        <v>1</v>
      </c>
      <c r="L9" s="8">
        <f t="shared" si="2"/>
        <v>1.8361937853745133E-3</v>
      </c>
      <c r="M9" s="24">
        <f t="shared" si="3"/>
        <v>4.6460362256301995E-3</v>
      </c>
      <c r="N9" s="10">
        <f t="shared" si="4"/>
        <v>133.16535728606701</v>
      </c>
      <c r="O9" s="10">
        <f t="shared" si="5"/>
        <v>0</v>
      </c>
      <c r="P9" s="8"/>
      <c r="Q9" s="21" t="s">
        <v>1</v>
      </c>
      <c r="R9" s="30">
        <v>7.9924898241566513</v>
      </c>
      <c r="S9" s="3"/>
      <c r="AE9" s="44">
        <f>{32767;32767;0.000001;0;FALSE;FALSE;TRUE;1;1;1;0.0001;TRUE}</f>
        <v>32767</v>
      </c>
    </row>
    <row r="10" spans="2:31" x14ac:dyDescent="0.3">
      <c r="B10" s="25">
        <v>43884</v>
      </c>
      <c r="C10" s="26">
        <v>4</v>
      </c>
      <c r="D10" s="27">
        <v>155</v>
      </c>
      <c r="E10" s="33">
        <f>D10-D9</f>
        <v>93</v>
      </c>
      <c r="F10" s="8">
        <f t="shared" si="0"/>
        <v>9.1859517894903236E-2</v>
      </c>
      <c r="G10" s="24">
        <f t="shared" si="1"/>
        <v>0.18789164127850994</v>
      </c>
      <c r="H10" s="10">
        <f>G10+CIn</f>
        <v>973.59627039623774</v>
      </c>
      <c r="I10" s="10">
        <f>MAX(G10-CIn,0)</f>
        <v>0</v>
      </c>
      <c r="J10" s="26">
        <v>3</v>
      </c>
      <c r="K10" s="27">
        <f>J10-J9</f>
        <v>1</v>
      </c>
      <c r="L10" s="8">
        <f t="shared" si="2"/>
        <v>1.5980604817290786E-2</v>
      </c>
      <c r="M10" s="24">
        <f t="shared" si="3"/>
        <v>2.9741926836548339E-2</v>
      </c>
      <c r="N10" s="10">
        <f t="shared" si="4"/>
        <v>133.19045317667792</v>
      </c>
      <c r="O10" s="10">
        <f t="shared" si="5"/>
        <v>0</v>
      </c>
      <c r="P10" s="8"/>
      <c r="Q10" s="5" t="s">
        <v>2</v>
      </c>
      <c r="R10" s="1">
        <f>AVERAGE(E7:E70)</f>
        <v>2769.6</v>
      </c>
      <c r="S10" s="3"/>
      <c r="AE10" s="44">
        <f>{0;0;1;100;0;FALSE;TRUE;0.075;0;0;FALSE;30}</f>
        <v>0</v>
      </c>
    </row>
    <row r="11" spans="2:31" x14ac:dyDescent="0.3">
      <c r="B11" s="22">
        <v>43885</v>
      </c>
      <c r="C11" s="4">
        <v>5</v>
      </c>
      <c r="D11" s="10">
        <f>'dpc-covid19-ita-andamento-naz'!L2</f>
        <v>229</v>
      </c>
      <c r="E11" s="33">
        <f>D11-D10</f>
        <v>74</v>
      </c>
      <c r="F11" s="8">
        <f t="shared" si="0"/>
        <v>0.55803373453509453</v>
      </c>
      <c r="G11" s="24">
        <f t="shared" si="1"/>
        <v>0.89078082327612751</v>
      </c>
      <c r="H11" s="10">
        <f t="shared" ref="H11:H44" si="6">G11+CIn</f>
        <v>974.29915957823539</v>
      </c>
      <c r="I11" s="10">
        <f t="shared" ref="I11:I43" si="7">MAX(G11-CIn,0)</f>
        <v>0</v>
      </c>
      <c r="J11" s="10">
        <f>'dpc-covid19-ita-andamento-naz'!K2</f>
        <v>7</v>
      </c>
      <c r="K11" s="27">
        <f>J11-J10</f>
        <v>4</v>
      </c>
      <c r="L11" s="8">
        <f t="shared" si="2"/>
        <v>8.2840189307023041E-2</v>
      </c>
      <c r="M11" s="24">
        <f t="shared" si="3"/>
        <v>0.12092810403578937</v>
      </c>
      <c r="N11" s="10">
        <f t="shared" si="4"/>
        <v>133.28163935387715</v>
      </c>
      <c r="O11" s="10">
        <f t="shared" si="5"/>
        <v>0</v>
      </c>
      <c r="P11" s="1"/>
      <c r="Q11" s="5" t="s">
        <v>3</v>
      </c>
      <c r="R11" s="1">
        <f>COUNT(E7:E70)-COUNT(R7:R9)</f>
        <v>43</v>
      </c>
      <c r="AE11" s="44">
        <f>{32767;32767;0.000001;0;FALSE;FALSE;FALSE;1;2;1;0.0001;TRUE}</f>
        <v>32767</v>
      </c>
    </row>
    <row r="12" spans="2:31" x14ac:dyDescent="0.3">
      <c r="B12" s="9">
        <v>43886</v>
      </c>
      <c r="C12" s="4">
        <v>6</v>
      </c>
      <c r="D12" s="10">
        <f>'dpc-covid19-ita-andamento-naz'!L3</f>
        <v>322</v>
      </c>
      <c r="E12" s="33">
        <f>D12-D11</f>
        <v>93</v>
      </c>
      <c r="F12" s="8">
        <f t="shared" si="0"/>
        <v>2.349552703476947</v>
      </c>
      <c r="G12" s="24">
        <f t="shared" si="1"/>
        <v>3.0474547681189263</v>
      </c>
      <c r="H12" s="10">
        <f t="shared" si="6"/>
        <v>976.45583352307813</v>
      </c>
      <c r="I12" s="10">
        <f t="shared" si="7"/>
        <v>0</v>
      </c>
      <c r="J12" s="10">
        <f>'dpc-covid19-ita-andamento-naz'!K3</f>
        <v>10</v>
      </c>
      <c r="K12" s="27">
        <f>J12-J11</f>
        <v>3</v>
      </c>
      <c r="L12" s="8">
        <f t="shared" si="2"/>
        <v>0.30946082521537738</v>
      </c>
      <c r="M12" s="24">
        <f t="shared" si="3"/>
        <v>0.36897545781181679</v>
      </c>
      <c r="N12" s="10">
        <f t="shared" si="4"/>
        <v>133.52968670765318</v>
      </c>
      <c r="O12" s="10">
        <f t="shared" si="5"/>
        <v>0</v>
      </c>
      <c r="P12" s="1"/>
      <c r="Q12" s="5" t="s">
        <v>4</v>
      </c>
      <c r="R12" s="6" cm="1">
        <f t="array" ref="R12">SQRT(SUM((E7:E51-G7:G51)^2)/dfn)</f>
        <v>482.67572965654819</v>
      </c>
      <c r="AE12" s="45">
        <f>{0;0;1;100;0;FALSE;FALSE;0.075;0;0;FALSE;30}</f>
        <v>0</v>
      </c>
    </row>
    <row r="13" spans="2:31" ht="16.2" x14ac:dyDescent="0.3">
      <c r="B13" s="9">
        <v>43887</v>
      </c>
      <c r="C13" s="4">
        <v>7</v>
      </c>
      <c r="D13" s="10">
        <f>'dpc-covid19-ita-andamento-naz'!L4</f>
        <v>400</v>
      </c>
      <c r="E13" s="33">
        <f t="shared" ref="E13:E51" si="8">D13-D12</f>
        <v>78</v>
      </c>
      <c r="F13" s="8">
        <f t="shared" si="0"/>
        <v>7.6826784562560668</v>
      </c>
      <c r="G13" s="24">
        <f t="shared" si="1"/>
        <v>8.32376689197738</v>
      </c>
      <c r="H13" s="10">
        <f t="shared" si="6"/>
        <v>981.7321456469366</v>
      </c>
      <c r="I13" s="10">
        <f t="shared" si="7"/>
        <v>0</v>
      </c>
      <c r="J13" s="10">
        <f>'dpc-covid19-ita-andamento-naz'!K4</f>
        <v>12</v>
      </c>
      <c r="K13" s="27">
        <f t="shared" ref="K13:K51" si="9">J13-J12</f>
        <v>2</v>
      </c>
      <c r="L13" s="8">
        <f t="shared" si="2"/>
        <v>0.92220289006227418</v>
      </c>
      <c r="M13" s="24">
        <f t="shared" si="3"/>
        <v>0.92346780150535801</v>
      </c>
      <c r="N13" s="10">
        <f t="shared" si="4"/>
        <v>134.08417905134672</v>
      </c>
      <c r="O13" s="10">
        <f t="shared" si="5"/>
        <v>0</v>
      </c>
      <c r="P13" s="1"/>
      <c r="Q13" s="5" t="s">
        <v>5</v>
      </c>
      <c r="R13" s="7" cm="1">
        <f t="array" ref="R13">1-SUM((E7:E51-G7:G51)^2)/SUM((E7:E51-Mean_of_yn)^2)</f>
        <v>0.95514073403717714</v>
      </c>
      <c r="AE13" s="46"/>
    </row>
    <row r="14" spans="2:31" x14ac:dyDescent="0.3">
      <c r="B14" s="9">
        <v>43888</v>
      </c>
      <c r="C14" s="4">
        <v>8</v>
      </c>
      <c r="D14" s="10">
        <f>'dpc-covid19-ita-andamento-naz'!L5</f>
        <v>650</v>
      </c>
      <c r="E14" s="33">
        <f t="shared" si="8"/>
        <v>250</v>
      </c>
      <c r="F14" s="8">
        <f t="shared" si="0"/>
        <v>20.880540212919232</v>
      </c>
      <c r="G14" s="24">
        <f t="shared" si="1"/>
        <v>19.28106689447586</v>
      </c>
      <c r="H14" s="10">
        <f t="shared" si="6"/>
        <v>992.68944564943513</v>
      </c>
      <c r="I14" s="10">
        <f t="shared" si="7"/>
        <v>0</v>
      </c>
      <c r="J14" s="10">
        <f>'dpc-covid19-ita-andamento-naz'!K5</f>
        <v>17</v>
      </c>
      <c r="K14" s="27">
        <f t="shared" si="9"/>
        <v>5</v>
      </c>
      <c r="L14" s="8">
        <f t="shared" si="2"/>
        <v>2.3294435796545896</v>
      </c>
      <c r="M14" s="24">
        <f t="shared" si="3"/>
        <v>1.999244337172307</v>
      </c>
      <c r="N14" s="10">
        <f t="shared" si="4"/>
        <v>135.15995558701368</v>
      </c>
      <c r="O14" s="10">
        <f t="shared" si="5"/>
        <v>0</v>
      </c>
      <c r="P14" s="1"/>
      <c r="Q14" s="5" t="s">
        <v>6</v>
      </c>
      <c r="R14" s="7">
        <f>TINV(0.05,dfn)</f>
        <v>2.0166921992278248</v>
      </c>
      <c r="AE14" s="47"/>
    </row>
    <row r="15" spans="2:31" x14ac:dyDescent="0.3">
      <c r="B15" s="9">
        <v>43889</v>
      </c>
      <c r="C15" s="4">
        <v>9</v>
      </c>
      <c r="D15" s="10">
        <f>'dpc-covid19-ita-andamento-naz'!L6</f>
        <v>888</v>
      </c>
      <c r="E15" s="33">
        <f t="shared" si="8"/>
        <v>238</v>
      </c>
      <c r="F15" s="8">
        <f t="shared" si="0"/>
        <v>49.283610065138056</v>
      </c>
      <c r="G15" s="24">
        <f t="shared" si="1"/>
        <v>39.380224039988228</v>
      </c>
      <c r="H15" s="10">
        <f t="shared" si="6"/>
        <v>1012.7886027949475</v>
      </c>
      <c r="I15" s="10">
        <f t="shared" si="7"/>
        <v>0</v>
      </c>
      <c r="J15" s="10">
        <f>'dpc-covid19-ita-andamento-naz'!K6</f>
        <v>21</v>
      </c>
      <c r="K15" s="27">
        <f t="shared" si="9"/>
        <v>4</v>
      </c>
      <c r="L15" s="8">
        <f t="shared" si="2"/>
        <v>5.1865616919191311</v>
      </c>
      <c r="M15" s="24">
        <f t="shared" si="3"/>
        <v>3.8744293382577202</v>
      </c>
      <c r="N15" s="10">
        <f t="shared" si="4"/>
        <v>137.0351405880991</v>
      </c>
      <c r="O15" s="10">
        <f t="shared" si="5"/>
        <v>0</v>
      </c>
      <c r="P15" s="1"/>
      <c r="Q15" s="5" t="s">
        <v>7</v>
      </c>
      <c r="R15" s="1">
        <f>Critical_tn*SE_of_yn</f>
        <v>973.40837875495924</v>
      </c>
      <c r="AE15" s="47"/>
    </row>
    <row r="16" spans="2:31" ht="15" thickBot="1" x14ac:dyDescent="0.35">
      <c r="B16" s="9">
        <v>43890</v>
      </c>
      <c r="C16" s="4">
        <v>10</v>
      </c>
      <c r="D16" s="10">
        <f>'dpc-covid19-ita-andamento-naz'!L7</f>
        <v>1128</v>
      </c>
      <c r="E16" s="33">
        <f t="shared" si="8"/>
        <v>240</v>
      </c>
      <c r="F16" s="8">
        <f t="shared" si="0"/>
        <v>104.08572238848305</v>
      </c>
      <c r="G16" s="24">
        <f t="shared" si="1"/>
        <v>72.829204507249145</v>
      </c>
      <c r="H16" s="10">
        <f t="shared" si="6"/>
        <v>1046.2375832622083</v>
      </c>
      <c r="I16" s="10">
        <f t="shared" si="7"/>
        <v>0</v>
      </c>
      <c r="J16" s="10">
        <f>'dpc-covid19-ita-andamento-naz'!K7</f>
        <v>29</v>
      </c>
      <c r="K16" s="27">
        <f t="shared" si="9"/>
        <v>8</v>
      </c>
      <c r="L16" s="8">
        <f t="shared" si="2"/>
        <v>10.454780833629144</v>
      </c>
      <c r="M16" s="24">
        <f t="shared" si="3"/>
        <v>6.8802766710861878</v>
      </c>
      <c r="N16" s="10">
        <f t="shared" si="4"/>
        <v>140.04098792092756</v>
      </c>
      <c r="O16" s="10">
        <f t="shared" si="5"/>
        <v>0</v>
      </c>
      <c r="P16" s="1"/>
      <c r="Q16" s="35" t="s">
        <v>71</v>
      </c>
      <c r="R16" s="36">
        <f>(wn^wn)*EXP(-wn)</f>
        <v>5540.9369394142605</v>
      </c>
      <c r="AE16" s="48"/>
    </row>
    <row r="17" spans="2:31" ht="15" thickTop="1" x14ac:dyDescent="0.3">
      <c r="B17" s="22">
        <v>43891</v>
      </c>
      <c r="C17" s="4">
        <v>11</v>
      </c>
      <c r="D17" s="10">
        <f>'dpc-covid19-ita-andamento-naz'!L8</f>
        <v>1694</v>
      </c>
      <c r="E17" s="33">
        <f t="shared" si="8"/>
        <v>566</v>
      </c>
      <c r="F17" s="8">
        <f t="shared" si="0"/>
        <v>200.94615265235646</v>
      </c>
      <c r="G17" s="24">
        <f t="shared" si="1"/>
        <v>124.2931765168051</v>
      </c>
      <c r="H17" s="10">
        <f t="shared" si="6"/>
        <v>1097.7015552717644</v>
      </c>
      <c r="I17" s="10">
        <f t="shared" si="7"/>
        <v>0</v>
      </c>
      <c r="J17" s="10">
        <f>'dpc-covid19-ita-andamento-naz'!K8</f>
        <v>34</v>
      </c>
      <c r="K17" s="27">
        <f t="shared" si="9"/>
        <v>5</v>
      </c>
      <c r="L17" s="8">
        <f t="shared" si="2"/>
        <v>19.446336834811291</v>
      </c>
      <c r="M17" s="24">
        <f t="shared" si="3"/>
        <v>11.384291762551394</v>
      </c>
      <c r="N17" s="10">
        <f t="shared" si="4"/>
        <v>144.54500301239275</v>
      </c>
      <c r="O17" s="10">
        <f t="shared" si="5"/>
        <v>0</v>
      </c>
      <c r="P17" s="1"/>
      <c r="Q17" s="35" t="s">
        <v>72</v>
      </c>
      <c r="R17" s="36">
        <f>wn*t0n</f>
        <v>35.172085613310095</v>
      </c>
      <c r="AE17" s="49">
        <f>MAX($R$25)</f>
        <v>0.9613539677225067</v>
      </c>
    </row>
    <row r="18" spans="2:31" x14ac:dyDescent="0.3">
      <c r="B18" s="9">
        <v>43892</v>
      </c>
      <c r="C18" s="4">
        <v>12</v>
      </c>
      <c r="D18" s="10">
        <f>'dpc-covid19-ita-andamento-naz'!L9</f>
        <v>2036</v>
      </c>
      <c r="E18" s="33">
        <f t="shared" si="8"/>
        <v>342</v>
      </c>
      <c r="F18" s="8">
        <f t="shared" si="0"/>
        <v>360.26038508661776</v>
      </c>
      <c r="G18" s="24">
        <f t="shared" si="1"/>
        <v>198.51031645442384</v>
      </c>
      <c r="H18" s="10">
        <f t="shared" si="6"/>
        <v>1171.918695209383</v>
      </c>
      <c r="I18" s="10">
        <f t="shared" si="7"/>
        <v>0</v>
      </c>
      <c r="J18" s="10">
        <f>'dpc-covid19-ita-andamento-naz'!K9</f>
        <v>52</v>
      </c>
      <c r="K18" s="27">
        <f t="shared" si="9"/>
        <v>18</v>
      </c>
      <c r="L18" s="8">
        <f t="shared" si="2"/>
        <v>33.850292088768441</v>
      </c>
      <c r="M18" s="24">
        <f t="shared" si="3"/>
        <v>17.768796926451078</v>
      </c>
      <c r="N18" s="10">
        <f t="shared" si="4"/>
        <v>150.92950817629244</v>
      </c>
      <c r="O18" s="10">
        <f t="shared" si="5"/>
        <v>0</v>
      </c>
      <c r="P18" s="1"/>
      <c r="Q18" s="23" t="s">
        <v>53</v>
      </c>
      <c r="R18" s="3"/>
      <c r="AE18" s="50">
        <f>COUNT($R$20,$R$21)</f>
        <v>2</v>
      </c>
    </row>
    <row r="19" spans="2:31" x14ac:dyDescent="0.3">
      <c r="B19" s="9">
        <v>43893</v>
      </c>
      <c r="C19" s="4">
        <v>13</v>
      </c>
      <c r="D19" s="10">
        <f>'dpc-covid19-ita-andamento-naz'!L10</f>
        <v>2502</v>
      </c>
      <c r="E19" s="33">
        <f t="shared" si="8"/>
        <v>466</v>
      </c>
      <c r="F19" s="8">
        <f t="shared" si="0"/>
        <v>607.02212608314437</v>
      </c>
      <c r="G19" s="24">
        <f t="shared" si="1"/>
        <v>299.86789310407664</v>
      </c>
      <c r="H19" s="10">
        <f t="shared" si="6"/>
        <v>1273.2762718590359</v>
      </c>
      <c r="I19" s="10">
        <f t="shared" si="7"/>
        <v>0</v>
      </c>
      <c r="J19" s="10">
        <f>'dpc-covid19-ita-andamento-naz'!K10</f>
        <v>79</v>
      </c>
      <c r="K19" s="27">
        <f t="shared" si="9"/>
        <v>27</v>
      </c>
      <c r="L19" s="8">
        <f t="shared" si="2"/>
        <v>55.735638816223371</v>
      </c>
      <c r="M19" s="24">
        <f t="shared" si="3"/>
        <v>26.407343879527662</v>
      </c>
      <c r="N19" s="10">
        <f t="shared" si="4"/>
        <v>159.56805512936904</v>
      </c>
      <c r="O19" s="10">
        <f t="shared" si="5"/>
        <v>0</v>
      </c>
      <c r="P19" s="1"/>
      <c r="Q19" s="21"/>
      <c r="R19" s="41"/>
      <c r="AE19" s="50">
        <f>{32767;32767;0.000001;0;FALSE;FALSE;TRUE;1;1;1;0.0001;TRUE}</f>
        <v>32767</v>
      </c>
    </row>
    <row r="20" spans="2:31" ht="15.6" x14ac:dyDescent="0.35">
      <c r="B20" s="9">
        <v>43894</v>
      </c>
      <c r="C20" s="4">
        <v>14</v>
      </c>
      <c r="D20" s="10">
        <f>'dpc-covid19-ita-andamento-naz'!L11</f>
        <v>3089</v>
      </c>
      <c r="E20" s="33">
        <f t="shared" si="8"/>
        <v>587</v>
      </c>
      <c r="F20" s="8">
        <f t="shared" si="0"/>
        <v>970.26449681979909</v>
      </c>
      <c r="G20" s="24">
        <f t="shared" si="1"/>
        <v>431.99311845363684</v>
      </c>
      <c r="H20" s="10">
        <f t="shared" si="6"/>
        <v>1405.4014972085961</v>
      </c>
      <c r="I20" s="10">
        <f t="shared" si="7"/>
        <v>0</v>
      </c>
      <c r="J20" s="10">
        <f>'dpc-covid19-ita-andamento-naz'!K11</f>
        <v>107</v>
      </c>
      <c r="K20" s="27">
        <f t="shared" si="9"/>
        <v>28</v>
      </c>
      <c r="L20" s="8">
        <f t="shared" si="2"/>
        <v>87.53070415312196</v>
      </c>
      <c r="M20" s="24">
        <f t="shared" si="3"/>
        <v>37.641262925289929</v>
      </c>
      <c r="N20" s="10">
        <f t="shared" si="4"/>
        <v>170.80197417513131</v>
      </c>
      <c r="O20" s="10">
        <f t="shared" si="5"/>
        <v>0</v>
      </c>
      <c r="P20" s="1"/>
      <c r="Q20" s="21" t="s">
        <v>24</v>
      </c>
      <c r="R20" s="30">
        <v>5.9970420689354214</v>
      </c>
      <c r="AE20" s="50">
        <f>{0;0;1;100;0;FALSE;TRUE;0.075;0;0;FALSE;30}</f>
        <v>0</v>
      </c>
    </row>
    <row r="21" spans="2:31" x14ac:dyDescent="0.3">
      <c r="B21" s="22">
        <v>43895</v>
      </c>
      <c r="C21" s="4">
        <v>15</v>
      </c>
      <c r="D21" s="10">
        <f>'dpc-covid19-ita-andamento-naz'!L12</f>
        <v>3858</v>
      </c>
      <c r="E21" s="33">
        <f t="shared" si="8"/>
        <v>769</v>
      </c>
      <c r="F21" s="8">
        <f t="shared" si="0"/>
        <v>1482.1191393200904</v>
      </c>
      <c r="G21" s="24">
        <f t="shared" si="1"/>
        <v>597.40477925596338</v>
      </c>
      <c r="H21" s="10">
        <f t="shared" si="6"/>
        <v>1570.8131580109225</v>
      </c>
      <c r="I21" s="10">
        <f t="shared" si="7"/>
        <v>0</v>
      </c>
      <c r="J21" s="10">
        <f>'dpc-covid19-ita-andamento-naz'!K12</f>
        <v>148</v>
      </c>
      <c r="K21" s="27">
        <f t="shared" si="9"/>
        <v>41</v>
      </c>
      <c r="L21" s="8">
        <f t="shared" si="2"/>
        <v>131.98000089368233</v>
      </c>
      <c r="M21" s="24">
        <f t="shared" si="3"/>
        <v>51.75829207436167</v>
      </c>
      <c r="N21" s="10">
        <f t="shared" si="4"/>
        <v>184.91900332420303</v>
      </c>
      <c r="O21" s="10">
        <f t="shared" si="5"/>
        <v>0</v>
      </c>
      <c r="P21" s="1"/>
      <c r="Q21" s="21" t="s">
        <v>1</v>
      </c>
      <c r="R21" s="30">
        <v>7.0330839580800264</v>
      </c>
      <c r="AE21" s="50">
        <f>{32767;32767;0.000001;0;FALSE;FALSE;FALSE;1;2;1;0.0001;TRUE}</f>
        <v>32767</v>
      </c>
    </row>
    <row r="22" spans="2:31" ht="15" thickBot="1" x14ac:dyDescent="0.35">
      <c r="B22" s="9">
        <v>43896</v>
      </c>
      <c r="C22" s="4">
        <v>16</v>
      </c>
      <c r="D22" s="10">
        <f>'dpc-covid19-ita-andamento-naz'!L13</f>
        <v>4636</v>
      </c>
      <c r="E22" s="33">
        <f t="shared" si="8"/>
        <v>778</v>
      </c>
      <c r="F22" s="8">
        <f t="shared" si="0"/>
        <v>2176.5715957087359</v>
      </c>
      <c r="G22" s="24">
        <f t="shared" si="1"/>
        <v>797.25836905206461</v>
      </c>
      <c r="H22" s="10">
        <f t="shared" si="6"/>
        <v>1770.666747807024</v>
      </c>
      <c r="I22" s="10">
        <f t="shared" si="7"/>
        <v>0</v>
      </c>
      <c r="J22" s="10">
        <f>'dpc-covid19-ita-andamento-naz'!K13</f>
        <v>197</v>
      </c>
      <c r="K22" s="27">
        <f t="shared" si="9"/>
        <v>49</v>
      </c>
      <c r="L22" s="8">
        <f t="shared" si="2"/>
        <v>192.08138201503769</v>
      </c>
      <c r="M22" s="24">
        <f t="shared" si="3"/>
        <v>68.974758468822486</v>
      </c>
      <c r="N22" s="10">
        <f t="shared" si="4"/>
        <v>202.13546971866384</v>
      </c>
      <c r="O22" s="10">
        <f t="shared" si="5"/>
        <v>0</v>
      </c>
      <c r="P22" s="1"/>
      <c r="Q22" s="2" t="s">
        <v>2</v>
      </c>
      <c r="R22" s="1">
        <f>AVERAGE(K7:K70)</f>
        <v>341.37777777777779</v>
      </c>
      <c r="AE22" s="51">
        <f>{0;0;1;100;0;FALSE;FALSE;0.075;0;0;FALSE;30}</f>
        <v>0</v>
      </c>
    </row>
    <row r="23" spans="2:31" x14ac:dyDescent="0.3">
      <c r="B23" s="9">
        <v>43897</v>
      </c>
      <c r="C23" s="4">
        <v>17</v>
      </c>
      <c r="D23" s="10">
        <f>'dpc-covid19-ita-andamento-naz'!L14</f>
        <v>5883</v>
      </c>
      <c r="E23" s="33">
        <f t="shared" si="8"/>
        <v>1247</v>
      </c>
      <c r="F23" s="8">
        <f t="shared" si="0"/>
        <v>3088.016602840858</v>
      </c>
      <c r="G23" s="24">
        <f t="shared" si="1"/>
        <v>1031.2025249007302</v>
      </c>
      <c r="H23" s="10">
        <f t="shared" si="6"/>
        <v>2004.6109036556895</v>
      </c>
      <c r="I23" s="10">
        <f t="shared" si="7"/>
        <v>57.794146145770924</v>
      </c>
      <c r="J23" s="10">
        <f>'dpc-covid19-ita-andamento-naz'!K14</f>
        <v>233</v>
      </c>
      <c r="K23" s="27">
        <f t="shared" si="9"/>
        <v>36</v>
      </c>
      <c r="L23" s="8">
        <f t="shared" si="2"/>
        <v>271.00757464355735</v>
      </c>
      <c r="M23" s="24">
        <f t="shared" si="3"/>
        <v>89.422274049970625</v>
      </c>
      <c r="N23" s="10">
        <f t="shared" si="4"/>
        <v>222.58298529981198</v>
      </c>
      <c r="O23" s="10">
        <f t="shared" si="5"/>
        <v>0</v>
      </c>
      <c r="P23" s="1"/>
      <c r="Q23" s="2" t="s">
        <v>3</v>
      </c>
      <c r="R23" s="1">
        <f>COUNT(K7:K70)-COUNT(R19:R21)</f>
        <v>43</v>
      </c>
    </row>
    <row r="24" spans="2:31" x14ac:dyDescent="0.3">
      <c r="B24" s="22">
        <v>43898</v>
      </c>
      <c r="C24" s="4">
        <v>18</v>
      </c>
      <c r="D24" s="10">
        <f>'dpc-covid19-ita-andamento-naz'!L15</f>
        <v>7375</v>
      </c>
      <c r="E24" s="33">
        <f t="shared" si="8"/>
        <v>1492</v>
      </c>
      <c r="F24" s="8">
        <f t="shared" si="0"/>
        <v>4249.7275517738108</v>
      </c>
      <c r="G24" s="24">
        <f t="shared" si="1"/>
        <v>1297.350471745729</v>
      </c>
      <c r="H24" s="10">
        <f t="shared" si="6"/>
        <v>2270.7588505006884</v>
      </c>
      <c r="I24" s="10">
        <f t="shared" si="7"/>
        <v>323.94209299076977</v>
      </c>
      <c r="J24" s="10">
        <f>'dpc-covid19-ita-andamento-naz'!K15</f>
        <v>366</v>
      </c>
      <c r="K24" s="27">
        <f t="shared" si="9"/>
        <v>133</v>
      </c>
      <c r="L24" s="8">
        <f t="shared" si="2"/>
        <v>372.01688299311411</v>
      </c>
      <c r="M24" s="24">
        <f t="shared" si="3"/>
        <v>113.13941882179834</v>
      </c>
      <c r="N24" s="10">
        <f t="shared" si="4"/>
        <v>246.30013007163973</v>
      </c>
      <c r="O24" s="10">
        <f t="shared" si="5"/>
        <v>0</v>
      </c>
      <c r="P24" s="1"/>
      <c r="Q24" s="2" t="s">
        <v>4</v>
      </c>
      <c r="R24" s="6" cm="1">
        <f t="array" ref="R24">SQRT(SUM((K7:K51-M7:M51)^2)/dfd)</f>
        <v>66.029268770329722</v>
      </c>
    </row>
    <row r="25" spans="2:31" ht="16.2" x14ac:dyDescent="0.3">
      <c r="B25" s="9">
        <v>43899</v>
      </c>
      <c r="C25" s="4">
        <v>19</v>
      </c>
      <c r="D25" s="10">
        <f>'dpc-covid19-ita-andamento-naz'!L16</f>
        <v>9172</v>
      </c>
      <c r="E25" s="33">
        <f t="shared" si="8"/>
        <v>1797</v>
      </c>
      <c r="F25" s="8">
        <f t="shared" si="0"/>
        <v>5692.3519638524103</v>
      </c>
      <c r="G25" s="24">
        <f t="shared" si="1"/>
        <v>1592.3584606749887</v>
      </c>
      <c r="H25" s="10">
        <f t="shared" si="6"/>
        <v>2565.766839429948</v>
      </c>
      <c r="I25" s="10">
        <f t="shared" si="7"/>
        <v>618.95008192002945</v>
      </c>
      <c r="J25" s="10">
        <f>'dpc-covid19-ita-andamento-naz'!K16</f>
        <v>463</v>
      </c>
      <c r="K25" s="27">
        <f t="shared" si="9"/>
        <v>97</v>
      </c>
      <c r="L25" s="8">
        <f t="shared" si="2"/>
        <v>498.35810329969001</v>
      </c>
      <c r="M25" s="24">
        <f t="shared" si="3"/>
        <v>140.06845784820231</v>
      </c>
      <c r="N25" s="10">
        <f t="shared" si="4"/>
        <v>273.22916909804371</v>
      </c>
      <c r="O25" s="10">
        <f t="shared" si="5"/>
        <v>6.9077465983609443</v>
      </c>
      <c r="P25" s="1"/>
      <c r="Q25" s="2" t="s">
        <v>5</v>
      </c>
      <c r="R25" s="7" cm="1">
        <f t="array" ref="R25">1-SUM((K7:K51-M7:M51)^2)/SUM((K7:K51-Mean_of_yd)^2)</f>
        <v>0.9613539677225067</v>
      </c>
    </row>
    <row r="26" spans="2:31" x14ac:dyDescent="0.3">
      <c r="B26" s="22">
        <v>43900</v>
      </c>
      <c r="C26" s="4">
        <v>20</v>
      </c>
      <c r="D26" s="10">
        <f>'dpc-covid19-ita-andamento-naz'!L17</f>
        <v>10149</v>
      </c>
      <c r="E26" s="33">
        <f t="shared" si="8"/>
        <v>977</v>
      </c>
      <c r="F26" s="8">
        <f t="shared" si="0"/>
        <v>7442.5322684006842</v>
      </c>
      <c r="G26" s="24">
        <f t="shared" si="1"/>
        <v>1911.594638864972</v>
      </c>
      <c r="H26" s="10">
        <f t="shared" si="6"/>
        <v>2885.0030176199311</v>
      </c>
      <c r="I26" s="10">
        <f t="shared" si="7"/>
        <v>938.18626011001277</v>
      </c>
      <c r="J26" s="10">
        <f>'dpc-covid19-ita-andamento-naz'!K17</f>
        <v>631</v>
      </c>
      <c r="K26" s="27">
        <f t="shared" si="9"/>
        <v>168</v>
      </c>
      <c r="L26" s="8">
        <f t="shared" si="2"/>
        <v>653.17456030198412</v>
      </c>
      <c r="M26" s="24">
        <f t="shared" si="3"/>
        <v>170.05679367427601</v>
      </c>
      <c r="N26" s="10">
        <f t="shared" si="4"/>
        <v>303.21750492411741</v>
      </c>
      <c r="O26" s="10">
        <f t="shared" si="5"/>
        <v>36.896082424434638</v>
      </c>
      <c r="P26" s="1"/>
      <c r="Q26" s="2" t="s">
        <v>6</v>
      </c>
      <c r="R26" s="7">
        <f>TINV(0.05,dfd)</f>
        <v>2.0166921992278248</v>
      </c>
    </row>
    <row r="27" spans="2:31" x14ac:dyDescent="0.3">
      <c r="B27" s="9">
        <v>43901</v>
      </c>
      <c r="C27" s="4">
        <v>21</v>
      </c>
      <c r="D27" s="10">
        <f>'dpc-covid19-ita-andamento-naz'!L18</f>
        <v>12462</v>
      </c>
      <c r="E27" s="33">
        <f t="shared" si="8"/>
        <v>2313</v>
      </c>
      <c r="F27" s="8">
        <f t="shared" si="0"/>
        <v>9521.7317239514905</v>
      </c>
      <c r="G27" s="24">
        <f t="shared" si="1"/>
        <v>2249.3765698739476</v>
      </c>
      <c r="H27" s="10">
        <f t="shared" si="6"/>
        <v>3222.7849486289069</v>
      </c>
      <c r="I27" s="10">
        <f t="shared" si="7"/>
        <v>1275.9681911189882</v>
      </c>
      <c r="J27" s="10">
        <f>'dpc-covid19-ita-andamento-naz'!K18</f>
        <v>827</v>
      </c>
      <c r="K27" s="27">
        <f t="shared" si="9"/>
        <v>196</v>
      </c>
      <c r="L27" s="8">
        <f t="shared" si="2"/>
        <v>839.41174185847649</v>
      </c>
      <c r="M27" s="24">
        <f t="shared" si="3"/>
        <v>202.86260164228077</v>
      </c>
      <c r="N27" s="10">
        <f t="shared" si="4"/>
        <v>336.02331289212214</v>
      </c>
      <c r="O27" s="10">
        <f t="shared" si="5"/>
        <v>69.701890392439395</v>
      </c>
      <c r="P27" s="1"/>
      <c r="Q27" s="2" t="s">
        <v>7</v>
      </c>
      <c r="R27" s="1">
        <f>Critical_td*SE_of_yd</f>
        <v>133.16071124984137</v>
      </c>
    </row>
    <row r="28" spans="2:31" x14ac:dyDescent="0.3">
      <c r="B28" s="22">
        <v>43902</v>
      </c>
      <c r="C28" s="4">
        <v>22</v>
      </c>
      <c r="D28" s="10">
        <f>'dpc-covid19-ita-andamento-naz'!L19</f>
        <v>15113</v>
      </c>
      <c r="E28" s="33">
        <f t="shared" si="8"/>
        <v>2651</v>
      </c>
      <c r="F28" s="8">
        <f t="shared" si="0"/>
        <v>11945.322227100096</v>
      </c>
      <c r="G28" s="24">
        <f t="shared" si="1"/>
        <v>2599.2534606572699</v>
      </c>
      <c r="H28" s="10">
        <f t="shared" si="6"/>
        <v>3572.6618394122293</v>
      </c>
      <c r="I28" s="10">
        <f t="shared" si="7"/>
        <v>1625.8450819023105</v>
      </c>
      <c r="J28" s="10">
        <f>'dpc-covid19-ita-andamento-naz'!K19</f>
        <v>1016</v>
      </c>
      <c r="K28" s="27">
        <f t="shared" si="9"/>
        <v>189</v>
      </c>
      <c r="L28" s="8">
        <f t="shared" si="2"/>
        <v>1059.7323655211801</v>
      </c>
      <c r="M28" s="24">
        <f t="shared" si="3"/>
        <v>238.16392912971492</v>
      </c>
      <c r="N28" s="10">
        <f t="shared" si="4"/>
        <v>371.32464037955629</v>
      </c>
      <c r="O28" s="10">
        <f t="shared" si="5"/>
        <v>105.00321787987355</v>
      </c>
      <c r="P28" s="1"/>
      <c r="Q28" s="37" t="s">
        <v>71</v>
      </c>
      <c r="R28" s="38">
        <f>(wd^wd)*EXP(-wd)</f>
        <v>800.973219219405</v>
      </c>
    </row>
    <row r="29" spans="2:31" x14ac:dyDescent="0.3">
      <c r="B29" s="9">
        <v>43903</v>
      </c>
      <c r="C29" s="4">
        <v>23</v>
      </c>
      <c r="D29" s="10">
        <f>'dpc-covid19-ita-andamento-naz'!L20</f>
        <v>17660</v>
      </c>
      <c r="E29" s="33">
        <f t="shared" si="8"/>
        <v>2547</v>
      </c>
      <c r="F29" s="8">
        <f t="shared" si="0"/>
        <v>14721.966807075398</v>
      </c>
      <c r="G29" s="24">
        <f t="shared" si="1"/>
        <v>2954.30951600563</v>
      </c>
      <c r="H29" s="10">
        <f t="shared" si="6"/>
        <v>3927.7178947605894</v>
      </c>
      <c r="I29" s="10">
        <f t="shared" si="7"/>
        <v>1980.9011372506707</v>
      </c>
      <c r="J29" s="10">
        <f>'dpc-covid19-ita-andamento-naz'!K20</f>
        <v>1266</v>
      </c>
      <c r="K29" s="27">
        <f t="shared" si="9"/>
        <v>250</v>
      </c>
      <c r="L29" s="8">
        <f t="shared" si="2"/>
        <v>1316.4419420494678</v>
      </c>
      <c r="M29" s="24">
        <f t="shared" si="3"/>
        <v>275.57045219024252</v>
      </c>
      <c r="N29" s="10">
        <f t="shared" si="4"/>
        <v>408.73116344008389</v>
      </c>
      <c r="O29" s="10">
        <f t="shared" si="5"/>
        <v>142.40974094040115</v>
      </c>
      <c r="P29" s="1"/>
      <c r="Q29" s="37" t="s">
        <v>72</v>
      </c>
      <c r="R29" s="38">
        <f>wd*t0d</f>
        <v>42.177700370960764</v>
      </c>
    </row>
    <row r="30" spans="2:31" x14ac:dyDescent="0.3">
      <c r="B30" s="9">
        <v>43904</v>
      </c>
      <c r="C30" s="4">
        <v>24</v>
      </c>
      <c r="D30" s="10">
        <f>'dpc-covid19-ita-andamento-naz'!L21</f>
        <v>21157</v>
      </c>
      <c r="E30" s="33">
        <f t="shared" si="8"/>
        <v>3497</v>
      </c>
      <c r="F30" s="8">
        <f t="shared" si="0"/>
        <v>17853.307019162225</v>
      </c>
      <c r="G30" s="24">
        <f t="shared" si="1"/>
        <v>3307.4670882760238</v>
      </c>
      <c r="H30" s="10">
        <f t="shared" si="6"/>
        <v>4280.8754670309827</v>
      </c>
      <c r="I30" s="10">
        <f t="shared" si="7"/>
        <v>2334.0587095210644</v>
      </c>
      <c r="J30" s="10">
        <f>'dpc-covid19-ita-andamento-naz'!K21</f>
        <v>1441</v>
      </c>
      <c r="K30" s="27">
        <f t="shared" si="9"/>
        <v>175</v>
      </c>
      <c r="L30" s="8">
        <f t="shared" si="2"/>
        <v>1611.4270787955431</v>
      </c>
      <c r="M30" s="24">
        <f t="shared" si="3"/>
        <v>314.63706193435928</v>
      </c>
      <c r="N30" s="10">
        <f t="shared" si="4"/>
        <v>447.79777318420065</v>
      </c>
      <c r="O30" s="10">
        <f t="shared" si="5"/>
        <v>181.47635068451791</v>
      </c>
      <c r="P30" s="1"/>
    </row>
    <row r="31" spans="2:31" x14ac:dyDescent="0.3">
      <c r="B31" s="9">
        <v>43905</v>
      </c>
      <c r="C31" s="4">
        <v>25</v>
      </c>
      <c r="D31" s="10">
        <f>'dpc-covid19-ita-andamento-naz'!L22</f>
        <v>24747</v>
      </c>
      <c r="E31" s="33">
        <f t="shared" si="8"/>
        <v>3590</v>
      </c>
      <c r="F31" s="8">
        <f t="shared" si="0"/>
        <v>21333.945780680348</v>
      </c>
      <c r="G31" s="24">
        <f t="shared" si="1"/>
        <v>3651.7717692863748</v>
      </c>
      <c r="H31" s="10">
        <f t="shared" si="6"/>
        <v>4625.1801480413342</v>
      </c>
      <c r="I31" s="10">
        <f t="shared" si="7"/>
        <v>2678.3633905314155</v>
      </c>
      <c r="J31" s="10">
        <f>'dpc-covid19-ita-andamento-naz'!K22</f>
        <v>1809</v>
      </c>
      <c r="K31" s="27">
        <f t="shared" si="9"/>
        <v>368</v>
      </c>
      <c r="L31" s="8">
        <f t="shared" si="2"/>
        <v>1946.1079500956278</v>
      </c>
      <c r="M31" s="24">
        <f t="shared" si="3"/>
        <v>354.8784842774395</v>
      </c>
      <c r="N31" s="10">
        <f t="shared" si="4"/>
        <v>488.03919552728087</v>
      </c>
      <c r="O31" s="10">
        <f t="shared" si="5"/>
        <v>221.71777302759813</v>
      </c>
      <c r="P31" s="1"/>
    </row>
    <row r="32" spans="2:31" x14ac:dyDescent="0.3">
      <c r="B32" s="9">
        <v>43906</v>
      </c>
      <c r="C32" s="4">
        <v>26</v>
      </c>
      <c r="D32" s="10">
        <f>'dpc-covid19-ita-andamento-naz'!L23</f>
        <v>27980</v>
      </c>
      <c r="E32" s="33">
        <f t="shared" si="8"/>
        <v>3233</v>
      </c>
      <c r="F32" s="8">
        <f t="shared" si="0"/>
        <v>25151.700369758204</v>
      </c>
      <c r="G32" s="24">
        <f t="shared" si="1"/>
        <v>3980.6456938275742</v>
      </c>
      <c r="H32" s="10">
        <f t="shared" si="6"/>
        <v>4954.0540725825331</v>
      </c>
      <c r="I32" s="10">
        <f t="shared" si="7"/>
        <v>3007.2373150726148</v>
      </c>
      <c r="J32" s="10">
        <f>'dpc-covid19-ita-andamento-naz'!K23</f>
        <v>2158</v>
      </c>
      <c r="K32" s="27">
        <f t="shared" si="9"/>
        <v>349</v>
      </c>
      <c r="L32" s="8">
        <f t="shared" si="2"/>
        <v>2321.4055976812538</v>
      </c>
      <c r="M32" s="24">
        <f t="shared" si="3"/>
        <v>395.78420649308254</v>
      </c>
      <c r="N32" s="10">
        <f t="shared" si="4"/>
        <v>528.94491774292396</v>
      </c>
      <c r="O32" s="10">
        <f t="shared" si="5"/>
        <v>262.62349524324117</v>
      </c>
      <c r="P32" s="1"/>
    </row>
    <row r="33" spans="2:21" x14ac:dyDescent="0.3">
      <c r="B33" s="9">
        <v>43907</v>
      </c>
      <c r="C33" s="4">
        <v>27</v>
      </c>
      <c r="D33" s="10">
        <f>'dpc-covid19-ita-andamento-naz'!L24</f>
        <v>31506</v>
      </c>
      <c r="E33" s="33">
        <f t="shared" si="8"/>
        <v>3526</v>
      </c>
      <c r="F33" s="8">
        <f t="shared" si="0"/>
        <v>29288.088720609823</v>
      </c>
      <c r="G33" s="24">
        <f t="shared" si="1"/>
        <v>4288.0996040884856</v>
      </c>
      <c r="H33" s="10">
        <f t="shared" si="6"/>
        <v>5261.5079828434446</v>
      </c>
      <c r="I33" s="10">
        <f t="shared" si="7"/>
        <v>3314.6912253335263</v>
      </c>
      <c r="J33" s="10">
        <f>'dpc-covid19-ita-andamento-naz'!K24</f>
        <v>2503</v>
      </c>
      <c r="K33" s="27">
        <f t="shared" si="9"/>
        <v>345</v>
      </c>
      <c r="L33" s="8">
        <f t="shared" si="2"/>
        <v>2737.7240436574534</v>
      </c>
      <c r="M33" s="24">
        <f t="shared" si="3"/>
        <v>436.83307948736177</v>
      </c>
      <c r="N33" s="10">
        <f t="shared" si="4"/>
        <v>569.9937907372032</v>
      </c>
      <c r="O33" s="10">
        <f t="shared" si="5"/>
        <v>303.6723682375204</v>
      </c>
      <c r="P33" s="1"/>
    </row>
    <row r="34" spans="2:21" x14ac:dyDescent="0.3">
      <c r="B34" s="9">
        <v>43908</v>
      </c>
      <c r="C34" s="4">
        <v>28</v>
      </c>
      <c r="D34" s="10">
        <f>'dpc-covid19-ita-andamento-naz'!L25</f>
        <v>35713</v>
      </c>
      <c r="E34" s="33">
        <f t="shared" si="8"/>
        <v>4207</v>
      </c>
      <c r="F34" s="8">
        <f t="shared" si="0"/>
        <v>33719.004762251861</v>
      </c>
      <c r="G34" s="24">
        <f t="shared" si="1"/>
        <v>4568.8982923610183</v>
      </c>
      <c r="H34" s="10">
        <f t="shared" si="6"/>
        <v>5542.3066711159772</v>
      </c>
      <c r="I34" s="10">
        <f t="shared" si="7"/>
        <v>3595.489913606059</v>
      </c>
      <c r="J34" s="10">
        <f>'dpc-covid19-ita-andamento-naz'!K25</f>
        <v>2978</v>
      </c>
      <c r="K34" s="27">
        <f t="shared" si="9"/>
        <v>475</v>
      </c>
      <c r="L34" s="8">
        <f t="shared" si="2"/>
        <v>3194.9466216964765</v>
      </c>
      <c r="M34" s="24">
        <f t="shared" si="3"/>
        <v>477.50707466192716</v>
      </c>
      <c r="N34" s="10">
        <f t="shared" si="4"/>
        <v>610.66778591176853</v>
      </c>
      <c r="O34" s="10">
        <f t="shared" si="5"/>
        <v>344.34636341208579</v>
      </c>
      <c r="U34" s="1"/>
    </row>
    <row r="35" spans="2:21" x14ac:dyDescent="0.3">
      <c r="B35" s="9">
        <v>43909</v>
      </c>
      <c r="C35" s="4">
        <v>29</v>
      </c>
      <c r="D35" s="10">
        <f>'dpc-covid19-ita-andamento-naz'!L26</f>
        <v>41035</v>
      </c>
      <c r="E35" s="33">
        <f t="shared" si="8"/>
        <v>5322</v>
      </c>
      <c r="F35" s="8">
        <f t="shared" si="0"/>
        <v>38415.535012969223</v>
      </c>
      <c r="G35" s="24">
        <f t="shared" si="1"/>
        <v>4818.6776425447279</v>
      </c>
      <c r="H35" s="10">
        <f t="shared" si="6"/>
        <v>5792.0860212996868</v>
      </c>
      <c r="I35" s="10">
        <f t="shared" si="7"/>
        <v>3845.2692637897685</v>
      </c>
      <c r="J35" s="10">
        <f>'dpc-covid19-ita-andamento-naz'!K26</f>
        <v>3405</v>
      </c>
      <c r="K35" s="27">
        <f t="shared" si="9"/>
        <v>427</v>
      </c>
      <c r="L35" s="8">
        <f t="shared" si="2"/>
        <v>3692.4454684485941</v>
      </c>
      <c r="M35" s="24">
        <f t="shared" si="3"/>
        <v>517.30378940981007</v>
      </c>
      <c r="N35" s="10">
        <f t="shared" si="4"/>
        <v>650.46450065965143</v>
      </c>
      <c r="O35" s="10">
        <f t="shared" si="5"/>
        <v>384.1430781599687</v>
      </c>
    </row>
    <row r="36" spans="2:21" x14ac:dyDescent="0.3">
      <c r="B36" s="9">
        <v>43910</v>
      </c>
      <c r="C36" s="4">
        <v>30</v>
      </c>
      <c r="D36" s="10">
        <f>'dpc-covid19-ita-andamento-naz'!L27</f>
        <v>47021</v>
      </c>
      <c r="E36" s="33">
        <f t="shared" si="8"/>
        <v>5986</v>
      </c>
      <c r="F36" s="8">
        <f t="shared" si="0"/>
        <v>43344.868412801508</v>
      </c>
      <c r="G36" s="24">
        <f t="shared" si="1"/>
        <v>5034.014479886082</v>
      </c>
      <c r="H36" s="10">
        <f t="shared" si="6"/>
        <v>6007.4228586410409</v>
      </c>
      <c r="I36" s="10">
        <f t="shared" si="7"/>
        <v>4060.6061011311226</v>
      </c>
      <c r="J36" s="10">
        <f>'dpc-covid19-ita-andamento-naz'!K27</f>
        <v>4032</v>
      </c>
      <c r="K36" s="27">
        <f t="shared" si="9"/>
        <v>627</v>
      </c>
      <c r="L36" s="8">
        <f t="shared" si="2"/>
        <v>4229.1027682080112</v>
      </c>
      <c r="M36" s="24">
        <f t="shared" si="3"/>
        <v>555.74740843262089</v>
      </c>
      <c r="N36" s="10">
        <f t="shared" si="4"/>
        <v>688.90811968246226</v>
      </c>
      <c r="O36" s="10">
        <f t="shared" si="5"/>
        <v>422.58669718277952</v>
      </c>
    </row>
    <row r="37" spans="2:21" x14ac:dyDescent="0.3">
      <c r="B37" s="9">
        <v>43911</v>
      </c>
      <c r="C37" s="4">
        <v>31</v>
      </c>
      <c r="D37" s="10">
        <f>'dpc-covid19-ita-andamento-naz'!L28</f>
        <v>53578</v>
      </c>
      <c r="E37" s="33">
        <f t="shared" si="8"/>
        <v>6557</v>
      </c>
      <c r="F37" s="8">
        <f t="shared" si="0"/>
        <v>48471.253798676189</v>
      </c>
      <c r="G37" s="24">
        <f t="shared" si="1"/>
        <v>5212.4527498577163</v>
      </c>
      <c r="H37" s="10">
        <f t="shared" si="6"/>
        <v>6185.8611286126752</v>
      </c>
      <c r="I37" s="10">
        <f t="shared" si="7"/>
        <v>4239.0443711027574</v>
      </c>
      <c r="J37" s="10">
        <f>'dpc-covid19-ita-andamento-naz'!K28</f>
        <v>4825</v>
      </c>
      <c r="K37" s="27">
        <f t="shared" si="9"/>
        <v>793</v>
      </c>
      <c r="L37" s="8">
        <f t="shared" si="2"/>
        <v>4803.3421047313486</v>
      </c>
      <c r="M37" s="24">
        <f t="shared" si="3"/>
        <v>592.39793382529672</v>
      </c>
      <c r="N37" s="10">
        <f t="shared" si="4"/>
        <v>725.55864507513809</v>
      </c>
      <c r="O37" s="10">
        <f t="shared" si="5"/>
        <v>459.23722257545535</v>
      </c>
    </row>
    <row r="38" spans="2:21" x14ac:dyDescent="0.3">
      <c r="B38" s="9">
        <v>43912</v>
      </c>
      <c r="C38" s="4">
        <v>32</v>
      </c>
      <c r="D38" s="10">
        <f>'dpc-covid19-ita-andamento-naz'!L29</f>
        <v>59138</v>
      </c>
      <c r="E38" s="33">
        <f t="shared" si="8"/>
        <v>5560</v>
      </c>
      <c r="F38" s="8">
        <f t="shared" si="0"/>
        <v>53756.963820991179</v>
      </c>
      <c r="G38" s="24">
        <f t="shared" si="1"/>
        <v>5352.4911842752081</v>
      </c>
      <c r="H38" s="10">
        <f t="shared" si="6"/>
        <v>6325.899563030167</v>
      </c>
      <c r="I38" s="10">
        <f t="shared" si="7"/>
        <v>4379.0828055202492</v>
      </c>
      <c r="J38" s="10">
        <f>'dpc-covid19-ita-andamento-naz'!K29</f>
        <v>5476</v>
      </c>
      <c r="K38" s="27">
        <f t="shared" si="9"/>
        <v>651</v>
      </c>
      <c r="L38" s="8">
        <f t="shared" si="2"/>
        <v>5413.1681354428774</v>
      </c>
      <c r="M38" s="24">
        <f t="shared" si="3"/>
        <v>626.85859159204892</v>
      </c>
      <c r="N38" s="10">
        <f t="shared" si="4"/>
        <v>760.01930284189029</v>
      </c>
      <c r="O38" s="10">
        <f t="shared" si="5"/>
        <v>493.69788034220755</v>
      </c>
    </row>
    <row r="39" spans="2:21" x14ac:dyDescent="0.3">
      <c r="B39" s="22">
        <v>43913</v>
      </c>
      <c r="C39" s="4">
        <v>33</v>
      </c>
      <c r="D39" s="10">
        <f>'dpc-covid19-ita-andamento-naz'!L30</f>
        <v>63927</v>
      </c>
      <c r="E39" s="33">
        <f t="shared" si="8"/>
        <v>4789</v>
      </c>
      <c r="F39" s="8">
        <f t="shared" ref="F39:F70" si="10">t0n*_xlfn.GAMMA.DIST($C39/t0n,wn+1,1,1)*_xlfn.GAMMA(wn+1)</f>
        <v>59163.229814154605</v>
      </c>
      <c r="G39" s="24">
        <f t="shared" ref="G39:G70" si="11">(($C39/t0n)^wn)*EXP(-($C39/t0n))</f>
        <v>5453.5386259895286</v>
      </c>
      <c r="H39" s="10">
        <f t="shared" si="6"/>
        <v>6426.9470047444875</v>
      </c>
      <c r="I39" s="10">
        <f t="shared" si="7"/>
        <v>4480.1302472345697</v>
      </c>
      <c r="J39" s="10">
        <f>'dpc-covid19-ita-andamento-naz'!K30</f>
        <v>6077</v>
      </c>
      <c r="K39" s="27">
        <f t="shared" si="9"/>
        <v>601</v>
      </c>
      <c r="L39" s="8">
        <f t="shared" ref="L39:L70" si="12">t0d*_xlfn.GAMMA.DIST($C39/t0d,wd+1,1,1)*_xlfn.GAMMA(wd+1)</f>
        <v>6056.2127528270539</v>
      </c>
      <c r="M39" s="24">
        <f t="shared" ref="M39:M70" si="13">(($C39/t0d)^wd)*EXP(-($C39/t0d))</f>
        <v>658.78140374181021</v>
      </c>
      <c r="N39" s="10">
        <f t="shared" si="4"/>
        <v>791.94211499165158</v>
      </c>
      <c r="O39" s="10">
        <f t="shared" si="5"/>
        <v>525.62069249196884</v>
      </c>
    </row>
    <row r="40" spans="2:21" x14ac:dyDescent="0.3">
      <c r="B40" s="9">
        <v>43914</v>
      </c>
      <c r="C40" s="4">
        <v>34</v>
      </c>
      <c r="D40" s="10">
        <f>'dpc-covid19-ita-andamento-naz'!L31</f>
        <v>69176</v>
      </c>
      <c r="E40" s="33">
        <f t="shared" si="8"/>
        <v>5249</v>
      </c>
      <c r="F40" s="8">
        <f t="shared" si="10"/>
        <v>64651.118581183182</v>
      </c>
      <c r="G40" s="24">
        <f t="shared" si="11"/>
        <v>5515.8436531117413</v>
      </c>
      <c r="H40" s="10">
        <f t="shared" si="6"/>
        <v>6489.2520318667002</v>
      </c>
      <c r="I40" s="10">
        <f t="shared" si="7"/>
        <v>4542.4352743567824</v>
      </c>
      <c r="J40" s="10">
        <f>'dpc-covid19-ita-andamento-naz'!K31</f>
        <v>6820</v>
      </c>
      <c r="K40" s="27">
        <f t="shared" si="9"/>
        <v>743</v>
      </c>
      <c r="L40" s="8">
        <f t="shared" si="12"/>
        <v>6729.7859217853975</v>
      </c>
      <c r="M40" s="24">
        <f t="shared" si="13"/>
        <v>687.87098236647637</v>
      </c>
      <c r="N40" s="10">
        <f t="shared" si="4"/>
        <v>821.03169361631774</v>
      </c>
      <c r="O40" s="10">
        <f t="shared" si="5"/>
        <v>554.710271116635</v>
      </c>
    </row>
    <row r="41" spans="2:21" x14ac:dyDescent="0.3">
      <c r="B41" s="9">
        <v>43915</v>
      </c>
      <c r="C41" s="4">
        <v>35</v>
      </c>
      <c r="D41" s="10">
        <f>'dpc-covid19-ita-andamento-naz'!L32</f>
        <v>74386</v>
      </c>
      <c r="E41" s="33">
        <f t="shared" si="8"/>
        <v>5210</v>
      </c>
      <c r="F41" s="8">
        <f t="shared" si="10"/>
        <v>70182.328737537711</v>
      </c>
      <c r="G41" s="24">
        <f t="shared" si="11"/>
        <v>5540.4051657580249</v>
      </c>
      <c r="H41" s="10">
        <f t="shared" si="6"/>
        <v>6513.8135445129838</v>
      </c>
      <c r="I41" s="10">
        <f t="shared" si="7"/>
        <v>4566.9967870030659</v>
      </c>
      <c r="J41" s="10">
        <f>'dpc-covid19-ita-andamento-naz'!K32</f>
        <v>7503</v>
      </c>
      <c r="K41" s="27">
        <f t="shared" si="9"/>
        <v>683</v>
      </c>
      <c r="L41" s="8">
        <f t="shared" si="12"/>
        <v>7430.9294657945902</v>
      </c>
      <c r="M41" s="24">
        <f t="shared" si="13"/>
        <v>713.88665507244036</v>
      </c>
      <c r="N41" s="10">
        <f t="shared" si="4"/>
        <v>847.04736632228173</v>
      </c>
      <c r="O41" s="10">
        <f t="shared" si="5"/>
        <v>580.72594382259899</v>
      </c>
    </row>
    <row r="42" spans="2:21" x14ac:dyDescent="0.3">
      <c r="B42" s="9">
        <v>43916</v>
      </c>
      <c r="C42" s="4">
        <v>36</v>
      </c>
      <c r="D42" s="10">
        <f>'dpc-covid19-ita-andamento-naz'!L33</f>
        <v>80539</v>
      </c>
      <c r="E42" s="33">
        <f t="shared" si="8"/>
        <v>6153</v>
      </c>
      <c r="F42" s="8">
        <f t="shared" si="10"/>
        <v>75719.890784646122</v>
      </c>
      <c r="G42" s="24">
        <f t="shared" si="11"/>
        <v>5528.8702733207956</v>
      </c>
      <c r="H42" s="10">
        <f t="shared" si="6"/>
        <v>6502.2786520757545</v>
      </c>
      <c r="I42" s="10">
        <f t="shared" si="7"/>
        <v>4555.4618945658367</v>
      </c>
      <c r="J42" s="10">
        <f>'dpc-covid19-ita-andamento-naz'!K33</f>
        <v>8165</v>
      </c>
      <c r="K42" s="27">
        <f t="shared" si="9"/>
        <v>662</v>
      </c>
      <c r="L42" s="8">
        <f t="shared" si="12"/>
        <v>8156.4722048295007</v>
      </c>
      <c r="M42" s="24">
        <f t="shared" si="13"/>
        <v>736.64307045616022</v>
      </c>
      <c r="N42" s="10">
        <f t="shared" si="4"/>
        <v>869.80378170600159</v>
      </c>
      <c r="O42" s="10">
        <f t="shared" si="5"/>
        <v>603.48235920631885</v>
      </c>
    </row>
    <row r="43" spans="2:21" x14ac:dyDescent="0.3">
      <c r="B43" s="9">
        <v>43917</v>
      </c>
      <c r="C43" s="4">
        <v>37</v>
      </c>
      <c r="D43" s="10">
        <f>'dpc-covid19-ita-andamento-naz'!L34</f>
        <v>86498</v>
      </c>
      <c r="E43" s="33">
        <f t="shared" si="8"/>
        <v>5959</v>
      </c>
      <c r="F43" s="8">
        <f t="shared" si="10"/>
        <v>81228.761151052226</v>
      </c>
      <c r="G43" s="24">
        <f t="shared" si="11"/>
        <v>5483.4252452217652</v>
      </c>
      <c r="H43" s="10">
        <f t="shared" si="6"/>
        <v>6456.8336239767241</v>
      </c>
      <c r="I43" s="10">
        <f t="shared" si="7"/>
        <v>4510.0168664668063</v>
      </c>
      <c r="J43" s="10">
        <f>'dpc-covid19-ita-andamento-naz'!K34</f>
        <v>9134</v>
      </c>
      <c r="K43" s="27">
        <f t="shared" si="9"/>
        <v>969</v>
      </c>
      <c r="L43" s="8">
        <f t="shared" si="12"/>
        <v>8903.0850110936153</v>
      </c>
      <c r="M43" s="24">
        <f t="shared" si="13"/>
        <v>756.00945911735937</v>
      </c>
      <c r="N43" s="10">
        <f t="shared" si="4"/>
        <v>889.17017036720074</v>
      </c>
      <c r="O43" s="10">
        <f t="shared" si="5"/>
        <v>622.848747867518</v>
      </c>
    </row>
    <row r="44" spans="2:21" x14ac:dyDescent="0.3">
      <c r="B44" s="9">
        <v>43918</v>
      </c>
      <c r="C44" s="4">
        <v>38</v>
      </c>
      <c r="D44" s="10">
        <f>'dpc-covid19-ita-andamento-naz'!L35</f>
        <v>92472</v>
      </c>
      <c r="E44" s="33">
        <f t="shared" si="8"/>
        <v>5974</v>
      </c>
      <c r="F44" s="8">
        <f t="shared" si="10"/>
        <v>86676.305843621551</v>
      </c>
      <c r="G44" s="24">
        <f t="shared" si="11"/>
        <v>5406.6845508441311</v>
      </c>
      <c r="H44" s="10">
        <f t="shared" si="6"/>
        <v>6380.09292959909</v>
      </c>
      <c r="I44" s="10">
        <f t="shared" ref="I44:I49" si="14">MAX(G44-CIn,0)</f>
        <v>4433.2761720891722</v>
      </c>
      <c r="J44" s="10">
        <f>'dpc-covid19-ita-andamento-naz'!K35</f>
        <v>10023</v>
      </c>
      <c r="K44" s="27">
        <f t="shared" si="9"/>
        <v>889</v>
      </c>
      <c r="L44" s="8">
        <f t="shared" si="12"/>
        <v>9667.3345328129562</v>
      </c>
      <c r="M44" s="24">
        <f t="shared" si="13"/>
        <v>771.90774142731073</v>
      </c>
      <c r="N44" s="10">
        <f t="shared" si="4"/>
        <v>905.0684526771521</v>
      </c>
      <c r="O44" s="10">
        <f t="shared" si="5"/>
        <v>638.74703017746936</v>
      </c>
    </row>
    <row r="45" spans="2:21" x14ac:dyDescent="0.3">
      <c r="B45" s="9">
        <v>43919</v>
      </c>
      <c r="C45" s="4">
        <v>39</v>
      </c>
      <c r="D45" s="10">
        <f>'dpc-covid19-ita-andamento-naz'!L36</f>
        <v>97689</v>
      </c>
      <c r="E45" s="33">
        <f t="shared" si="8"/>
        <v>5217</v>
      </c>
      <c r="F45" s="8">
        <f t="shared" si="10"/>
        <v>92032.673969406227</v>
      </c>
      <c r="G45" s="24">
        <f t="shared" si="11"/>
        <v>5301.5821904260747</v>
      </c>
      <c r="H45" s="10">
        <f t="shared" ref="H45:H51" si="15">G45+CIn</f>
        <v>6274.9905691810336</v>
      </c>
      <c r="I45" s="10">
        <f t="shared" si="14"/>
        <v>4328.1738116711158</v>
      </c>
      <c r="J45" s="10">
        <f>'dpc-covid19-ita-andamento-naz'!K36</f>
        <v>10779</v>
      </c>
      <c r="K45" s="27">
        <f t="shared" si="9"/>
        <v>756</v>
      </c>
      <c r="L45" s="8">
        <f t="shared" si="12"/>
        <v>10445.734531411346</v>
      </c>
      <c r="M45" s="24">
        <f t="shared" si="13"/>
        <v>784.309679516188</v>
      </c>
      <c r="N45" s="10">
        <f t="shared" si="4"/>
        <v>917.47039076602937</v>
      </c>
      <c r="O45" s="10">
        <f t="shared" si="5"/>
        <v>651.14896826634663</v>
      </c>
    </row>
    <row r="46" spans="2:21" x14ac:dyDescent="0.3">
      <c r="B46" s="9">
        <v>43920</v>
      </c>
      <c r="C46" s="4">
        <v>40</v>
      </c>
      <c r="D46" s="10">
        <f>'dpc-covid19-ita-andamento-naz'!L37</f>
        <v>101739</v>
      </c>
      <c r="E46" s="33">
        <f t="shared" si="8"/>
        <v>4050</v>
      </c>
      <c r="F46" s="8">
        <f t="shared" si="10"/>
        <v>97271.065166038083</v>
      </c>
      <c r="G46" s="24">
        <f t="shared" si="11"/>
        <v>5171.2686699393616</v>
      </c>
      <c r="H46" s="10">
        <f t="shared" si="15"/>
        <v>6144.6770486943205</v>
      </c>
      <c r="I46" s="10">
        <f t="shared" si="14"/>
        <v>4197.8602911844027</v>
      </c>
      <c r="J46" s="10">
        <f>'dpc-covid19-ita-andamento-naz'!K37</f>
        <v>11591</v>
      </c>
      <c r="K46" s="27">
        <f t="shared" si="9"/>
        <v>812</v>
      </c>
      <c r="L46" s="8">
        <f t="shared" si="12"/>
        <v>11234.793974641874</v>
      </c>
      <c r="M46" s="24">
        <f t="shared" si="13"/>
        <v>793.23326936121066</v>
      </c>
      <c r="N46" s="10">
        <f t="shared" ref="N46:N51" si="16">M46+CId</f>
        <v>926.39398061105203</v>
      </c>
      <c r="O46" s="10">
        <f t="shared" ref="O46:O51" si="17">MAX(M46-CId,0)</f>
        <v>660.07255811136929</v>
      </c>
    </row>
    <row r="47" spans="2:21" x14ac:dyDescent="0.3">
      <c r="B47" s="9">
        <v>43921</v>
      </c>
      <c r="C47" s="4">
        <v>41</v>
      </c>
      <c r="D47" s="10">
        <f>'dpc-covid19-ita-andamento-naz'!L38</f>
        <v>105792</v>
      </c>
      <c r="E47" s="33">
        <f t="shared" si="8"/>
        <v>4053</v>
      </c>
      <c r="F47" s="8">
        <f t="shared" si="10"/>
        <v>102367.89791515884</v>
      </c>
      <c r="G47" s="24">
        <f t="shared" si="11"/>
        <v>5019.016147361629</v>
      </c>
      <c r="H47" s="10">
        <f t="shared" si="15"/>
        <v>5992.4245261165879</v>
      </c>
      <c r="I47" s="10">
        <f t="shared" si="14"/>
        <v>4045.6077686066697</v>
      </c>
      <c r="J47" s="10">
        <f>'dpc-covid19-ita-andamento-naz'!K38</f>
        <v>12428</v>
      </c>
      <c r="K47" s="27">
        <f t="shared" si="9"/>
        <v>837</v>
      </c>
      <c r="L47" s="8">
        <f t="shared" si="12"/>
        <v>12031.061220684127</v>
      </c>
      <c r="M47" s="24">
        <f t="shared" si="13"/>
        <v>798.73856105606797</v>
      </c>
      <c r="N47" s="10">
        <f t="shared" si="16"/>
        <v>931.89927230590934</v>
      </c>
      <c r="O47" s="10">
        <f t="shared" si="17"/>
        <v>665.5778498062266</v>
      </c>
    </row>
    <row r="48" spans="2:21" x14ac:dyDescent="0.3">
      <c r="B48" s="9">
        <v>43922</v>
      </c>
      <c r="C48" s="4">
        <v>42</v>
      </c>
      <c r="D48" s="10">
        <f>'dpc-covid19-ita-andamento-naz'!L39</f>
        <v>110574</v>
      </c>
      <c r="E48" s="33">
        <f t="shared" si="8"/>
        <v>4782</v>
      </c>
      <c r="F48" s="8">
        <f t="shared" si="10"/>
        <v>107302.88785107409</v>
      </c>
      <c r="G48" s="24">
        <f t="shared" si="11"/>
        <v>4848.1335102473586</v>
      </c>
      <c r="H48" s="10">
        <f t="shared" si="15"/>
        <v>5821.5418890023175</v>
      </c>
      <c r="I48" s="10">
        <f t="shared" si="14"/>
        <v>3874.7251314923992</v>
      </c>
      <c r="J48" s="10">
        <f>'dpc-covid19-ita-andamento-naz'!K39</f>
        <v>13155</v>
      </c>
      <c r="K48" s="27">
        <f t="shared" si="9"/>
        <v>727</v>
      </c>
      <c r="L48" s="8">
        <f t="shared" si="12"/>
        <v>12831.163810374121</v>
      </c>
      <c r="M48" s="24">
        <f t="shared" si="13"/>
        <v>800.923082829637</v>
      </c>
      <c r="N48" s="10">
        <f t="shared" si="16"/>
        <v>934.08379407947837</v>
      </c>
      <c r="O48" s="10">
        <f t="shared" si="17"/>
        <v>667.76237157979563</v>
      </c>
    </row>
    <row r="49" spans="2:15" x14ac:dyDescent="0.3">
      <c r="B49" s="9">
        <v>43923</v>
      </c>
      <c r="C49" s="4">
        <v>43</v>
      </c>
      <c r="D49" s="10">
        <f>'dpc-covid19-ita-andamento-naz'!L40</f>
        <v>115242</v>
      </c>
      <c r="E49" s="33">
        <f t="shared" si="8"/>
        <v>4668</v>
      </c>
      <c r="F49" s="8">
        <f t="shared" si="10"/>
        <v>112059.04658622568</v>
      </c>
      <c r="G49" s="24">
        <f t="shared" si="11"/>
        <v>4661.8924584953829</v>
      </c>
      <c r="H49" s="10">
        <f t="shared" si="15"/>
        <v>5635.3008372503418</v>
      </c>
      <c r="I49" s="10">
        <f t="shared" si="14"/>
        <v>3688.4840797404236</v>
      </c>
      <c r="J49" s="10">
        <f>'dpc-covid19-ita-andamento-naz'!K40</f>
        <v>13915</v>
      </c>
      <c r="K49" s="27">
        <f t="shared" si="9"/>
        <v>760</v>
      </c>
      <c r="L49" s="8">
        <f t="shared" si="12"/>
        <v>13631.843552599243</v>
      </c>
      <c r="M49" s="24">
        <f t="shared" si="13"/>
        <v>799.91702852395917</v>
      </c>
      <c r="N49" s="10">
        <f t="shared" si="16"/>
        <v>933.07773977380054</v>
      </c>
      <c r="O49" s="10">
        <f t="shared" si="17"/>
        <v>666.75631727411781</v>
      </c>
    </row>
    <row r="50" spans="2:15" x14ac:dyDescent="0.3">
      <c r="B50" s="9">
        <v>43924</v>
      </c>
      <c r="C50" s="4">
        <v>44</v>
      </c>
      <c r="D50" s="10">
        <f>'dpc-covid19-ita-andamento-naz'!L41</f>
        <v>119827</v>
      </c>
      <c r="E50" s="33">
        <f t="shared" si="8"/>
        <v>4585</v>
      </c>
      <c r="F50" s="8">
        <f t="shared" si="10"/>
        <v>116622.61234522352</v>
      </c>
      <c r="G50" s="24">
        <f t="shared" si="11"/>
        <v>4463.4650752162242</v>
      </c>
      <c r="H50" s="10">
        <f t="shared" si="15"/>
        <v>5436.8734539711832</v>
      </c>
      <c r="I50" s="10">
        <f t="shared" ref="I50" si="18">MAX(G50-CIn,0)</f>
        <v>3490.0566964612649</v>
      </c>
      <c r="J50" s="10">
        <f>'dpc-covid19-ita-andamento-naz'!K41</f>
        <v>14681</v>
      </c>
      <c r="K50" s="27">
        <f t="shared" si="9"/>
        <v>766</v>
      </c>
      <c r="L50" s="8">
        <f t="shared" si="12"/>
        <v>14429.986738731486</v>
      </c>
      <c r="M50" s="24">
        <f t="shared" si="13"/>
        <v>795.87835023680123</v>
      </c>
      <c r="N50" s="10">
        <f t="shared" si="16"/>
        <v>929.03906148664259</v>
      </c>
      <c r="O50" s="10">
        <f t="shared" si="17"/>
        <v>662.71763898695986</v>
      </c>
    </row>
    <row r="51" spans="2:15" x14ac:dyDescent="0.3">
      <c r="B51" s="9">
        <v>43925</v>
      </c>
      <c r="C51" s="4">
        <v>45</v>
      </c>
      <c r="D51" s="10">
        <f>'dpc-covid19-ita-andamento-naz'!L42</f>
        <v>124632</v>
      </c>
      <c r="E51" s="33">
        <f t="shared" si="8"/>
        <v>4805</v>
      </c>
      <c r="F51" s="8">
        <f t="shared" si="10"/>
        <v>120982.92392840804</v>
      </c>
      <c r="G51" s="24">
        <f t="shared" si="11"/>
        <v>4255.8728781112359</v>
      </c>
      <c r="H51" s="10">
        <f t="shared" si="15"/>
        <v>5229.2812568661948</v>
      </c>
      <c r="I51" s="10">
        <f t="shared" ref="I51" si="19">MAX(G51-CIn,0)</f>
        <v>3282.4644993562765</v>
      </c>
      <c r="J51" s="10">
        <f>'dpc-covid19-ita-andamento-naz'!K42</f>
        <v>15362</v>
      </c>
      <c r="K51" s="27">
        <f t="shared" si="9"/>
        <v>681</v>
      </c>
      <c r="L51" s="8">
        <f t="shared" si="12"/>
        <v>15222.649454169203</v>
      </c>
      <c r="M51" s="24">
        <f t="shared" si="13"/>
        <v>788.98787870531112</v>
      </c>
      <c r="N51" s="10">
        <f t="shared" si="16"/>
        <v>922.14858995515249</v>
      </c>
      <c r="O51" s="10">
        <f t="shared" si="17"/>
        <v>655.82716745546975</v>
      </c>
    </row>
    <row r="52" spans="2:15" x14ac:dyDescent="0.3">
      <c r="B52" s="9">
        <v>43926</v>
      </c>
      <c r="C52" s="4">
        <v>46</v>
      </c>
      <c r="E52" s="33"/>
      <c r="F52" s="8">
        <f t="shared" si="10"/>
        <v>125132.24931481387</v>
      </c>
      <c r="G52" s="24">
        <f t="shared" si="11"/>
        <v>4041.9469530431143</v>
      </c>
      <c r="K52" s="27"/>
      <c r="L52" s="8">
        <f t="shared" si="12"/>
        <v>16007.078067922832</v>
      </c>
      <c r="M52" s="24">
        <f t="shared" si="13"/>
        <v>779.44457460006788</v>
      </c>
    </row>
    <row r="53" spans="2:15" x14ac:dyDescent="0.3">
      <c r="B53" s="9">
        <v>43927</v>
      </c>
      <c r="C53" s="4">
        <v>47</v>
      </c>
      <c r="E53" s="33"/>
      <c r="F53" s="8">
        <f t="shared" si="10"/>
        <v>129065.57966037607</v>
      </c>
      <c r="G53" s="24">
        <f t="shared" si="11"/>
        <v>3824.2984751773993</v>
      </c>
      <c r="K53" s="27"/>
      <c r="L53" s="8">
        <f t="shared" si="12"/>
        <v>16780.725074787784</v>
      </c>
      <c r="M53" s="24">
        <f t="shared" si="13"/>
        <v>767.46099488982497</v>
      </c>
    </row>
    <row r="54" spans="2:15" x14ac:dyDescent="0.3">
      <c r="B54" s="9">
        <v>43928</v>
      </c>
      <c r="C54" s="4">
        <v>48</v>
      </c>
      <c r="E54" s="33"/>
      <c r="F54" s="8">
        <f t="shared" si="10"/>
        <v>132780.3986406886</v>
      </c>
      <c r="G54" s="24">
        <f t="shared" si="11"/>
        <v>3605.2987127578067</v>
      </c>
      <c r="K54" s="27"/>
      <c r="L54" s="8">
        <f t="shared" si="12"/>
        <v>17541.260539668438</v>
      </c>
      <c r="M54" s="24">
        <f t="shared" si="13"/>
        <v>753.25904034720759</v>
      </c>
    </row>
    <row r="55" spans="2:15" x14ac:dyDescent="0.3">
      <c r="B55" s="9">
        <v>43929</v>
      </c>
      <c r="C55" s="4">
        <v>49</v>
      </c>
      <c r="E55" s="33"/>
      <c r="F55" s="8">
        <f t="shared" si="10"/>
        <v>136276.43610950356</v>
      </c>
      <c r="G55" s="24">
        <f t="shared" si="11"/>
        <v>3387.0674738870443</v>
      </c>
      <c r="K55" s="27"/>
      <c r="L55" s="8">
        <f t="shared" si="12"/>
        <v>18286.579451171438</v>
      </c>
      <c r="M55" s="24">
        <f t="shared" si="13"/>
        <v>737.06603347475607</v>
      </c>
    </row>
    <row r="56" spans="2:15" x14ac:dyDescent="0.3">
      <c r="B56" s="9">
        <v>43930</v>
      </c>
      <c r="C56" s="4">
        <v>50</v>
      </c>
      <c r="E56" s="33"/>
      <c r="F56" s="8">
        <f t="shared" si="10"/>
        <v>139555.41396447894</v>
      </c>
      <c r="G56" s="24">
        <f t="shared" si="11"/>
        <v>3171.468886358884</v>
      </c>
      <c r="K56" s="27"/>
      <c r="L56" s="8">
        <f t="shared" si="12"/>
        <v>19014.805333111253</v>
      </c>
      <c r="M56" s="24">
        <f t="shared" si="13"/>
        <v>719.1111608970532</v>
      </c>
    </row>
    <row r="57" spans="2:15" x14ac:dyDescent="0.3">
      <c r="B57" s="9">
        <v>43931</v>
      </c>
      <c r="C57" s="4">
        <v>51</v>
      </c>
      <c r="E57" s="33"/>
      <c r="F57" s="8">
        <f t="shared" si="10"/>
        <v>142620.7909891044</v>
      </c>
      <c r="G57" s="24">
        <f t="shared" si="11"/>
        <v>2960.113383226661</v>
      </c>
      <c r="K57" s="27"/>
      <c r="L57" s="8">
        <f t="shared" si="12"/>
        <v>19724.290489709067</v>
      </c>
      <c r="M57" s="24">
        <f t="shared" si="13"/>
        <v>699.62230074216893</v>
      </c>
    </row>
    <row r="58" spans="2:15" x14ac:dyDescent="0.3">
      <c r="B58" s="9">
        <v>43932</v>
      </c>
      <c r="C58" s="4">
        <v>52</v>
      </c>
      <c r="E58" s="33"/>
      <c r="F58" s="8">
        <f t="shared" si="10"/>
        <v>145477.51232167493</v>
      </c>
      <c r="G58" s="24">
        <f t="shared" si="11"/>
        <v>2754.3647914319649</v>
      </c>
      <c r="K58" s="27"/>
      <c r="L58" s="8">
        <f t="shared" si="12"/>
        <v>20413.613274767558</v>
      </c>
      <c r="M58" s="24">
        <f t="shared" si="13"/>
        <v>678.82324379153556</v>
      </c>
    </row>
    <row r="59" spans="2:15" x14ac:dyDescent="0.3">
      <c r="B59" s="9">
        <v>43933</v>
      </c>
      <c r="C59" s="4">
        <v>53</v>
      </c>
      <c r="E59" s="33"/>
      <c r="F59" s="8">
        <f t="shared" si="10"/>
        <v>148131.76812549663</v>
      </c>
      <c r="G59" s="24">
        <f t="shared" si="11"/>
        <v>2555.3514773166589</v>
      </c>
      <c r="K59" s="27"/>
      <c r="L59" s="8">
        <f t="shared" si="12"/>
        <v>21081.572778754406</v>
      </c>
      <c r="M59" s="24">
        <f t="shared" si="13"/>
        <v>656.93130720982003</v>
      </c>
    </row>
    <row r="60" spans="2:15" x14ac:dyDescent="0.3">
      <c r="B60" s="9">
        <v>43934</v>
      </c>
      <c r="C60" s="4">
        <v>54</v>
      </c>
      <c r="E60" s="33"/>
      <c r="F60" s="8">
        <f t="shared" si="10"/>
        <v>150590.76502642807</v>
      </c>
      <c r="G60" s="24">
        <f t="shared" si="11"/>
        <v>2363.9805821428886</v>
      </c>
      <c r="K60" s="27"/>
      <c r="L60" s="8">
        <f t="shared" si="12"/>
        <v>21727.181322273445</v>
      </c>
      <c r="M60" s="24">
        <f t="shared" si="13"/>
        <v>634.15533141914955</v>
      </c>
    </row>
    <row r="61" spans="2:15" x14ac:dyDescent="0.3">
      <c r="B61" s="9">
        <v>43935</v>
      </c>
      <c r="C61" s="4">
        <v>55</v>
      </c>
      <c r="E61" s="33"/>
      <c r="F61" s="8">
        <f t="shared" si="10"/>
        <v>152862.51296316035</v>
      </c>
      <c r="G61" s="24">
        <f t="shared" si="11"/>
        <v>2180.9544749960601</v>
      </c>
      <c r="K61" s="27"/>
      <c r="L61" s="8">
        <f t="shared" si="12"/>
        <v>22349.655131526899</v>
      </c>
      <c r="M61" s="24">
        <f t="shared" si="13"/>
        <v>610.69404405854777</v>
      </c>
    </row>
    <row r="62" spans="2:15" x14ac:dyDescent="0.3">
      <c r="B62" s="9">
        <v>43936</v>
      </c>
      <c r="C62" s="4">
        <v>56</v>
      </c>
      <c r="E62" s="33"/>
      <c r="F62" s="8">
        <f t="shared" si="10"/>
        <v>154955.62927385609</v>
      </c>
      <c r="G62" s="24">
        <f t="shared" si="11"/>
        <v>2006.7886530412525</v>
      </c>
      <c r="K62" s="27"/>
      <c r="L62" s="8">
        <f t="shared" si="12"/>
        <v>22948.403552629174</v>
      </c>
      <c r="M62" s="24">
        <f t="shared" si="13"/>
        <v>586.7347698447511</v>
      </c>
    </row>
    <row r="63" spans="2:15" x14ac:dyDescent="0.3">
      <c r="B63" s="9">
        <v>43937</v>
      </c>
      <c r="C63" s="4">
        <v>57</v>
      </c>
      <c r="E63" s="33"/>
      <c r="F63" s="8">
        <f t="shared" si="10"/>
        <v>156879.16112546637</v>
      </c>
      <c r="G63" s="24">
        <f t="shared" si="11"/>
        <v>1841.8304246579785</v>
      </c>
      <c r="K63" s="27"/>
      <c r="L63" s="8">
        <f t="shared" si="12"/>
        <v>23523.017138459429</v>
      </c>
      <c r="M63" s="24">
        <f t="shared" si="13"/>
        <v>562.45246138132256</v>
      </c>
    </row>
    <row r="64" spans="2:15" x14ac:dyDescent="0.3">
      <c r="B64" s="9">
        <v>43938</v>
      </c>
      <c r="C64" s="4">
        <v>58</v>
      </c>
      <c r="E64" s="33"/>
      <c r="F64" s="8">
        <f t="shared" si="10"/>
        <v>158642.42677995504</v>
      </c>
      <c r="G64" s="24">
        <f t="shared" si="11"/>
        <v>1686.2778152457106</v>
      </c>
      <c r="K64" s="27"/>
      <c r="L64" s="8">
        <f t="shared" si="12"/>
        <v>24073.254915408834</v>
      </c>
      <c r="M64" s="24">
        <f t="shared" si="13"/>
        <v>538.00902339589129</v>
      </c>
    </row>
    <row r="65" spans="2:13" x14ac:dyDescent="0.3">
      <c r="B65" s="9">
        <v>43939</v>
      </c>
      <c r="C65" s="4">
        <v>59</v>
      </c>
      <c r="E65" s="33"/>
      <c r="F65" s="8">
        <f t="shared" si="10"/>
        <v>160254.8756818237</v>
      </c>
      <c r="G65" s="24">
        <f t="shared" si="11"/>
        <v>1540.1982352631799</v>
      </c>
      <c r="K65" s="27"/>
      <c r="L65" s="8">
        <f t="shared" si="12"/>
        <v>24599.031109017156</v>
      </c>
      <c r="M65" s="24">
        <f t="shared" si="13"/>
        <v>513.55290136422389</v>
      </c>
    </row>
    <row r="66" spans="2:13" x14ac:dyDescent="0.3">
      <c r="B66" s="9">
        <v>43940</v>
      </c>
      <c r="C66" s="4">
        <v>60</v>
      </c>
      <c r="E66" s="33"/>
      <c r="F66" s="8">
        <f t="shared" si="10"/>
        <v>161725.96693801868</v>
      </c>
      <c r="G66" s="24">
        <f t="shared" si="11"/>
        <v>1403.5465430331794</v>
      </c>
      <c r="K66" s="27"/>
      <c r="L66" s="8">
        <f t="shared" si="12"/>
        <v>25100.401578069774</v>
      </c>
      <c r="M66" s="24">
        <f t="shared" si="13"/>
        <v>489.21890485072151</v>
      </c>
    </row>
    <row r="67" spans="2:13" x14ac:dyDescent="0.3">
      <c r="B67" s="9">
        <v>43941</v>
      </c>
      <c r="C67" s="4">
        <v>61</v>
      </c>
      <c r="E67" s="33"/>
      <c r="F67" s="8">
        <f t="shared" si="10"/>
        <v>163065.06543689346</v>
      </c>
      <c r="G67" s="24">
        <f t="shared" si="11"/>
        <v>1276.1822194862823</v>
      </c>
      <c r="K67" s="27"/>
      <c r="L67" s="8">
        <f t="shared" si="12"/>
        <v>25577.550177056833</v>
      </c>
      <c r="M67" s="24">
        <f t="shared" si="13"/>
        <v>465.1282360101111</v>
      </c>
    </row>
    <row r="68" spans="2:13" x14ac:dyDescent="0.3">
      <c r="B68" s="9">
        <v>43942</v>
      </c>
      <c r="C68" s="4">
        <v>62</v>
      </c>
      <c r="E68" s="33"/>
      <c r="F68" s="8">
        <f t="shared" si="10"/>
        <v>164281.35460857867</v>
      </c>
      <c r="G68" s="24">
        <f t="shared" si="11"/>
        <v>1157.8854474504235</v>
      </c>
      <c r="K68" s="27"/>
      <c r="L68" s="8">
        <f t="shared" si="12"/>
        <v>26030.77523765701</v>
      </c>
      <c r="M68" s="24">
        <f t="shared" si="13"/>
        <v>441.38869441645164</v>
      </c>
    </row>
    <row r="69" spans="2:13" x14ac:dyDescent="0.3">
      <c r="B69" s="9">
        <v>43943</v>
      </c>
      <c r="C69" s="4">
        <v>63</v>
      </c>
      <c r="E69" s="33"/>
      <c r="F69" s="8">
        <f t="shared" si="10"/>
        <v>165383.764655454</v>
      </c>
      <c r="G69" s="24">
        <f t="shared" si="11"/>
        <v>1048.371953959652</v>
      </c>
      <c r="K69" s="27"/>
      <c r="L69" s="8">
        <f t="shared" si="12"/>
        <v>26460.476331639544</v>
      </c>
      <c r="M69" s="24">
        <f t="shared" si="13"/>
        <v>418.09503058605452</v>
      </c>
    </row>
    <row r="70" spans="2:13" x14ac:dyDescent="0.3">
      <c r="B70" s="9">
        <v>43944</v>
      </c>
      <c r="C70" s="4">
        <v>64</v>
      </c>
      <c r="E70" s="33"/>
      <c r="F70" s="8">
        <f t="shared" si="10"/>
        <v>166380.91496884596</v>
      </c>
      <c r="G70" s="24">
        <f t="shared" si="11"/>
        <v>947.30653040522247</v>
      </c>
      <c r="K70" s="27"/>
      <c r="L70" s="8">
        <f t="shared" si="12"/>
        <v>26867.141450701532</v>
      </c>
      <c r="M70" s="24">
        <f t="shared" si="13"/>
        <v>395.32942212618332</v>
      </c>
    </row>
    <row r="71" spans="2:13" x14ac:dyDescent="0.3">
      <c r="B71" s="9"/>
      <c r="C71" s="4"/>
    </row>
    <row r="72" spans="2:13" x14ac:dyDescent="0.3">
      <c r="B72" s="9"/>
      <c r="C72" s="4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40</vt:i4>
      </vt:variant>
    </vt:vector>
  </HeadingPairs>
  <TitlesOfParts>
    <vt:vector size="43" baseType="lpstr">
      <vt:lpstr>dpc-covid19-ita-andamento-naz</vt:lpstr>
      <vt:lpstr>Cumul_confirmed - Power law fit</vt:lpstr>
      <vt:lpstr>New_confirmed - Power law fit</vt:lpstr>
      <vt:lpstr>CI</vt:lpstr>
      <vt:lpstr>CId</vt:lpstr>
      <vt:lpstr>CIh</vt:lpstr>
      <vt:lpstr>CIn</vt:lpstr>
      <vt:lpstr>Critical_t</vt:lpstr>
      <vt:lpstr>Critical_td</vt:lpstr>
      <vt:lpstr>Critical_th</vt:lpstr>
      <vt:lpstr>Critical_tn</vt:lpstr>
      <vt:lpstr>df</vt:lpstr>
      <vt:lpstr>dfd</vt:lpstr>
      <vt:lpstr>dfh</vt:lpstr>
      <vt:lpstr>dfn</vt:lpstr>
      <vt:lpstr>K</vt:lpstr>
      <vt:lpstr>K_end</vt:lpstr>
      <vt:lpstr>K_start</vt:lpstr>
      <vt:lpstr>Kd</vt:lpstr>
      <vt:lpstr>Kh</vt:lpstr>
      <vt:lpstr>Kn</vt:lpstr>
      <vt:lpstr>M_end</vt:lpstr>
      <vt:lpstr>M_start</vt:lpstr>
      <vt:lpstr>Mean_of_y</vt:lpstr>
      <vt:lpstr>Mean_of_yd</vt:lpstr>
      <vt:lpstr>Mean_of_yh</vt:lpstr>
      <vt:lpstr>Mean_of_yn</vt:lpstr>
      <vt:lpstr>RSQ</vt:lpstr>
      <vt:lpstr>RSQd</vt:lpstr>
      <vt:lpstr>RSQh</vt:lpstr>
      <vt:lpstr>RSQn</vt:lpstr>
      <vt:lpstr>SE_of_y</vt:lpstr>
      <vt:lpstr>SE_of_yd</vt:lpstr>
      <vt:lpstr>SE_of_yh</vt:lpstr>
      <vt:lpstr>SE_of_yn</vt:lpstr>
      <vt:lpstr>t0</vt:lpstr>
      <vt:lpstr>t0d</vt:lpstr>
      <vt:lpstr>t0h</vt:lpstr>
      <vt:lpstr>t0n</vt:lpstr>
      <vt:lpstr>w</vt:lpstr>
      <vt:lpstr>wd</vt:lpstr>
      <vt:lpstr>wh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2020-04-04T20:39:32Z</dcterms:modified>
</cp:coreProperties>
</file>