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5158F54C-FF75-457C-B02A-46DE399FC9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Cumul_confirmed - Gompertz" sheetId="12" r:id="rId2"/>
    <sheet name="New_confirmed - Gompertz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Gompertz'!$AG$16</definedName>
    <definedName name="CId">'New_confirmed - Gompertz'!$AG$29</definedName>
    <definedName name="CIh">'Cumul_confirmed - Gompertz'!$AG$42</definedName>
    <definedName name="CIn">'New_confirmed - Gompertz'!$AG$16</definedName>
    <definedName name="CIr">'Cumul_confirmed - Gompertz'!$AG$29</definedName>
    <definedName name="CIt">'New_confirmed - Gompertz'!$AG$42</definedName>
    <definedName name="Critical_t">'Cumul_confirmed - Gompertz'!$AG$15</definedName>
    <definedName name="Critical_td">'New_confirmed - Gompertz'!$AG$28</definedName>
    <definedName name="Critical_th">'Cumul_confirmed - Gompertz'!$AG$41</definedName>
    <definedName name="Critical_tn">'New_confirmed - Gompertz'!$AG$15</definedName>
    <definedName name="Critical_tr">'Cumul_confirmed - Gompertz'!$AG$28</definedName>
    <definedName name="Critical_tt">'New_confirmed - Gompertz'!$AG$41</definedName>
    <definedName name="DatiEsterni_1" localSheetId="0" hidden="1">'dpc-covid19-ita-andamento-naz'!$A$1:$O$53</definedName>
    <definedName name="DatiEsterni_2" localSheetId="0" hidden="1">'dpc-covid19-ita-andamento-naz'!#REF!</definedName>
    <definedName name="df">'Cumul_confirmed - Gompertz'!$AG$12</definedName>
    <definedName name="dfd">'New_confirmed - Gompertz'!$AG$25</definedName>
    <definedName name="dfh">'Cumul_confirmed - Gompertz'!$AG$38</definedName>
    <definedName name="dfn">'New_confirmed - Gompertz'!$AG$12</definedName>
    <definedName name="dfr">'Cumul_confirmed - Gompertz'!$AG$25</definedName>
    <definedName name="dft">'New_confirmed - Gompertz'!$AG$38</definedName>
    <definedName name="dpc_covid19_ita_andamento_nazionale_1" localSheetId="1" hidden="1">'Cumul_confirmed - Gompertz'!#REF!</definedName>
    <definedName name="K">'Cumul_confirmed - Gompertz'!$AG$8</definedName>
    <definedName name="Kd">'New_confirmed - Gompertz'!$AG$21</definedName>
    <definedName name="Kf">'Cumul_confirmed - Gompertz'!$AF$46</definedName>
    <definedName name="Kh">'Cumul_confirmed - Gompertz'!$AG$34</definedName>
    <definedName name="Kl">'Cumul_confirmed - Gompertz'!$AF$21</definedName>
    <definedName name="Kn">'New_confirmed - Gompertz'!$AG$8</definedName>
    <definedName name="Kr">'Cumul_confirmed - Gompertz'!$AG$21</definedName>
    <definedName name="Kt">'New_confirmed - Gompertz'!$AG$34</definedName>
    <definedName name="Mean_of_y">'Cumul_confirmed - Gompertz'!$AG$11</definedName>
    <definedName name="Mean_of_yd">'New_confirmed - Gompertz'!$AG$24</definedName>
    <definedName name="Mean_of_yh">'Cumul_confirmed - Gompertz'!$AG$37</definedName>
    <definedName name="Mean_of_yn">'New_confirmed - Gompertz'!$AG$11</definedName>
    <definedName name="Mean_of_yr">'Cumul_confirmed - Gompertz'!$AG$24</definedName>
    <definedName name="Mean_of_yt">'New_confirmed - Gompertz'!$AG$37</definedName>
    <definedName name="p">'Cumul_confirmed - Gompertz'!$AG$19</definedName>
    <definedName name="pd">'New_confirmed - Gompertz'!$AG$32</definedName>
    <definedName name="Peak">'Cumul_confirmed - Gompertz'!$AG$17</definedName>
    <definedName name="Peak_d">'New_confirmed - Gompertz'!$AG$30</definedName>
    <definedName name="Peak_h">'Cumul_confirmed - Gompertz'!$AG$43</definedName>
    <definedName name="Peak_n">'New_confirmed - Gompertz'!$AG$17</definedName>
    <definedName name="Peak_r">'Cumul_confirmed - Gompertz'!$AG$30</definedName>
    <definedName name="Peak_t">'New_confirmed - Gompertz'!$AG$43</definedName>
    <definedName name="pf">'Cumul_confirmed - Gompertz'!$AF$57</definedName>
    <definedName name="ph">'Cumul_confirmed - Gompertz'!$AG$45</definedName>
    <definedName name="pl">'Cumul_confirmed - Gompertz'!$AF$33</definedName>
    <definedName name="pn">'New_confirmed - Gompertz'!$AG$19</definedName>
    <definedName name="pr">'Cumul_confirmed - Gompertz'!$AG$32</definedName>
    <definedName name="pt">'New_confirmed - Gompertz'!$AG$45</definedName>
    <definedName name="RSQ">'Cumul_confirmed - Gompertz'!$AG$14</definedName>
    <definedName name="RSQd">'New_confirmed - Gompertz'!$AG$27</definedName>
    <definedName name="RSQh">'Cumul_confirmed - Gompertz'!$AG$40</definedName>
    <definedName name="RSQn">'New_confirmed - Gompertz'!$AG$14</definedName>
    <definedName name="RSQr">'Cumul_confirmed - Gompertz'!$AG$27</definedName>
    <definedName name="RSQt">'New_confirmed - Gompertz'!$AG$40</definedName>
    <definedName name="SE_of_y">'Cumul_confirmed - Gompertz'!$AG$13</definedName>
    <definedName name="SE_of_yd">'New_confirmed - Gompertz'!$AG$26</definedName>
    <definedName name="SE_of_yh">'Cumul_confirmed - Gompertz'!$AG$39</definedName>
    <definedName name="SE_of_yn">'New_confirmed - Gompertz'!$AG$13</definedName>
    <definedName name="SE_of_yr">'Cumul_confirmed - Gompertz'!$AG$26</definedName>
    <definedName name="SE_of_yt">'New_confirmed - Gompertz'!$AG$39</definedName>
    <definedName name="solver_adj" localSheetId="1" hidden="1">'Cumul_confirmed - Gompertz'!$AG$22,'Cumul_confirmed - Gompertz'!$AG$23,'Cumul_confirmed - Gompertz'!$AG$32</definedName>
    <definedName name="solver_adj" localSheetId="2" hidden="1">'New_confirmed - Gompertz'!$AG$8,'New_confirmed - Gompertz'!$AG$9,'New_confirmed - Gompertz'!$AG$10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Gompertz'!$AG$32</definedName>
    <definedName name="solver_lhs1" localSheetId="2" hidden="1">'New_confirmed - Gompertz'!$AG$9</definedName>
    <definedName name="solver_lhs2" localSheetId="1" hidden="1">'Cumul_confirmed - Gompertz'!$AG$32</definedName>
    <definedName name="solver_lhs2" localSheetId="2" hidden="1">'New_confirmed - Gompertz'!$AG$9</definedName>
    <definedName name="solver_lhs3" localSheetId="1" hidden="1">'Cumul_confirmed - Gompertz'!$N$9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Gompertz'!$AG$27</definedName>
    <definedName name="solver_opt" localSheetId="2" hidden="1">'New_confirmed - Gompertz'!$AG$14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4</definedName>
    <definedName name="solver_rel2" localSheetId="1" hidden="1">3</definedName>
    <definedName name="solver_rel2" localSheetId="2" hidden="1">4</definedName>
    <definedName name="solver_rel3" localSheetId="1" hidden="1">4</definedName>
    <definedName name="solver_rhs1" localSheetId="1" hidden="1">0.999999</definedName>
    <definedName name="solver_rhs1" localSheetId="2" hidden="1">intero</definedName>
    <definedName name="solver_rhs2" localSheetId="1" hidden="1">0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">'Cumul_confirmed - Gompertz'!$AG$18</definedName>
    <definedName name="t_d">'New_confirmed - Gompertz'!$AG$31</definedName>
    <definedName name="t_h">'Cumul_confirmed - Gompertz'!$AG$44</definedName>
    <definedName name="t_n">'New_confirmed - Gompertz'!$AG$18</definedName>
    <definedName name="t_r">'Cumul_confirmed - Gompertz'!$AG$31</definedName>
    <definedName name="t_t">'New_confirmed - Gompertz'!$AG$44</definedName>
    <definedName name="t0">'Cumul_confirmed - Gompertz'!$AG$9</definedName>
    <definedName name="t0d">'New_confirmed - Gompertz'!$AG$22</definedName>
    <definedName name="t0f">'New_confirmed - Gompertz'!$AF$48</definedName>
    <definedName name="t0h">'Cumul_confirmed - Gompertz'!$AG$35</definedName>
    <definedName name="t0l">'Cumul_confirmed - Gompertz'!$AF$22</definedName>
    <definedName name="t0n">'New_confirmed - Gompertz'!$AG$9</definedName>
    <definedName name="t0r">'Cumul_confirmed - Gompertz'!$AG$22</definedName>
    <definedName name="t0t">'New_confirmed - Gompertz'!$AG$35</definedName>
    <definedName name="w">'Cumul_confirmed - Gompertz'!$AG$10</definedName>
    <definedName name="wd">'New_confirmed - Gompertz'!$AG$23</definedName>
    <definedName name="wf">'New_confirmed - Gompertz'!$AF$49</definedName>
    <definedName name="wh">'Cumul_confirmed - Gompertz'!$AG$36</definedName>
    <definedName name="wl">'Cumul_confirmed - Gompertz'!$AF$23</definedName>
    <definedName name="wn">'New_confirmed - Gompertz'!$AG$10</definedName>
    <definedName name="wr">'Cumul_confirmed - Gompertz'!$AG$23</definedName>
    <definedName name="wt">'New_confirmed - Gompertz'!$AG$36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3" i="19" l="1"/>
  <c r="C78" i="19"/>
  <c r="AG17" i="19"/>
  <c r="AT23" i="12"/>
  <c r="AT22" i="12"/>
  <c r="AT21" i="12"/>
  <c r="AT20" i="12"/>
  <c r="AT19" i="12"/>
  <c r="AT13" i="12"/>
  <c r="AT12" i="12"/>
  <c r="AT11" i="12"/>
  <c r="AT10" i="12"/>
  <c r="AT9" i="12"/>
  <c r="AT33" i="12"/>
  <c r="AT32" i="12"/>
  <c r="AT31" i="12"/>
  <c r="AT30" i="12"/>
  <c r="AT29" i="12"/>
  <c r="X56" i="19"/>
  <c r="X57" i="19"/>
  <c r="X58" i="19"/>
  <c r="X59" i="19"/>
  <c r="W56" i="19"/>
  <c r="W57" i="19"/>
  <c r="W58" i="19"/>
  <c r="W59" i="19"/>
  <c r="P55" i="19"/>
  <c r="P56" i="19"/>
  <c r="P57" i="19"/>
  <c r="P58" i="19"/>
  <c r="P59" i="19"/>
  <c r="O56" i="19"/>
  <c r="O57" i="19"/>
  <c r="O58" i="19"/>
  <c r="O59" i="19"/>
  <c r="M55" i="19"/>
  <c r="M56" i="19"/>
  <c r="M57" i="19"/>
  <c r="M58" i="19"/>
  <c r="M59" i="19"/>
  <c r="L55" i="19"/>
  <c r="L56" i="19"/>
  <c r="L57" i="19"/>
  <c r="L58" i="19"/>
  <c r="L59" i="19"/>
  <c r="E54" i="19"/>
  <c r="E55" i="19"/>
  <c r="E56" i="19"/>
  <c r="E57" i="19"/>
  <c r="E58" i="19"/>
  <c r="E59" i="19"/>
  <c r="D54" i="19"/>
  <c r="D55" i="19"/>
  <c r="D56" i="19"/>
  <c r="D57" i="19"/>
  <c r="D58" i="19"/>
  <c r="D59" i="19"/>
  <c r="X56" i="12"/>
  <c r="X57" i="12"/>
  <c r="X58" i="12"/>
  <c r="X59" i="12"/>
  <c r="W56" i="12"/>
  <c r="W57" i="12"/>
  <c r="W58" i="12"/>
  <c r="W59" i="12"/>
  <c r="P56" i="12"/>
  <c r="P57" i="12"/>
  <c r="P58" i="12"/>
  <c r="P59" i="12"/>
  <c r="O56" i="12"/>
  <c r="O57" i="12"/>
  <c r="O58" i="12"/>
  <c r="O59" i="12"/>
  <c r="M56" i="12"/>
  <c r="M57" i="12"/>
  <c r="M58" i="12"/>
  <c r="M59" i="12"/>
  <c r="L59" i="12"/>
  <c r="L56" i="12"/>
  <c r="L57" i="12"/>
  <c r="L58" i="12"/>
  <c r="E55" i="12"/>
  <c r="E56" i="12"/>
  <c r="E57" i="12"/>
  <c r="E58" i="12"/>
  <c r="E59" i="12"/>
  <c r="D55" i="12"/>
  <c r="D56" i="12"/>
  <c r="D57" i="12"/>
  <c r="D58" i="12"/>
  <c r="D59" i="12"/>
  <c r="Z8" i="12"/>
  <c r="AA8" i="12" s="1"/>
  <c r="Z9" i="12"/>
  <c r="AA9" i="12" s="1"/>
  <c r="Z10" i="12"/>
  <c r="AA10" i="12" s="1"/>
  <c r="Z11" i="12"/>
  <c r="AA11" i="12" s="1"/>
  <c r="Z12" i="12"/>
  <c r="AA12" i="12" s="1"/>
  <c r="Z13" i="12"/>
  <c r="AA13" i="12" s="1"/>
  <c r="Z14" i="12"/>
  <c r="AA14" i="12" s="1"/>
  <c r="Z15" i="12"/>
  <c r="AA15" i="12" s="1"/>
  <c r="Z16" i="12"/>
  <c r="AA16" i="12" s="1"/>
  <c r="Z17" i="12"/>
  <c r="AA17" i="12" s="1"/>
  <c r="Z18" i="12"/>
  <c r="AA18" i="12" s="1"/>
  <c r="Z19" i="12"/>
  <c r="AA19" i="12" s="1"/>
  <c r="Z20" i="12"/>
  <c r="AA20" i="12" s="1"/>
  <c r="Z21" i="12"/>
  <c r="AA21" i="12" s="1"/>
  <c r="Z22" i="12"/>
  <c r="AA22" i="12" s="1"/>
  <c r="Z23" i="12"/>
  <c r="AA23" i="12" s="1"/>
  <c r="Z24" i="12"/>
  <c r="AA24" i="12" s="1"/>
  <c r="Z25" i="12"/>
  <c r="AA25" i="12" s="1"/>
  <c r="Z26" i="12"/>
  <c r="AA26" i="12" s="1"/>
  <c r="Z27" i="12"/>
  <c r="AA27" i="12" s="1"/>
  <c r="Z28" i="12"/>
  <c r="AA28" i="12" s="1"/>
  <c r="Z29" i="12"/>
  <c r="AA29" i="12" s="1"/>
  <c r="Z30" i="12"/>
  <c r="AA30" i="12" s="1"/>
  <c r="Z31" i="12"/>
  <c r="AA31" i="12" s="1"/>
  <c r="Z32" i="12"/>
  <c r="AA32" i="12" s="1"/>
  <c r="Z33" i="12"/>
  <c r="AA33" i="12" s="1"/>
  <c r="Z34" i="12"/>
  <c r="AA34" i="12" s="1"/>
  <c r="Z35" i="12"/>
  <c r="AA35" i="12" s="1"/>
  <c r="Z36" i="12"/>
  <c r="AA36" i="12" s="1"/>
  <c r="Z37" i="12"/>
  <c r="AA37" i="12" s="1"/>
  <c r="Z38" i="12"/>
  <c r="AA38" i="12" s="1"/>
  <c r="Z39" i="12"/>
  <c r="AA39" i="12" s="1"/>
  <c r="Z40" i="12"/>
  <c r="AA40" i="12" s="1"/>
  <c r="Z41" i="12"/>
  <c r="AA41" i="12" s="1"/>
  <c r="Z42" i="12"/>
  <c r="AA42" i="12" s="1"/>
  <c r="Z43" i="12"/>
  <c r="AA43" i="12" s="1"/>
  <c r="Z44" i="12"/>
  <c r="AA44" i="12" s="1"/>
  <c r="Z45" i="12"/>
  <c r="AA45" i="12" s="1"/>
  <c r="Z46" i="12"/>
  <c r="AA46" i="12" s="1"/>
  <c r="Z47" i="12"/>
  <c r="AA47" i="12" s="1"/>
  <c r="Z48" i="12"/>
  <c r="AA48" i="12" s="1"/>
  <c r="Z49" i="12"/>
  <c r="AA49" i="12" s="1"/>
  <c r="Z50" i="12"/>
  <c r="AA50" i="12" s="1"/>
  <c r="Z51" i="12"/>
  <c r="AA51" i="12" s="1"/>
  <c r="Z52" i="12"/>
  <c r="AA52" i="12" s="1"/>
  <c r="Z53" i="12"/>
  <c r="AA53" i="12" s="1"/>
  <c r="Z54" i="12"/>
  <c r="AA54" i="12" s="1"/>
  <c r="Z55" i="12"/>
  <c r="AA55" i="12" s="1"/>
  <c r="Z56" i="12"/>
  <c r="Z57" i="12"/>
  <c r="Z58" i="12"/>
  <c r="Z59" i="12"/>
  <c r="Z60" i="12"/>
  <c r="AA60" i="12" s="1"/>
  <c r="Z61" i="12"/>
  <c r="AA61" i="12" s="1"/>
  <c r="Z62" i="12"/>
  <c r="AA62" i="12" s="1"/>
  <c r="Z63" i="12"/>
  <c r="AA63" i="12" s="1"/>
  <c r="Z64" i="12"/>
  <c r="AA64" i="12" s="1"/>
  <c r="Z65" i="12"/>
  <c r="AA65" i="12" s="1"/>
  <c r="Z66" i="12"/>
  <c r="AA66" i="12" s="1"/>
  <c r="Z67" i="12"/>
  <c r="AA67" i="12" s="1"/>
  <c r="Z68" i="12"/>
  <c r="AA68" i="12" s="1"/>
  <c r="Z69" i="12"/>
  <c r="AA69" i="12" s="1"/>
  <c r="Z70" i="12"/>
  <c r="AA70" i="12" s="1"/>
  <c r="Z71" i="12"/>
  <c r="AA71" i="12" s="1"/>
  <c r="Z72" i="12"/>
  <c r="AA72" i="12" s="1"/>
  <c r="Z73" i="12"/>
  <c r="AA73" i="12" s="1"/>
  <c r="Z74" i="12"/>
  <c r="AA74" i="12" s="1"/>
  <c r="Z75" i="12"/>
  <c r="AA75" i="12" s="1"/>
  <c r="Z76" i="12"/>
  <c r="AA76" i="12" s="1"/>
  <c r="Z77" i="12"/>
  <c r="AA77" i="12" s="1"/>
  <c r="Z78" i="12"/>
  <c r="AA78" i="12" s="1"/>
  <c r="G9" i="12" a="1"/>
  <c r="G9" i="12" s="1"/>
  <c r="H9" i="12" s="1"/>
  <c r="G10" i="12" a="1"/>
  <c r="G10" i="12" s="1"/>
  <c r="H10" i="12" s="1"/>
  <c r="G11" i="12" a="1"/>
  <c r="G11" i="12" s="1"/>
  <c r="H11" i="12" s="1"/>
  <c r="G12" i="12" a="1"/>
  <c r="G12" i="12" s="1"/>
  <c r="H12" i="12" s="1"/>
  <c r="G13" i="12" a="1"/>
  <c r="G13" i="12" s="1"/>
  <c r="H13" i="12" s="1"/>
  <c r="G14" i="12" a="1"/>
  <c r="G14" i="12" s="1"/>
  <c r="H14" i="12" s="1"/>
  <c r="G15" i="12" a="1"/>
  <c r="G15" i="12" s="1"/>
  <c r="H15" i="12" s="1"/>
  <c r="G16" i="12" a="1"/>
  <c r="G16" i="12" s="1"/>
  <c r="H16" i="12" s="1"/>
  <c r="G17" i="12" a="1"/>
  <c r="G17" i="12" s="1"/>
  <c r="H17" i="12" s="1"/>
  <c r="G18" i="12" a="1"/>
  <c r="G18" i="12" s="1"/>
  <c r="H18" i="12" s="1"/>
  <c r="G19" i="12" a="1"/>
  <c r="G19" i="12" s="1"/>
  <c r="H19" i="12" s="1"/>
  <c r="G20" i="12" a="1"/>
  <c r="G20" i="12" s="1"/>
  <c r="H20" i="12" s="1"/>
  <c r="G21" i="12" a="1"/>
  <c r="G21" i="12" s="1"/>
  <c r="H21" i="12" s="1"/>
  <c r="G22" i="12" a="1"/>
  <c r="G22" i="12" s="1"/>
  <c r="H22" i="12" s="1"/>
  <c r="G23" i="12" a="1"/>
  <c r="G23" i="12" s="1"/>
  <c r="H23" i="12" s="1"/>
  <c r="G24" i="12" a="1"/>
  <c r="G24" i="12" s="1"/>
  <c r="H24" i="12" s="1"/>
  <c r="G25" i="12" a="1"/>
  <c r="G25" i="12" s="1"/>
  <c r="H25" i="12" s="1"/>
  <c r="G26" i="12" a="1"/>
  <c r="G26" i="12" s="1"/>
  <c r="H26" i="12" s="1"/>
  <c r="G27" i="12" a="1"/>
  <c r="G27" i="12" s="1"/>
  <c r="H27" i="12" s="1"/>
  <c r="G28" i="12" a="1"/>
  <c r="G28" i="12" s="1"/>
  <c r="H28" i="12" s="1"/>
  <c r="G29" i="12" a="1"/>
  <c r="G29" i="12" s="1"/>
  <c r="H29" i="12" s="1"/>
  <c r="G30" i="12" a="1"/>
  <c r="G30" i="12" s="1"/>
  <c r="H30" i="12" s="1"/>
  <c r="G31" i="12" a="1"/>
  <c r="G31" i="12" s="1"/>
  <c r="H31" i="12" s="1"/>
  <c r="G32" i="12" a="1"/>
  <c r="G32" i="12" s="1"/>
  <c r="H32" i="12" s="1"/>
  <c r="G33" i="12" a="1"/>
  <c r="G33" i="12" s="1"/>
  <c r="H33" i="12" s="1"/>
  <c r="G34" i="12" a="1"/>
  <c r="G34" i="12" s="1"/>
  <c r="H34" i="12" s="1"/>
  <c r="G35" i="12" a="1"/>
  <c r="G35" i="12" s="1"/>
  <c r="H35" i="12" s="1"/>
  <c r="G36" i="12" a="1"/>
  <c r="G36" i="12" s="1"/>
  <c r="H36" i="12" s="1"/>
  <c r="G37" i="12" a="1"/>
  <c r="G37" i="12" s="1"/>
  <c r="H37" i="12" s="1"/>
  <c r="G38" i="12" a="1"/>
  <c r="G38" i="12" s="1"/>
  <c r="H38" i="12" s="1"/>
  <c r="G39" i="12" a="1"/>
  <c r="G39" i="12" s="1"/>
  <c r="H39" i="12" s="1"/>
  <c r="G40" i="12" a="1"/>
  <c r="G40" i="12" s="1"/>
  <c r="H40" i="12" s="1"/>
  <c r="G41" i="12" a="1"/>
  <c r="G41" i="12" s="1"/>
  <c r="H41" i="12" s="1"/>
  <c r="G42" i="12" a="1"/>
  <c r="G42" i="12" s="1"/>
  <c r="H42" i="12" s="1"/>
  <c r="G43" i="12" a="1"/>
  <c r="G43" i="12" s="1"/>
  <c r="H43" i="12" s="1"/>
  <c r="G44" i="12" a="1"/>
  <c r="G44" i="12" s="1"/>
  <c r="H44" i="12" s="1"/>
  <c r="G45" i="12" a="1"/>
  <c r="G45" i="12" s="1"/>
  <c r="H45" i="12" s="1"/>
  <c r="G46" i="12" a="1"/>
  <c r="G46" i="12" s="1"/>
  <c r="H46" i="12" s="1"/>
  <c r="G47" i="12" a="1"/>
  <c r="G47" i="12" s="1"/>
  <c r="H47" i="12" s="1"/>
  <c r="G48" i="12" a="1"/>
  <c r="G48" i="12" s="1"/>
  <c r="H48" i="12" s="1"/>
  <c r="G49" i="12" a="1"/>
  <c r="G49" i="12" s="1"/>
  <c r="H49" i="12" s="1"/>
  <c r="G50" i="12" a="1"/>
  <c r="G50" i="12" s="1"/>
  <c r="H50" i="12" s="1"/>
  <c r="G51" i="12" a="1"/>
  <c r="G51" i="12" s="1"/>
  <c r="H51" i="12" s="1"/>
  <c r="G52" i="12" a="1"/>
  <c r="G52" i="12" s="1"/>
  <c r="H52" i="12" s="1"/>
  <c r="G53" i="12" a="1"/>
  <c r="G53" i="12" s="1"/>
  <c r="H53" i="12" s="1"/>
  <c r="G54" i="12" a="1"/>
  <c r="G54" i="12" s="1"/>
  <c r="H54" i="12" s="1"/>
  <c r="G55" i="12" a="1"/>
  <c r="G55" i="12" s="1"/>
  <c r="G56" i="12" a="1"/>
  <c r="G56" i="12" s="1"/>
  <c r="G57" i="12" a="1"/>
  <c r="G57" i="12" s="1"/>
  <c r="H57" i="12" s="1"/>
  <c r="G58" i="12" a="1"/>
  <c r="G58" i="12" s="1"/>
  <c r="H58" i="12" s="1"/>
  <c r="G59" i="12" a="1"/>
  <c r="G59" i="12" s="1"/>
  <c r="H59" i="12" s="1"/>
  <c r="G60" i="12" a="1"/>
  <c r="G60" i="12" s="1"/>
  <c r="H60" i="12" s="1"/>
  <c r="G61" i="12" a="1"/>
  <c r="G61" i="12" s="1"/>
  <c r="H61" i="12" s="1"/>
  <c r="G62" i="12" a="1"/>
  <c r="G62" i="12" s="1"/>
  <c r="H62" i="12" s="1"/>
  <c r="G63" i="12" a="1"/>
  <c r="G63" i="12" s="1"/>
  <c r="H63" i="12" s="1"/>
  <c r="G64" i="12" a="1"/>
  <c r="G64" i="12" s="1"/>
  <c r="H64" i="12" s="1"/>
  <c r="G65" i="12" a="1"/>
  <c r="G65" i="12" s="1"/>
  <c r="H65" i="12" s="1"/>
  <c r="G66" i="12" a="1"/>
  <c r="G66" i="12" s="1"/>
  <c r="H66" i="12" s="1"/>
  <c r="G67" i="12" a="1"/>
  <c r="G67" i="12" s="1"/>
  <c r="H67" i="12" s="1"/>
  <c r="G68" i="12" a="1"/>
  <c r="G68" i="12" s="1"/>
  <c r="H68" i="12" s="1"/>
  <c r="G69" i="12" a="1"/>
  <c r="G69" i="12" s="1"/>
  <c r="H69" i="12" s="1"/>
  <c r="G70" i="12" a="1"/>
  <c r="G70" i="12" s="1"/>
  <c r="H70" i="12" s="1"/>
  <c r="G71" i="12" a="1"/>
  <c r="G71" i="12" s="1"/>
  <c r="H71" i="12" s="1"/>
  <c r="G72" i="12" a="1"/>
  <c r="G72" i="12" s="1"/>
  <c r="H72" i="12" s="1"/>
  <c r="G73" i="12" a="1"/>
  <c r="G73" i="12" s="1"/>
  <c r="H73" i="12" s="1"/>
  <c r="G74" i="12" a="1"/>
  <c r="G74" i="12" s="1"/>
  <c r="H74" i="12" s="1"/>
  <c r="G75" i="12" a="1"/>
  <c r="G75" i="12" s="1"/>
  <c r="H75" i="12" s="1"/>
  <c r="G76" i="12" a="1"/>
  <c r="G76" i="12" s="1"/>
  <c r="H76" i="12" s="1"/>
  <c r="G77" i="12" a="1"/>
  <c r="G77" i="12" s="1"/>
  <c r="H77" i="12" s="1"/>
  <c r="G78" i="12" a="1"/>
  <c r="G78" i="12" s="1"/>
  <c r="H78" i="12" s="1"/>
  <c r="AG45" i="19"/>
  <c r="AG32" i="19"/>
  <c r="AG19" i="19"/>
  <c r="G8" i="12" a="1"/>
  <c r="G8" i="12" s="1"/>
  <c r="H8" i="12" s="1"/>
  <c r="H56" i="12" l="1"/>
  <c r="H55" i="12"/>
  <c r="AA59" i="12"/>
  <c r="AA58" i="12"/>
  <c r="AA57" i="12"/>
  <c r="AA56" i="12"/>
  <c r="AG21" i="12" l="1"/>
  <c r="AG43" i="12"/>
  <c r="AG17" i="12"/>
  <c r="AG30" i="12" l="1"/>
  <c r="R20" i="12"/>
  <c r="S20" i="12" s="1"/>
  <c r="R32" i="12"/>
  <c r="S32" i="12" s="1"/>
  <c r="R44" i="12"/>
  <c r="S44" i="12" s="1"/>
  <c r="R56" i="12"/>
  <c r="R68" i="12"/>
  <c r="S68" i="12" s="1"/>
  <c r="R33" i="12"/>
  <c r="S33" i="12" s="1"/>
  <c r="R57" i="12"/>
  <c r="R37" i="12"/>
  <c r="S37" i="12" s="1"/>
  <c r="R38" i="12"/>
  <c r="S38" i="12" s="1"/>
  <c r="R53" i="12"/>
  <c r="S53" i="12" s="1"/>
  <c r="R9" i="12"/>
  <c r="S9" i="12" s="1"/>
  <c r="R21" i="12"/>
  <c r="S21" i="12" s="1"/>
  <c r="R45" i="12"/>
  <c r="S45" i="12" s="1"/>
  <c r="R69" i="12"/>
  <c r="S69" i="12" s="1"/>
  <c r="R13" i="12"/>
  <c r="S13" i="12" s="1"/>
  <c r="R10" i="12"/>
  <c r="S10" i="12" s="1"/>
  <c r="R22" i="12"/>
  <c r="S22" i="12" s="1"/>
  <c r="R34" i="12"/>
  <c r="S34" i="12" s="1"/>
  <c r="R46" i="12"/>
  <c r="S46" i="12" s="1"/>
  <c r="R58" i="12"/>
  <c r="R70" i="12"/>
  <c r="S70" i="12" s="1"/>
  <c r="R11" i="12"/>
  <c r="S11" i="12" s="1"/>
  <c r="R35" i="12"/>
  <c r="S35" i="12" s="1"/>
  <c r="R59" i="12"/>
  <c r="R73" i="12"/>
  <c r="S73" i="12" s="1"/>
  <c r="R50" i="12"/>
  <c r="S50" i="12" s="1"/>
  <c r="R65" i="12"/>
  <c r="S65" i="12" s="1"/>
  <c r="R23" i="12"/>
  <c r="S23" i="12" s="1"/>
  <c r="R47" i="12"/>
  <c r="S47" i="12" s="1"/>
  <c r="R71" i="12"/>
  <c r="S71" i="12" s="1"/>
  <c r="R49" i="12"/>
  <c r="S49" i="12" s="1"/>
  <c r="R62" i="12"/>
  <c r="S62" i="12" s="1"/>
  <c r="R41" i="12"/>
  <c r="S41" i="12" s="1"/>
  <c r="R12" i="12"/>
  <c r="S12" i="12" s="1"/>
  <c r="R24" i="12"/>
  <c r="S24" i="12" s="1"/>
  <c r="R36" i="12"/>
  <c r="S36" i="12" s="1"/>
  <c r="R48" i="12"/>
  <c r="S48" i="12" s="1"/>
  <c r="R60" i="12"/>
  <c r="S60" i="12" s="1"/>
  <c r="R72" i="12"/>
  <c r="S72" i="12" s="1"/>
  <c r="R25" i="12"/>
  <c r="S25" i="12" s="1"/>
  <c r="R26" i="12"/>
  <c r="S26" i="12" s="1"/>
  <c r="R61" i="12"/>
  <c r="S61" i="12" s="1"/>
  <c r="R75" i="12"/>
  <c r="S75" i="12" s="1"/>
  <c r="R14" i="12"/>
  <c r="S14" i="12" s="1"/>
  <c r="R74" i="12"/>
  <c r="S74" i="12" s="1"/>
  <c r="R77" i="12"/>
  <c r="S77" i="12" s="1"/>
  <c r="R15" i="12"/>
  <c r="S15" i="12" s="1"/>
  <c r="R27" i="12"/>
  <c r="S27" i="12" s="1"/>
  <c r="R39" i="12"/>
  <c r="S39" i="12" s="1"/>
  <c r="R51" i="12"/>
  <c r="S51" i="12" s="1"/>
  <c r="R63" i="12"/>
  <c r="S63" i="12" s="1"/>
  <c r="R16" i="12"/>
  <c r="S16" i="12" s="1"/>
  <c r="R28" i="12"/>
  <c r="S28" i="12" s="1"/>
  <c r="R40" i="12"/>
  <c r="S40" i="12" s="1"/>
  <c r="R52" i="12"/>
  <c r="S52" i="12" s="1"/>
  <c r="R64" i="12"/>
  <c r="S64" i="12" s="1"/>
  <c r="R76" i="12"/>
  <c r="S76" i="12" s="1"/>
  <c r="R18" i="12"/>
  <c r="S18" i="12" s="1"/>
  <c r="R30" i="12"/>
  <c r="S30" i="12" s="1"/>
  <c r="R42" i="12"/>
  <c r="S42" i="12" s="1"/>
  <c r="R54" i="12"/>
  <c r="S54" i="12" s="1"/>
  <c r="R66" i="12"/>
  <c r="S66" i="12" s="1"/>
  <c r="R78" i="12"/>
  <c r="S78" i="12" s="1"/>
  <c r="R29" i="12"/>
  <c r="S29" i="12" s="1"/>
  <c r="R19" i="12"/>
  <c r="S19" i="12" s="1"/>
  <c r="R31" i="12"/>
  <c r="S31" i="12" s="1"/>
  <c r="R43" i="12"/>
  <c r="S43" i="12" s="1"/>
  <c r="R55" i="12"/>
  <c r="S55" i="12" s="1"/>
  <c r="R67" i="12"/>
  <c r="S67" i="12" s="1"/>
  <c r="R8" i="12"/>
  <c r="S8" i="12" s="1"/>
  <c r="R17" i="12"/>
  <c r="S17" i="12" s="1"/>
  <c r="S58" i="12" l="1"/>
  <c r="S57" i="12"/>
  <c r="S56" i="12"/>
  <c r="S59" i="12"/>
  <c r="AG36" i="19"/>
  <c r="AG35" i="19"/>
  <c r="AG34" i="19"/>
  <c r="AG23" i="19"/>
  <c r="AG22" i="19"/>
  <c r="AG21" i="19"/>
  <c r="AG10" i="19"/>
  <c r="AG9" i="19"/>
  <c r="AG8" i="19"/>
  <c r="W55" i="19"/>
  <c r="O55" i="19"/>
  <c r="W55" i="12"/>
  <c r="O54" i="12"/>
  <c r="O55" i="12"/>
  <c r="L54" i="12"/>
  <c r="M54" i="12"/>
  <c r="L55" i="12"/>
  <c r="M55" i="12"/>
  <c r="E54" i="12"/>
  <c r="D54" i="12"/>
  <c r="AG30" i="19" l="1"/>
  <c r="G13" i="19"/>
  <c r="H13" i="19" s="1"/>
  <c r="G25" i="19"/>
  <c r="H25" i="19" s="1"/>
  <c r="G37" i="19"/>
  <c r="H37" i="19" s="1"/>
  <c r="G49" i="19"/>
  <c r="H49" i="19" s="1"/>
  <c r="G61" i="19"/>
  <c r="H61" i="19" s="1"/>
  <c r="G73" i="19"/>
  <c r="H73" i="19" s="1"/>
  <c r="G8" i="19"/>
  <c r="H8" i="19" s="1"/>
  <c r="G14" i="19"/>
  <c r="H14" i="19" s="1"/>
  <c r="G26" i="19"/>
  <c r="H26" i="19" s="1"/>
  <c r="G38" i="19"/>
  <c r="H38" i="19" s="1"/>
  <c r="G50" i="19"/>
  <c r="H50" i="19" s="1"/>
  <c r="G62" i="19"/>
  <c r="H62" i="19" s="1"/>
  <c r="G74" i="19"/>
  <c r="H74" i="19" s="1"/>
  <c r="G58" i="19"/>
  <c r="H58" i="19" s="1"/>
  <c r="G15" i="19"/>
  <c r="H15" i="19" s="1"/>
  <c r="G27" i="19"/>
  <c r="H27" i="19" s="1"/>
  <c r="G39" i="19"/>
  <c r="H39" i="19" s="1"/>
  <c r="G51" i="19"/>
  <c r="H51" i="19" s="1"/>
  <c r="G63" i="19"/>
  <c r="H63" i="19" s="1"/>
  <c r="G75" i="19"/>
  <c r="H75" i="19" s="1"/>
  <c r="G24" i="19"/>
  <c r="H24" i="19" s="1"/>
  <c r="G16" i="19"/>
  <c r="H16" i="19" s="1"/>
  <c r="G28" i="19"/>
  <c r="H28" i="19" s="1"/>
  <c r="G40" i="19"/>
  <c r="H40" i="19" s="1"/>
  <c r="G52" i="19"/>
  <c r="H52" i="19" s="1"/>
  <c r="G64" i="19"/>
  <c r="H64" i="19" s="1"/>
  <c r="G76" i="19"/>
  <c r="H76" i="19" s="1"/>
  <c r="G34" i="19"/>
  <c r="H34" i="19" s="1"/>
  <c r="G17" i="19"/>
  <c r="H17" i="19" s="1"/>
  <c r="G29" i="19"/>
  <c r="H29" i="19" s="1"/>
  <c r="G41" i="19"/>
  <c r="H41" i="19" s="1"/>
  <c r="G53" i="19"/>
  <c r="H53" i="19" s="1"/>
  <c r="G65" i="19"/>
  <c r="H65" i="19" s="1"/>
  <c r="G77" i="19"/>
  <c r="H77" i="19" s="1"/>
  <c r="G18" i="19"/>
  <c r="H18" i="19" s="1"/>
  <c r="G30" i="19"/>
  <c r="H30" i="19" s="1"/>
  <c r="G42" i="19"/>
  <c r="H42" i="19" s="1"/>
  <c r="G54" i="19"/>
  <c r="H54" i="19" s="1"/>
  <c r="G66" i="19"/>
  <c r="H66" i="19" s="1"/>
  <c r="G78" i="19"/>
  <c r="H78" i="19" s="1"/>
  <c r="G10" i="19"/>
  <c r="H10" i="19" s="1"/>
  <c r="G70" i="19"/>
  <c r="H70" i="19" s="1"/>
  <c r="G36" i="19"/>
  <c r="H36" i="19" s="1"/>
  <c r="G19" i="19"/>
  <c r="H19" i="19" s="1"/>
  <c r="G31" i="19"/>
  <c r="H31" i="19" s="1"/>
  <c r="G43" i="19"/>
  <c r="H43" i="19" s="1"/>
  <c r="G55" i="19"/>
  <c r="H55" i="19" s="1"/>
  <c r="G67" i="19"/>
  <c r="H67" i="19" s="1"/>
  <c r="G46" i="19"/>
  <c r="H46" i="19" s="1"/>
  <c r="G20" i="19"/>
  <c r="H20" i="19" s="1"/>
  <c r="G32" i="19"/>
  <c r="H32" i="19" s="1"/>
  <c r="G44" i="19"/>
  <c r="H44" i="19" s="1"/>
  <c r="G56" i="19"/>
  <c r="H56" i="19" s="1"/>
  <c r="G68" i="19"/>
  <c r="H68" i="19" s="1"/>
  <c r="G12" i="19"/>
  <c r="H12" i="19" s="1"/>
  <c r="G60" i="19"/>
  <c r="H60" i="19" s="1"/>
  <c r="G9" i="19"/>
  <c r="H9" i="19" s="1"/>
  <c r="G21" i="19"/>
  <c r="H21" i="19" s="1"/>
  <c r="G33" i="19"/>
  <c r="H33" i="19" s="1"/>
  <c r="G45" i="19"/>
  <c r="H45" i="19" s="1"/>
  <c r="G57" i="19"/>
  <c r="H57" i="19" s="1"/>
  <c r="G69" i="19"/>
  <c r="H69" i="19" s="1"/>
  <c r="G22" i="19"/>
  <c r="H22" i="19" s="1"/>
  <c r="G72" i="19"/>
  <c r="H72" i="19" s="1"/>
  <c r="G11" i="19"/>
  <c r="H11" i="19" s="1"/>
  <c r="G23" i="19"/>
  <c r="H23" i="19" s="1"/>
  <c r="G35" i="19"/>
  <c r="H35" i="19" s="1"/>
  <c r="G47" i="19"/>
  <c r="H47" i="19" s="1"/>
  <c r="G59" i="19"/>
  <c r="H59" i="19" s="1"/>
  <c r="G71" i="19"/>
  <c r="H71" i="19" s="1"/>
  <c r="G48" i="19"/>
  <c r="H48" i="19" s="1"/>
  <c r="R16" i="19"/>
  <c r="S16" i="19" s="1"/>
  <c r="R28" i="19"/>
  <c r="S28" i="19" s="1"/>
  <c r="R40" i="19"/>
  <c r="S40" i="19" s="1"/>
  <c r="R52" i="19"/>
  <c r="S52" i="19" s="1"/>
  <c r="R64" i="19"/>
  <c r="S64" i="19" s="1"/>
  <c r="R76" i="19"/>
  <c r="S76" i="19" s="1"/>
  <c r="R17" i="19"/>
  <c r="S17" i="19" s="1"/>
  <c r="R53" i="19"/>
  <c r="S53" i="19" s="1"/>
  <c r="R77" i="19"/>
  <c r="S77" i="19" s="1"/>
  <c r="R37" i="19"/>
  <c r="S37" i="19" s="1"/>
  <c r="R51" i="19"/>
  <c r="S51" i="19" s="1"/>
  <c r="R29" i="19"/>
  <c r="S29" i="19" s="1"/>
  <c r="R41" i="19"/>
  <c r="S41" i="19" s="1"/>
  <c r="R65" i="19"/>
  <c r="S65" i="19" s="1"/>
  <c r="R36" i="19"/>
  <c r="S36" i="19" s="1"/>
  <c r="R25" i="19"/>
  <c r="S25" i="19" s="1"/>
  <c r="R18" i="19"/>
  <c r="S18" i="19" s="1"/>
  <c r="R30" i="19"/>
  <c r="S30" i="19" s="1"/>
  <c r="R42" i="19"/>
  <c r="S42" i="19" s="1"/>
  <c r="R54" i="19"/>
  <c r="S54" i="19" s="1"/>
  <c r="R66" i="19"/>
  <c r="S66" i="19" s="1"/>
  <c r="R78" i="19"/>
  <c r="S78" i="19" s="1"/>
  <c r="R19" i="19"/>
  <c r="S19" i="19" s="1"/>
  <c r="R55" i="19"/>
  <c r="S55" i="19" s="1"/>
  <c r="R8" i="19"/>
  <c r="S8" i="19" s="1"/>
  <c r="R13" i="19"/>
  <c r="S13" i="19" s="1"/>
  <c r="R75" i="19"/>
  <c r="S75" i="19" s="1"/>
  <c r="R31" i="19"/>
  <c r="S31" i="19" s="1"/>
  <c r="R43" i="19"/>
  <c r="S43" i="19" s="1"/>
  <c r="R67" i="19"/>
  <c r="S67" i="19" s="1"/>
  <c r="R60" i="19"/>
  <c r="S60" i="19" s="1"/>
  <c r="R73" i="19"/>
  <c r="S73" i="19" s="1"/>
  <c r="R27" i="19"/>
  <c r="S27" i="19" s="1"/>
  <c r="R20" i="19"/>
  <c r="S20" i="19" s="1"/>
  <c r="R32" i="19"/>
  <c r="S32" i="19" s="1"/>
  <c r="R44" i="19"/>
  <c r="S44" i="19" s="1"/>
  <c r="R56" i="19"/>
  <c r="S56" i="19" s="1"/>
  <c r="R68" i="19"/>
  <c r="S68" i="19" s="1"/>
  <c r="R46" i="19"/>
  <c r="S46" i="19" s="1"/>
  <c r="R72" i="19"/>
  <c r="S72" i="19" s="1"/>
  <c r="R39" i="19"/>
  <c r="S39" i="19" s="1"/>
  <c r="R9" i="19"/>
  <c r="S9" i="19" s="1"/>
  <c r="R21" i="19"/>
  <c r="S21" i="19" s="1"/>
  <c r="R33" i="19"/>
  <c r="S33" i="19" s="1"/>
  <c r="R45" i="19"/>
  <c r="S45" i="19" s="1"/>
  <c r="R57" i="19"/>
  <c r="S57" i="19" s="1"/>
  <c r="R69" i="19"/>
  <c r="S69" i="19" s="1"/>
  <c r="R10" i="19"/>
  <c r="S10" i="19" s="1"/>
  <c r="R34" i="19"/>
  <c r="S34" i="19" s="1"/>
  <c r="R70" i="19"/>
  <c r="S70" i="19" s="1"/>
  <c r="R48" i="19"/>
  <c r="S48" i="19" s="1"/>
  <c r="R49" i="19"/>
  <c r="S49" i="19" s="1"/>
  <c r="R22" i="19"/>
  <c r="S22" i="19" s="1"/>
  <c r="R58" i="19"/>
  <c r="S58" i="19" s="1"/>
  <c r="R61" i="19"/>
  <c r="S61" i="19" s="1"/>
  <c r="R63" i="19"/>
  <c r="S63" i="19" s="1"/>
  <c r="R11" i="19"/>
  <c r="S11" i="19" s="1"/>
  <c r="R23" i="19"/>
  <c r="S23" i="19" s="1"/>
  <c r="R35" i="19"/>
  <c r="S35" i="19" s="1"/>
  <c r="R47" i="19"/>
  <c r="S47" i="19" s="1"/>
  <c r="R59" i="19"/>
  <c r="S59" i="19" s="1"/>
  <c r="R71" i="19"/>
  <c r="S71" i="19" s="1"/>
  <c r="R24" i="19"/>
  <c r="S24" i="19" s="1"/>
  <c r="R12" i="19"/>
  <c r="S12" i="19" s="1"/>
  <c r="R14" i="19"/>
  <c r="S14" i="19" s="1"/>
  <c r="R26" i="19"/>
  <c r="S26" i="19" s="1"/>
  <c r="R38" i="19"/>
  <c r="S38" i="19" s="1"/>
  <c r="R50" i="19"/>
  <c r="S50" i="19" s="1"/>
  <c r="R62" i="19"/>
  <c r="S62" i="19" s="1"/>
  <c r="R74" i="19"/>
  <c r="S74" i="19" s="1"/>
  <c r="R15" i="19"/>
  <c r="S15" i="19" s="1"/>
  <c r="Z14" i="19"/>
  <c r="AA14" i="19" s="1"/>
  <c r="Z26" i="19"/>
  <c r="AA26" i="19" s="1"/>
  <c r="Z38" i="19"/>
  <c r="AA38" i="19" s="1"/>
  <c r="Z50" i="19"/>
  <c r="AA50" i="19" s="1"/>
  <c r="Z62" i="19"/>
  <c r="AA62" i="19" s="1"/>
  <c r="Z74" i="19"/>
  <c r="AA74" i="19" s="1"/>
  <c r="Z70" i="19"/>
  <c r="AA70" i="19" s="1"/>
  <c r="Z47" i="19"/>
  <c r="AA47" i="19" s="1"/>
  <c r="Z15" i="19"/>
  <c r="AA15" i="19" s="1"/>
  <c r="Z27" i="19"/>
  <c r="AA27" i="19" s="1"/>
  <c r="Z39" i="19"/>
  <c r="AA39" i="19" s="1"/>
  <c r="Z51" i="19"/>
  <c r="AA51" i="19" s="1"/>
  <c r="Z63" i="19"/>
  <c r="AA63" i="19" s="1"/>
  <c r="Z75" i="19"/>
  <c r="AA75" i="19" s="1"/>
  <c r="Z16" i="19"/>
  <c r="AA16" i="19" s="1"/>
  <c r="Z28" i="19"/>
  <c r="AA28" i="19" s="1"/>
  <c r="Z40" i="19"/>
  <c r="AA40" i="19" s="1"/>
  <c r="Z52" i="19"/>
  <c r="AA52" i="19" s="1"/>
  <c r="Z64" i="19"/>
  <c r="AA64" i="19" s="1"/>
  <c r="Z76" i="19"/>
  <c r="AA76" i="19" s="1"/>
  <c r="Z49" i="19"/>
  <c r="AA49" i="19" s="1"/>
  <c r="Z17" i="19"/>
  <c r="AA17" i="19" s="1"/>
  <c r="Z29" i="19"/>
  <c r="AA29" i="19" s="1"/>
  <c r="Z41" i="19"/>
  <c r="AA41" i="19" s="1"/>
  <c r="Z53" i="19"/>
  <c r="AA53" i="19" s="1"/>
  <c r="Z65" i="19"/>
  <c r="AA65" i="19" s="1"/>
  <c r="Z77" i="19"/>
  <c r="AA77" i="19" s="1"/>
  <c r="Z11" i="19"/>
  <c r="AA11" i="19" s="1"/>
  <c r="Z37" i="19"/>
  <c r="AA37" i="19" s="1"/>
  <c r="Z18" i="19"/>
  <c r="AA18" i="19" s="1"/>
  <c r="Z30" i="19"/>
  <c r="AA30" i="19" s="1"/>
  <c r="Z42" i="19"/>
  <c r="AA42" i="19" s="1"/>
  <c r="Z54" i="19"/>
  <c r="AA54" i="19" s="1"/>
  <c r="Z66" i="19"/>
  <c r="AA66" i="19" s="1"/>
  <c r="Z78" i="19"/>
  <c r="AA78" i="19" s="1"/>
  <c r="Z71" i="19"/>
  <c r="AA71" i="19" s="1"/>
  <c r="Z25" i="19"/>
  <c r="AA25" i="19" s="1"/>
  <c r="Z19" i="19"/>
  <c r="AA19" i="19" s="1"/>
  <c r="Z31" i="19"/>
  <c r="AA31" i="19" s="1"/>
  <c r="Z43" i="19"/>
  <c r="AA43" i="19" s="1"/>
  <c r="Z55" i="19"/>
  <c r="AA55" i="19" s="1"/>
  <c r="Z67" i="19"/>
  <c r="AA67" i="19" s="1"/>
  <c r="Z8" i="19"/>
  <c r="AA8" i="19" s="1"/>
  <c r="Z68" i="19"/>
  <c r="AA68" i="19" s="1"/>
  <c r="Z35" i="19"/>
  <c r="AA35" i="19" s="1"/>
  <c r="Z13" i="19"/>
  <c r="AA13" i="19" s="1"/>
  <c r="Z20" i="19"/>
  <c r="AA20" i="19" s="1"/>
  <c r="Z32" i="19"/>
  <c r="AA32" i="19" s="1"/>
  <c r="Z44" i="19"/>
  <c r="AA44" i="19" s="1"/>
  <c r="Z56" i="19"/>
  <c r="AA56" i="19" s="1"/>
  <c r="Z9" i="19"/>
  <c r="AA9" i="19" s="1"/>
  <c r="Z21" i="19"/>
  <c r="AA21" i="19" s="1"/>
  <c r="Z33" i="19"/>
  <c r="AA33" i="19" s="1"/>
  <c r="Z45" i="19"/>
  <c r="AA45" i="19" s="1"/>
  <c r="Z57" i="19"/>
  <c r="AA57" i="19" s="1"/>
  <c r="Z69" i="19"/>
  <c r="AA69" i="19" s="1"/>
  <c r="Z23" i="19"/>
  <c r="AA23" i="19" s="1"/>
  <c r="Z10" i="19"/>
  <c r="AA10" i="19" s="1"/>
  <c r="Z22" i="19"/>
  <c r="AA22" i="19" s="1"/>
  <c r="Z34" i="19"/>
  <c r="AA34" i="19" s="1"/>
  <c r="Z46" i="19"/>
  <c r="AA46" i="19" s="1"/>
  <c r="Z58" i="19"/>
  <c r="AA58" i="19" s="1"/>
  <c r="Z59" i="19"/>
  <c r="AA59" i="19" s="1"/>
  <c r="Z73" i="19"/>
  <c r="AA73" i="19" s="1"/>
  <c r="Z12" i="19"/>
  <c r="AA12" i="19" s="1"/>
  <c r="Z24" i="19"/>
  <c r="AA24" i="19" s="1"/>
  <c r="Z36" i="19"/>
  <c r="AA36" i="19" s="1"/>
  <c r="Z48" i="19"/>
  <c r="AA48" i="19" s="1"/>
  <c r="Z60" i="19"/>
  <c r="AA60" i="19" s="1"/>
  <c r="Z72" i="19"/>
  <c r="AA72" i="19" s="1"/>
  <c r="Z61" i="19"/>
  <c r="AA61" i="19" s="1"/>
  <c r="P55" i="12"/>
  <c r="W53" i="12"/>
  <c r="W54" i="12"/>
  <c r="X54" i="12" s="1"/>
  <c r="L53" i="12"/>
  <c r="D53" i="12"/>
  <c r="E53" i="12"/>
  <c r="X55" i="12" l="1"/>
  <c r="W53" i="19"/>
  <c r="W54" i="19"/>
  <c r="X55" i="19" s="1"/>
  <c r="O53" i="19"/>
  <c r="O54" i="19"/>
  <c r="M53" i="19"/>
  <c r="M54" i="19"/>
  <c r="L53" i="19"/>
  <c r="L54" i="19"/>
  <c r="E53" i="19"/>
  <c r="D53" i="19"/>
  <c r="P54" i="19" l="1"/>
  <c r="X54" i="19"/>
  <c r="O53" i="12"/>
  <c r="P54" i="12" s="1"/>
  <c r="L52" i="12"/>
  <c r="M52" i="12"/>
  <c r="M53" i="12"/>
  <c r="D52" i="12"/>
  <c r="E52" i="12"/>
  <c r="W52" i="19"/>
  <c r="X53" i="19" s="1"/>
  <c r="O52" i="19"/>
  <c r="P53" i="19" s="1"/>
  <c r="L52" i="19"/>
  <c r="M52" i="19"/>
  <c r="E52" i="19"/>
  <c r="D52" i="19"/>
  <c r="AT11" i="19" l="1"/>
  <c r="AT10" i="19"/>
  <c r="AT9" i="19"/>
  <c r="AT21" i="19"/>
  <c r="AT20" i="19"/>
  <c r="AT19" i="19"/>
  <c r="AT31" i="19"/>
  <c r="AT30" i="19"/>
  <c r="AT29" i="19"/>
  <c r="W51" i="12"/>
  <c r="W52" i="12"/>
  <c r="X53" i="12" s="1"/>
  <c r="O51" i="12"/>
  <c r="O52" i="12"/>
  <c r="P53" i="12" s="1"/>
  <c r="M51" i="12"/>
  <c r="L51" i="12"/>
  <c r="E51" i="12"/>
  <c r="D51" i="12"/>
  <c r="W50" i="19"/>
  <c r="W51" i="19"/>
  <c r="X52" i="19" s="1"/>
  <c r="O51" i="19"/>
  <c r="M51" i="19"/>
  <c r="L51" i="19"/>
  <c r="E51" i="19"/>
  <c r="D51" i="19"/>
  <c r="X51" i="19" l="1"/>
  <c r="X52" i="12"/>
  <c r="Q53" i="19"/>
  <c r="P52" i="12"/>
  <c r="P52" i="19"/>
  <c r="Q52" i="19" s="1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W31" i="12"/>
  <c r="Y31" i="12" s="1"/>
  <c r="O31" i="12"/>
  <c r="M31" i="12"/>
  <c r="L31" i="12"/>
  <c r="E31" i="12"/>
  <c r="D31" i="12"/>
  <c r="F31" i="12" s="1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W23" i="12"/>
  <c r="O23" i="12"/>
  <c r="M23" i="12"/>
  <c r="L23" i="12"/>
  <c r="E23" i="12"/>
  <c r="D23" i="12"/>
  <c r="F23" i="12" s="1"/>
  <c r="W22" i="12"/>
  <c r="O22" i="12"/>
  <c r="M22" i="12"/>
  <c r="L22" i="12"/>
  <c r="E22" i="12"/>
  <c r="D22" i="12"/>
  <c r="F22" i="12" s="1"/>
  <c r="W21" i="12"/>
  <c r="Y21" i="12" s="1"/>
  <c r="O21" i="12"/>
  <c r="Q21" i="12" s="1"/>
  <c r="M21" i="12"/>
  <c r="L21" i="12"/>
  <c r="E21" i="12"/>
  <c r="D21" i="12"/>
  <c r="F21" i="12" s="1"/>
  <c r="W20" i="12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W13" i="12"/>
  <c r="O13" i="12"/>
  <c r="M13" i="12"/>
  <c r="L13" i="12"/>
  <c r="E13" i="12"/>
  <c r="D13" i="12"/>
  <c r="W12" i="12"/>
  <c r="Y12" i="12" s="1"/>
  <c r="O12" i="12"/>
  <c r="Q12" i="12" s="1"/>
  <c r="M12" i="12"/>
  <c r="L12" i="12"/>
  <c r="E12" i="12"/>
  <c r="D12" i="12"/>
  <c r="W11" i="12"/>
  <c r="O11" i="12"/>
  <c r="Q11" i="12" s="1"/>
  <c r="M11" i="12"/>
  <c r="L11" i="12"/>
  <c r="E11" i="12"/>
  <c r="D11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O8" i="12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Y8" i="12" l="1"/>
  <c r="AG38" i="12"/>
  <c r="AG41" i="12" s="1"/>
  <c r="Q8" i="12"/>
  <c r="AG25" i="12"/>
  <c r="AG28" i="12" s="1"/>
  <c r="AG12" i="12"/>
  <c r="AG15" i="12" s="1"/>
  <c r="AG11" i="12"/>
  <c r="X27" i="12"/>
  <c r="P40" i="12"/>
  <c r="X12" i="12"/>
  <c r="P14" i="12"/>
  <c r="X20" i="12"/>
  <c r="AB8" i="12"/>
  <c r="AB9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I8" i="12"/>
  <c r="T9" i="12"/>
  <c r="T8" i="12"/>
  <c r="P35" i="12"/>
  <c r="P11" i="12"/>
  <c r="P39" i="12"/>
  <c r="F26" i="12"/>
  <c r="Q34" i="12"/>
  <c r="P46" i="12"/>
  <c r="F24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4" i="12"/>
  <c r="Q22" i="12"/>
  <c r="Q10" i="12"/>
  <c r="P31" i="12"/>
  <c r="X34" i="12"/>
  <c r="X47" i="12"/>
  <c r="P49" i="12"/>
  <c r="F12" i="12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7" i="12"/>
  <c r="X21" i="12"/>
  <c r="Q18" i="12"/>
  <c r="Y20" i="12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I9" i="12" l="1"/>
  <c r="N8" i="12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N10" i="12" l="1"/>
  <c r="T10" i="12"/>
  <c r="I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N11" i="12" l="1"/>
  <c r="N106" i="12" s="1"/>
  <c r="T11" i="12"/>
  <c r="I11" i="12"/>
  <c r="C13" i="12"/>
  <c r="N105" i="12" a="1"/>
  <c r="N105" i="12" s="1"/>
  <c r="N104" i="12" a="1"/>
  <c r="N104" i="12" s="1"/>
  <c r="N12" i="12" l="1"/>
  <c r="T12" i="12"/>
  <c r="I12" i="12"/>
  <c r="AB12" i="12"/>
  <c r="C14" i="12"/>
  <c r="T13" i="12" l="1"/>
  <c r="N13" i="12"/>
  <c r="AB99" i="12" s="1"/>
  <c r="I13" i="12"/>
  <c r="AB13" i="12"/>
  <c r="C15" i="12"/>
  <c r="N14" i="12" l="1"/>
  <c r="T14" i="12"/>
  <c r="I14" i="12"/>
  <c r="AB14" i="12"/>
  <c r="C16" i="12"/>
  <c r="N15" i="12" l="1"/>
  <c r="T15" i="12"/>
  <c r="I15" i="12"/>
  <c r="AB15" i="12"/>
  <c r="C17" i="12"/>
  <c r="N16" i="12" l="1"/>
  <c r="T16" i="12"/>
  <c r="I16" i="12"/>
  <c r="AB16" i="12"/>
  <c r="C18" i="12"/>
  <c r="T17" i="12" l="1"/>
  <c r="I17" i="12"/>
  <c r="AB17" i="12"/>
  <c r="C19" i="12"/>
  <c r="N17" i="12" l="1"/>
  <c r="N18" i="12"/>
  <c r="T18" i="12"/>
  <c r="I18" i="12"/>
  <c r="AB18" i="12"/>
  <c r="C20" i="12"/>
  <c r="N19" i="12" l="1"/>
  <c r="T19" i="12"/>
  <c r="I19" i="12"/>
  <c r="AB19" i="12"/>
  <c r="C21" i="12"/>
  <c r="N20" i="12" l="1"/>
  <c r="I148" i="12" s="1"/>
  <c r="T20" i="12"/>
  <c r="I20" i="12"/>
  <c r="AB20" i="12"/>
  <c r="I160" i="12"/>
  <c r="I154" i="12"/>
  <c r="I131" i="12"/>
  <c r="I115" i="12"/>
  <c r="I111" i="12"/>
  <c r="I120" i="12"/>
  <c r="I110" i="12"/>
  <c r="C22" i="12"/>
  <c r="N21" i="12" l="1"/>
  <c r="T21" i="12"/>
  <c r="I21" i="12"/>
  <c r="AB21" i="12"/>
  <c r="I142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T22" i="12" l="1"/>
  <c r="N22" i="12"/>
  <c r="N117" i="12" s="1"/>
  <c r="I22" i="12"/>
  <c r="AB22" i="12"/>
  <c r="C24" i="12"/>
  <c r="N116" i="12" a="1"/>
  <c r="N116" i="12" s="1"/>
  <c r="N115" i="12" a="1"/>
  <c r="N115" i="12" s="1"/>
  <c r="N23" i="12" l="1"/>
  <c r="T23" i="12"/>
  <c r="I23" i="12"/>
  <c r="AB23" i="12"/>
  <c r="C25" i="12"/>
  <c r="N24" i="12" l="1"/>
  <c r="AB109" i="12" s="1"/>
  <c r="T24" i="12"/>
  <c r="I24" i="12"/>
  <c r="AB24" i="12"/>
  <c r="C26" i="12"/>
  <c r="T25" i="12" l="1"/>
  <c r="I25" i="12"/>
  <c r="AB25" i="12"/>
  <c r="C27" i="12"/>
  <c r="N25" i="12" l="1"/>
  <c r="T26" i="12"/>
  <c r="I26" i="12"/>
  <c r="AB26" i="12"/>
  <c r="C28" i="12"/>
  <c r="N26" i="12" l="1"/>
  <c r="N27" i="12"/>
  <c r="T27" i="12"/>
  <c r="I27" i="12"/>
  <c r="AB27" i="12"/>
  <c r="C29" i="12"/>
  <c r="N28" i="12" l="1"/>
  <c r="T28" i="12"/>
  <c r="I28" i="12"/>
  <c r="AB28" i="12"/>
  <c r="C30" i="12"/>
  <c r="N29" i="12" l="1"/>
  <c r="T29" i="12"/>
  <c r="I29" i="12"/>
  <c r="AB29" i="12"/>
  <c r="C31" i="12"/>
  <c r="N30" i="12" l="1"/>
  <c r="T30" i="12"/>
  <c r="I30" i="12"/>
  <c r="AB30" i="12"/>
  <c r="C32" i="12"/>
  <c r="I31" i="12" l="1"/>
  <c r="N31" i="12"/>
  <c r="T31" i="12"/>
  <c r="AB31" i="12"/>
  <c r="C33" i="12"/>
  <c r="N32" i="12" l="1"/>
  <c r="T32" i="12"/>
  <c r="I32" i="12"/>
  <c r="AB32" i="12"/>
  <c r="C34" i="12"/>
  <c r="N33" i="12" l="1"/>
  <c r="T33" i="12"/>
  <c r="I33" i="12"/>
  <c r="AB33" i="12"/>
  <c r="C35" i="12"/>
  <c r="N34" i="12" l="1"/>
  <c r="T34" i="12"/>
  <c r="I34" i="12"/>
  <c r="AB34" i="12"/>
  <c r="C36" i="12"/>
  <c r="T35" i="12" l="1"/>
  <c r="N35" i="12"/>
  <c r="I35" i="12"/>
  <c r="AB35" i="12"/>
  <c r="C37" i="12"/>
  <c r="N36" i="12" l="1"/>
  <c r="T36" i="12"/>
  <c r="I36" i="12"/>
  <c r="AB36" i="12"/>
  <c r="C38" i="12"/>
  <c r="N37" i="12" l="1"/>
  <c r="T37" i="12"/>
  <c r="I37" i="12"/>
  <c r="AB37" i="12"/>
  <c r="C39" i="12"/>
  <c r="T38" i="12" l="1"/>
  <c r="I38" i="12"/>
  <c r="AB38" i="12"/>
  <c r="C40" i="12"/>
  <c r="N38" i="12" l="1"/>
  <c r="N39" i="12"/>
  <c r="T39" i="12"/>
  <c r="I39" i="12"/>
  <c r="AB39" i="12"/>
  <c r="C41" i="12"/>
  <c r="N40" i="12" l="1"/>
  <c r="T40" i="12"/>
  <c r="I40" i="12"/>
  <c r="AB40" i="12"/>
  <c r="C42" i="12"/>
  <c r="N41" i="12" l="1"/>
  <c r="T41" i="12"/>
  <c r="I41" i="12"/>
  <c r="AB41" i="12"/>
  <c r="C43" i="12"/>
  <c r="N42" i="12" l="1"/>
  <c r="T42" i="12"/>
  <c r="I42" i="12"/>
  <c r="AB42" i="12"/>
  <c r="C44" i="12"/>
  <c r="T43" i="12" l="1"/>
  <c r="N43" i="12"/>
  <c r="I43" i="12"/>
  <c r="AB43" i="12"/>
  <c r="C45" i="12"/>
  <c r="T44" i="12" l="1"/>
  <c r="N44" i="12"/>
  <c r="I44" i="12"/>
  <c r="AB44" i="12"/>
  <c r="C46" i="12"/>
  <c r="T45" i="12" l="1"/>
  <c r="I45" i="12"/>
  <c r="AB45" i="12"/>
  <c r="C47" i="12"/>
  <c r="N45" i="12" l="1"/>
  <c r="N46" i="12"/>
  <c r="T46" i="12"/>
  <c r="I46" i="12"/>
  <c r="AB46" i="12"/>
  <c r="C48" i="12"/>
  <c r="N47" i="12" l="1"/>
  <c r="T47" i="12"/>
  <c r="I47" i="12"/>
  <c r="AB47" i="12"/>
  <c r="C49" i="12"/>
  <c r="N48" i="12" l="1"/>
  <c r="T48" i="12"/>
  <c r="I48" i="12"/>
  <c r="AB48" i="12"/>
  <c r="C50" i="12"/>
  <c r="N49" i="12" l="1"/>
  <c r="T49" i="12"/>
  <c r="I49" i="12"/>
  <c r="AB49" i="12"/>
  <c r="C51" i="12"/>
  <c r="T50" i="12" l="1"/>
  <c r="I50" i="12"/>
  <c r="AB50" i="12"/>
  <c r="C52" i="12"/>
  <c r="N50" i="12"/>
  <c r="T51" i="12" l="1"/>
  <c r="N51" i="12"/>
  <c r="I51" i="12"/>
  <c r="AB51" i="12"/>
  <c r="C53" i="12"/>
  <c r="N52" i="12" l="1"/>
  <c r="T52" i="12"/>
  <c r="I52" i="12"/>
  <c r="AB52" i="12"/>
  <c r="C54" i="12"/>
  <c r="T53" i="12" l="1"/>
  <c r="N53" i="12"/>
  <c r="I53" i="12"/>
  <c r="AB53" i="12"/>
  <c r="AB54" i="12"/>
  <c r="C55" i="12"/>
  <c r="N54" i="12" l="1"/>
  <c r="T54" i="12"/>
  <c r="I54" i="12"/>
  <c r="C56" i="12"/>
  <c r="AB55" i="12"/>
  <c r="T55" i="12" l="1"/>
  <c r="I55" i="12"/>
  <c r="C57" i="12"/>
  <c r="AB56" i="12"/>
  <c r="N55" i="12" l="1"/>
  <c r="N56" i="12"/>
  <c r="T56" i="12"/>
  <c r="I56" i="12"/>
  <c r="C58" i="12"/>
  <c r="AB57" i="12"/>
  <c r="N57" i="12" l="1"/>
  <c r="T57" i="12"/>
  <c r="I57" i="12"/>
  <c r="C59" i="12"/>
  <c r="AB58" i="12" l="1"/>
  <c r="I58" i="12"/>
  <c r="N58" i="12"/>
  <c r="T58" i="12"/>
  <c r="C60" i="12"/>
  <c r="AB59" i="12" l="1"/>
  <c r="N59" i="12"/>
  <c r="T59" i="12"/>
  <c r="I59" i="12"/>
  <c r="C61" i="12"/>
  <c r="AB60" i="12" l="1"/>
  <c r="T60" i="12"/>
  <c r="I60" i="12"/>
  <c r="C62" i="12"/>
  <c r="AB61" i="12"/>
  <c r="N60" i="12" l="1"/>
  <c r="N61" i="12"/>
  <c r="T61" i="12"/>
  <c r="I61" i="12"/>
  <c r="C63" i="12"/>
  <c r="AB62" i="12"/>
  <c r="T62" i="12" l="1"/>
  <c r="I62" i="12"/>
  <c r="C64" i="12"/>
  <c r="AB63" i="12"/>
  <c r="N62" i="12" l="1"/>
  <c r="N63" i="12"/>
  <c r="T63" i="12"/>
  <c r="I63" i="12"/>
  <c r="C65" i="12"/>
  <c r="AB64" i="12"/>
  <c r="N64" i="12" l="1"/>
  <c r="T64" i="12"/>
  <c r="I64" i="12"/>
  <c r="C66" i="12"/>
  <c r="AB65" i="12" l="1"/>
  <c r="T65" i="12"/>
  <c r="N65" i="12"/>
  <c r="I65" i="12"/>
  <c r="C67" i="12"/>
  <c r="I66" i="12" l="1"/>
  <c r="AB66" i="12"/>
  <c r="N66" i="12"/>
  <c r="T66" i="12"/>
  <c r="C68" i="12"/>
  <c r="AB67" i="12"/>
  <c r="N67" i="12" l="1"/>
  <c r="T67" i="12"/>
  <c r="I67" i="12"/>
  <c r="C69" i="12"/>
  <c r="AB68" i="12"/>
  <c r="N68" i="12" l="1"/>
  <c r="T68" i="12"/>
  <c r="I68" i="12"/>
  <c r="C70" i="12"/>
  <c r="N69" i="12" l="1"/>
  <c r="T69" i="12"/>
  <c r="AB69" i="12"/>
  <c r="I69" i="12"/>
  <c r="C71" i="12"/>
  <c r="AB70" i="12"/>
  <c r="N70" i="12" l="1"/>
  <c r="T70" i="12"/>
  <c r="I70" i="12"/>
  <c r="C72" i="12"/>
  <c r="AB71" i="12"/>
  <c r="N71" i="12" l="1"/>
  <c r="T71" i="12"/>
  <c r="I71" i="12"/>
  <c r="AB72" i="12"/>
  <c r="C73" i="12"/>
  <c r="T72" i="12" l="1"/>
  <c r="I72" i="12"/>
  <c r="C74" i="12"/>
  <c r="AB73" i="12"/>
  <c r="N72" i="12" l="1"/>
  <c r="T73" i="12"/>
  <c r="N73" i="12"/>
  <c r="I73" i="12"/>
  <c r="C75" i="12"/>
  <c r="AB74" i="12"/>
  <c r="T74" i="12" l="1"/>
  <c r="I74" i="12"/>
  <c r="C76" i="12"/>
  <c r="AB75" i="12"/>
  <c r="N74" i="12"/>
  <c r="T75" i="12" l="1"/>
  <c r="N75" i="12"/>
  <c r="I75" i="12"/>
  <c r="C77" i="12"/>
  <c r="AB76" i="12"/>
  <c r="N76" i="12" l="1"/>
  <c r="T76" i="12"/>
  <c r="I76" i="12"/>
  <c r="C78" i="12"/>
  <c r="AB77" i="12"/>
  <c r="N77" i="12" l="1"/>
  <c r="T77" i="12"/>
  <c r="I77" i="12"/>
  <c r="AB78" i="12"/>
  <c r="N78" i="12" l="1"/>
  <c r="T78" i="12"/>
  <c r="I78" i="12"/>
  <c r="AG40" i="12" a="1"/>
  <c r="AG40" i="12" s="1"/>
  <c r="AT28" i="12" s="1"/>
  <c r="AG39" i="12" a="1"/>
  <c r="AG39" i="12" s="1"/>
  <c r="AG14" i="12" l="1" a="1"/>
  <c r="AG14" i="12" s="1"/>
  <c r="AT8" i="12" s="1"/>
  <c r="AG13" i="12" a="1"/>
  <c r="AG13" i="12" s="1"/>
  <c r="AG26" i="12" a="1"/>
  <c r="AG26" i="12" s="1"/>
  <c r="AG29" i="12" s="1"/>
  <c r="AG27" i="12" a="1"/>
  <c r="AG27" i="12" s="1"/>
  <c r="AT18" i="12" s="1"/>
  <c r="AG42" i="12"/>
  <c r="N118" i="12"/>
  <c r="AC58" i="12" l="1"/>
  <c r="AC57" i="12"/>
  <c r="AD56" i="12"/>
  <c r="AC56" i="12"/>
  <c r="AD59" i="12"/>
  <c r="AD58" i="12"/>
  <c r="AD57" i="12"/>
  <c r="AC59" i="12"/>
  <c r="U58" i="12"/>
  <c r="U57" i="12"/>
  <c r="V57" i="12"/>
  <c r="V59" i="12"/>
  <c r="U56" i="12"/>
  <c r="U59" i="12"/>
  <c r="V58" i="12"/>
  <c r="V56" i="12"/>
  <c r="AG16" i="12"/>
  <c r="N107" i="12"/>
  <c r="U53" i="12"/>
  <c r="U46" i="12"/>
  <c r="U52" i="12"/>
  <c r="U9" i="12"/>
  <c r="U12" i="12"/>
  <c r="U37" i="12"/>
  <c r="U44" i="12"/>
  <c r="U47" i="12"/>
  <c r="V20" i="12"/>
  <c r="V22" i="12"/>
  <c r="V21" i="12"/>
  <c r="V54" i="12"/>
  <c r="V42" i="12"/>
  <c r="U43" i="12"/>
  <c r="U34" i="12"/>
  <c r="V17" i="12"/>
  <c r="V45" i="12"/>
  <c r="V37" i="12"/>
  <c r="U25" i="12"/>
  <c r="V29" i="12"/>
  <c r="V39" i="12"/>
  <c r="U31" i="12"/>
  <c r="V35" i="12"/>
  <c r="U33" i="12"/>
  <c r="V55" i="12"/>
  <c r="U55" i="12"/>
  <c r="V33" i="12"/>
  <c r="V16" i="12"/>
  <c r="V40" i="12"/>
  <c r="V12" i="12"/>
  <c r="U30" i="12"/>
  <c r="U40" i="12"/>
  <c r="V27" i="12"/>
  <c r="V51" i="12"/>
  <c r="V8" i="12"/>
  <c r="V13" i="12"/>
  <c r="U17" i="12"/>
  <c r="U45" i="12"/>
  <c r="V25" i="12"/>
  <c r="V46" i="12"/>
  <c r="U8" i="12"/>
  <c r="U13" i="12"/>
  <c r="V41" i="12"/>
  <c r="V49" i="12"/>
  <c r="V34" i="12"/>
  <c r="V43" i="12"/>
  <c r="V26" i="12"/>
  <c r="V48" i="12"/>
  <c r="U28" i="12"/>
  <c r="U54" i="12"/>
  <c r="U51" i="12"/>
  <c r="V44" i="12"/>
  <c r="V50" i="12"/>
  <c r="U32" i="12"/>
  <c r="U39" i="12"/>
  <c r="V11" i="12"/>
  <c r="V36" i="12"/>
  <c r="U22" i="12"/>
  <c r="V14" i="12"/>
  <c r="U42" i="12"/>
  <c r="U14" i="12"/>
  <c r="V28" i="12"/>
  <c r="U49" i="12"/>
  <c r="V47" i="12"/>
  <c r="U36" i="12"/>
  <c r="U35" i="12"/>
  <c r="U10" i="12"/>
  <c r="U15" i="12"/>
  <c r="V30" i="12"/>
  <c r="U18" i="12"/>
  <c r="U29" i="12"/>
  <c r="U16" i="12"/>
  <c r="U21" i="12"/>
  <c r="V38" i="12"/>
  <c r="V10" i="12"/>
  <c r="U24" i="12"/>
  <c r="U19" i="12"/>
  <c r="V31" i="12"/>
  <c r="U27" i="12"/>
  <c r="V18" i="12"/>
  <c r="U26" i="12"/>
  <c r="V23" i="12"/>
  <c r="V24" i="12"/>
  <c r="U20" i="12"/>
  <c r="U38" i="12"/>
  <c r="V9" i="12"/>
  <c r="V15" i="12"/>
  <c r="V52" i="12"/>
  <c r="U23" i="12"/>
  <c r="U48" i="12"/>
  <c r="U50" i="12"/>
  <c r="V19" i="12"/>
  <c r="V53" i="12"/>
  <c r="V32" i="12"/>
  <c r="U11" i="12"/>
  <c r="U41" i="12"/>
  <c r="AD55" i="12"/>
  <c r="AC55" i="12"/>
  <c r="AC54" i="12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9" i="19"/>
  <c r="K59" i="12" l="1"/>
  <c r="K57" i="12"/>
  <c r="J55" i="12"/>
  <c r="J59" i="12"/>
  <c r="J58" i="12"/>
  <c r="J57" i="12"/>
  <c r="K56" i="12"/>
  <c r="K55" i="12"/>
  <c r="J56" i="12"/>
  <c r="K58" i="12"/>
  <c r="AG12" i="19"/>
  <c r="AG11" i="19"/>
  <c r="N9" i="19"/>
  <c r="I9" i="19"/>
  <c r="C10" i="19"/>
  <c r="K9" i="12"/>
  <c r="J8" i="12"/>
  <c r="K10" i="12"/>
  <c r="J10" i="12"/>
  <c r="K8" i="12"/>
  <c r="J9" i="12"/>
  <c r="J11" i="12"/>
  <c r="K11" i="12"/>
  <c r="K12" i="12"/>
  <c r="J12" i="12"/>
  <c r="K13" i="12"/>
  <c r="J13" i="12"/>
  <c r="J14" i="12"/>
  <c r="K14" i="12"/>
  <c r="K15" i="12"/>
  <c r="J15" i="12"/>
  <c r="F134" i="12"/>
  <c r="F128" i="12"/>
  <c r="G119" i="12"/>
  <c r="G132" i="12"/>
  <c r="F123" i="12"/>
  <c r="G138" i="12"/>
  <c r="G113" i="12"/>
  <c r="G124" i="12"/>
  <c r="G112" i="12"/>
  <c r="F102" i="12"/>
  <c r="G103" i="12"/>
  <c r="F129" i="12"/>
  <c r="F115" i="12"/>
  <c r="G135" i="12"/>
  <c r="G99" i="12"/>
  <c r="F110" i="12"/>
  <c r="F119" i="12"/>
  <c r="F138" i="12"/>
  <c r="F132" i="12"/>
  <c r="G118" i="12"/>
  <c r="G140" i="12"/>
  <c r="G121" i="12"/>
  <c r="G110" i="12"/>
  <c r="G128" i="12"/>
  <c r="G123" i="12"/>
  <c r="F126" i="12"/>
  <c r="G107" i="12"/>
  <c r="F131" i="12"/>
  <c r="F121" i="12"/>
  <c r="G134" i="12"/>
  <c r="G102" i="12"/>
  <c r="G130" i="12"/>
  <c r="F118" i="12"/>
  <c r="F141" i="12"/>
  <c r="F116" i="12"/>
  <c r="F124" i="12"/>
  <c r="G143" i="12"/>
  <c r="G116" i="12"/>
  <c r="F101" i="12"/>
  <c r="F103" i="12"/>
  <c r="G100" i="12"/>
  <c r="F122" i="12"/>
  <c r="F142" i="12"/>
  <c r="G105" i="12"/>
  <c r="G129" i="12"/>
  <c r="F135" i="12"/>
  <c r="F143" i="12"/>
  <c r="F133" i="12"/>
  <c r="G120" i="12"/>
  <c r="F139" i="12"/>
  <c r="F104" i="12"/>
  <c r="G101" i="12"/>
  <c r="F109" i="12"/>
  <c r="K16" i="12"/>
  <c r="F99" i="12"/>
  <c r="G125" i="12"/>
  <c r="F112" i="12"/>
  <c r="G117" i="12"/>
  <c r="F125" i="12"/>
  <c r="G109" i="12"/>
  <c r="G142" i="12"/>
  <c r="F105" i="12"/>
  <c r="F117" i="12"/>
  <c r="G115" i="12"/>
  <c r="G104" i="12"/>
  <c r="G108" i="12"/>
  <c r="G141" i="12"/>
  <c r="F136" i="12"/>
  <c r="F108" i="12"/>
  <c r="F106" i="12"/>
  <c r="F130" i="12"/>
  <c r="F140" i="12"/>
  <c r="G126" i="12"/>
  <c r="F120" i="12"/>
  <c r="G136" i="12"/>
  <c r="G106" i="12"/>
  <c r="F127" i="12"/>
  <c r="F107" i="12"/>
  <c r="G137" i="12"/>
  <c r="G133" i="12"/>
  <c r="F113" i="12"/>
  <c r="G127" i="12"/>
  <c r="G114" i="12"/>
  <c r="F100" i="12"/>
  <c r="G122" i="12"/>
  <c r="G131" i="12"/>
  <c r="G139" i="12"/>
  <c r="F114" i="12"/>
  <c r="J16" i="12"/>
  <c r="F137" i="12"/>
  <c r="G111" i="12"/>
  <c r="F111" i="12"/>
  <c r="K17" i="12"/>
  <c r="J17" i="12"/>
  <c r="K18" i="12"/>
  <c r="J18" i="12"/>
  <c r="J19" i="12"/>
  <c r="K19" i="12"/>
  <c r="K20" i="12"/>
  <c r="J20" i="12"/>
  <c r="J21" i="12"/>
  <c r="K21" i="12"/>
  <c r="J22" i="12"/>
  <c r="K22" i="12"/>
  <c r="J23" i="12"/>
  <c r="K23" i="12"/>
  <c r="K24" i="12"/>
  <c r="J24" i="12"/>
  <c r="K25" i="12"/>
  <c r="J25" i="12"/>
  <c r="K26" i="12"/>
  <c r="J26" i="12"/>
  <c r="J27" i="12"/>
  <c r="K27" i="12"/>
  <c r="K28" i="12"/>
  <c r="J28" i="12"/>
  <c r="J29" i="12"/>
  <c r="K29" i="12"/>
  <c r="K30" i="12"/>
  <c r="J30" i="12"/>
  <c r="J31" i="12"/>
  <c r="K31" i="12"/>
  <c r="K32" i="12"/>
  <c r="J32" i="12"/>
  <c r="K33" i="12"/>
  <c r="J33" i="12"/>
  <c r="K34" i="12"/>
  <c r="J34" i="12"/>
  <c r="K35" i="12"/>
  <c r="J35" i="12"/>
  <c r="J36" i="12"/>
  <c r="K36" i="12"/>
  <c r="J37" i="12"/>
  <c r="K37" i="12"/>
  <c r="J38" i="12"/>
  <c r="K38" i="12"/>
  <c r="J39" i="12"/>
  <c r="K39" i="12"/>
  <c r="J40" i="12"/>
  <c r="K40" i="12"/>
  <c r="J41" i="12"/>
  <c r="K41" i="12"/>
  <c r="K42" i="12"/>
  <c r="J42" i="12"/>
  <c r="K43" i="12"/>
  <c r="J43" i="12"/>
  <c r="K44" i="12"/>
  <c r="J44" i="12"/>
  <c r="J45" i="12"/>
  <c r="K45" i="12"/>
  <c r="J46" i="12"/>
  <c r="K46" i="12"/>
  <c r="K47" i="12"/>
  <c r="J47" i="12"/>
  <c r="K48" i="12"/>
  <c r="J48" i="12"/>
  <c r="J49" i="12"/>
  <c r="K49" i="12"/>
  <c r="J50" i="12"/>
  <c r="K50" i="12"/>
  <c r="J51" i="12"/>
  <c r="K51" i="12"/>
  <c r="K52" i="12"/>
  <c r="J52" i="12"/>
  <c r="J53" i="12"/>
  <c r="K53" i="12"/>
  <c r="J54" i="12"/>
  <c r="K54" i="12"/>
  <c r="P40" i="19"/>
  <c r="Q40" i="19" s="1"/>
  <c r="P28" i="19"/>
  <c r="Q28" i="19" s="1"/>
  <c r="P16" i="19"/>
  <c r="Q16" i="19" s="1"/>
  <c r="P42" i="19"/>
  <c r="Q42" i="19" s="1"/>
  <c r="P30" i="19"/>
  <c r="Q30" i="19" s="1"/>
  <c r="P18" i="19"/>
  <c r="Q18" i="19" s="1"/>
  <c r="X41" i="19"/>
  <c r="Y41" i="19" s="1"/>
  <c r="F8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AG38" i="19" l="1"/>
  <c r="AG25" i="19"/>
  <c r="I10" i="19"/>
  <c r="T10" i="19"/>
  <c r="C11" i="19"/>
  <c r="C12" i="19"/>
  <c r="AG37" i="19"/>
  <c r="Y9" i="19"/>
  <c r="AG41" i="19"/>
  <c r="Q9" i="19"/>
  <c r="AG24" i="19"/>
  <c r="AB9" i="19"/>
  <c r="T9" i="19"/>
  <c r="N10" i="19" l="1"/>
  <c r="AB10" i="19"/>
  <c r="AB11" i="19"/>
  <c r="T11" i="19"/>
  <c r="AB12" i="19"/>
  <c r="T12" i="19"/>
  <c r="I11" i="19"/>
  <c r="C13" i="19"/>
  <c r="N11" i="19" l="1"/>
  <c r="AB13" i="19"/>
  <c r="N12" i="19"/>
  <c r="I12" i="19"/>
  <c r="T13" i="19"/>
  <c r="C14" i="19"/>
  <c r="T14" i="19" l="1"/>
  <c r="AB14" i="19"/>
  <c r="C15" i="19"/>
  <c r="N13" i="19"/>
  <c r="I13" i="19"/>
  <c r="AB15" i="19" l="1"/>
  <c r="T15" i="19"/>
  <c r="C16" i="19"/>
  <c r="N14" i="19"/>
  <c r="I14" i="19"/>
  <c r="AB16" i="19" l="1"/>
  <c r="T16" i="19"/>
  <c r="N15" i="19"/>
  <c r="I15" i="19"/>
  <c r="C17" i="19"/>
  <c r="T17" i="19" l="1"/>
  <c r="AB17" i="19"/>
  <c r="N16" i="19"/>
  <c r="I16" i="19"/>
  <c r="C18" i="19"/>
  <c r="T18" i="19" l="1"/>
  <c r="AB18" i="19"/>
  <c r="C19" i="19"/>
  <c r="N17" i="19"/>
  <c r="I17" i="19"/>
  <c r="T19" i="19" l="1"/>
  <c r="AB19" i="19"/>
  <c r="C20" i="19"/>
  <c r="N18" i="19"/>
  <c r="I18" i="19"/>
  <c r="T20" i="19" l="1"/>
  <c r="AB20" i="19"/>
  <c r="C21" i="19"/>
  <c r="N19" i="19"/>
  <c r="I19" i="19"/>
  <c r="AB21" i="19" l="1"/>
  <c r="T21" i="19"/>
  <c r="C22" i="19"/>
  <c r="N20" i="19"/>
  <c r="I20" i="19"/>
  <c r="AB22" i="19" l="1"/>
  <c r="T22" i="19"/>
  <c r="C23" i="19"/>
  <c r="N21" i="19"/>
  <c r="I21" i="19"/>
  <c r="T23" i="19" l="1"/>
  <c r="AB23" i="19"/>
  <c r="C24" i="19"/>
  <c r="N22" i="19"/>
  <c r="I22" i="19"/>
  <c r="AB24" i="19" l="1"/>
  <c r="T24" i="19"/>
  <c r="C25" i="19"/>
  <c r="N23" i="19"/>
  <c r="I23" i="19"/>
  <c r="AB25" i="19" l="1"/>
  <c r="T25" i="19"/>
  <c r="C26" i="19"/>
  <c r="N24" i="19"/>
  <c r="I24" i="19"/>
  <c r="AB26" i="19" l="1"/>
  <c r="T26" i="19"/>
  <c r="C27" i="19"/>
  <c r="N25" i="19"/>
  <c r="I25" i="19"/>
  <c r="T27" i="19" l="1"/>
  <c r="AB27" i="19"/>
  <c r="C28" i="19"/>
  <c r="N26" i="19"/>
  <c r="I26" i="19"/>
  <c r="T28" i="19" l="1"/>
  <c r="AB28" i="19"/>
  <c r="C29" i="19"/>
  <c r="N27" i="19"/>
  <c r="I27" i="19"/>
  <c r="AB29" i="19" l="1"/>
  <c r="T29" i="19"/>
  <c r="N28" i="19"/>
  <c r="I28" i="19"/>
  <c r="C30" i="19"/>
  <c r="T30" i="19" l="1"/>
  <c r="AB30" i="19"/>
  <c r="C31" i="19"/>
  <c r="N29" i="19"/>
  <c r="I29" i="19"/>
  <c r="T31" i="19" l="1"/>
  <c r="AB31" i="19"/>
  <c r="C32" i="19"/>
  <c r="N30" i="19"/>
  <c r="I30" i="19"/>
  <c r="AB32" i="19" l="1"/>
  <c r="T32" i="19"/>
  <c r="C33" i="19"/>
  <c r="N31" i="19"/>
  <c r="I31" i="19"/>
  <c r="AB33" i="19" l="1"/>
  <c r="T33" i="19"/>
  <c r="N32" i="19"/>
  <c r="I32" i="19"/>
  <c r="C34" i="19"/>
  <c r="T34" i="19" l="1"/>
  <c r="AB34" i="19"/>
  <c r="C35" i="19"/>
  <c r="N33" i="19"/>
  <c r="I33" i="19"/>
  <c r="T35" i="19" l="1"/>
  <c r="AB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AB38" i="19" l="1"/>
  <c r="T38" i="19"/>
  <c r="C39" i="19"/>
  <c r="N37" i="19"/>
  <c r="I37" i="19"/>
  <c r="AB39" i="19" l="1"/>
  <c r="T39" i="19"/>
  <c r="C40" i="19"/>
  <c r="N38" i="19"/>
  <c r="I38" i="19"/>
  <c r="T40" i="19" l="1"/>
  <c r="AB40" i="19"/>
  <c r="C41" i="19"/>
  <c r="N39" i="19"/>
  <c r="I39" i="19"/>
  <c r="AB41" i="19" l="1"/>
  <c r="T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T44" i="19" l="1"/>
  <c r="AB44" i="19"/>
  <c r="C45" i="19"/>
  <c r="N43" i="19"/>
  <c r="I43" i="19"/>
  <c r="T45" i="19" l="1"/>
  <c r="AB45" i="19"/>
  <c r="C46" i="19"/>
  <c r="N44" i="19"/>
  <c r="I44" i="19"/>
  <c r="AB46" i="19" l="1"/>
  <c r="T46" i="19"/>
  <c r="C47" i="19"/>
  <c r="N45" i="19"/>
  <c r="I45" i="19"/>
  <c r="T47" i="19" l="1"/>
  <c r="AB47" i="19"/>
  <c r="C48" i="19"/>
  <c r="N46" i="19"/>
  <c r="I46" i="19"/>
  <c r="AB48" i="19" l="1"/>
  <c r="T48" i="19"/>
  <c r="N47" i="19"/>
  <c r="I47" i="19"/>
  <c r="C49" i="19"/>
  <c r="AB49" i="19" l="1"/>
  <c r="T49" i="19"/>
  <c r="N48" i="19"/>
  <c r="I48" i="19"/>
  <c r="C50" i="19"/>
  <c r="T50" i="19" l="1"/>
  <c r="N49" i="19"/>
  <c r="I49" i="19"/>
  <c r="C51" i="19"/>
  <c r="T51" i="19" l="1"/>
  <c r="C52" i="19"/>
  <c r="AB50" i="19"/>
  <c r="N50" i="19"/>
  <c r="I50" i="19"/>
  <c r="T52" i="19" l="1"/>
  <c r="C53" i="19"/>
  <c r="N51" i="19"/>
  <c r="I51" i="19"/>
  <c r="AB51" i="19"/>
  <c r="T53" i="19" l="1"/>
  <c r="AB53" i="19"/>
  <c r="AB52" i="19"/>
  <c r="C54" i="19"/>
  <c r="I52" i="19"/>
  <c r="N52" i="19"/>
  <c r="T54" i="19" l="1"/>
  <c r="AB54" i="19"/>
  <c r="N53" i="19"/>
  <c r="I53" i="19"/>
  <c r="C55" i="19"/>
  <c r="AB55" i="19" l="1"/>
  <c r="T55" i="19"/>
  <c r="N54" i="19"/>
  <c r="I54" i="19"/>
  <c r="C56" i="19"/>
  <c r="AB56" i="19" l="1"/>
  <c r="T56" i="19"/>
  <c r="C57" i="19"/>
  <c r="N55" i="19"/>
  <c r="I55" i="19"/>
  <c r="AB57" i="19" l="1"/>
  <c r="T57" i="19"/>
  <c r="C58" i="19"/>
  <c r="N56" i="19"/>
  <c r="I56" i="19"/>
  <c r="T58" i="19" l="1"/>
  <c r="AB58" i="19"/>
  <c r="C59" i="19"/>
  <c r="N57" i="19"/>
  <c r="I57" i="19"/>
  <c r="T59" i="19" l="1"/>
  <c r="AB59" i="19"/>
  <c r="N58" i="19"/>
  <c r="I58" i="19"/>
  <c r="C60" i="19"/>
  <c r="T60" i="19" l="1"/>
  <c r="AB60" i="19"/>
  <c r="C61" i="19"/>
  <c r="N59" i="19"/>
  <c r="I59" i="19"/>
  <c r="T61" i="19" l="1"/>
  <c r="AB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T66" i="19" l="1"/>
  <c r="AB66" i="19"/>
  <c r="N65" i="19"/>
  <c r="I65" i="19"/>
  <c r="C67" i="19"/>
  <c r="AB67" i="19" l="1"/>
  <c r="T67" i="19"/>
  <c r="C68" i="19"/>
  <c r="N66" i="19"/>
  <c r="I66" i="19"/>
  <c r="T68" i="19" l="1"/>
  <c r="AB68" i="19"/>
  <c r="C69" i="19"/>
  <c r="N67" i="19"/>
  <c r="I67" i="19"/>
  <c r="AB69" i="19" l="1"/>
  <c r="T69" i="19"/>
  <c r="C70" i="19"/>
  <c r="N68" i="19"/>
  <c r="I68" i="19"/>
  <c r="T70" i="19" l="1"/>
  <c r="AB70" i="19"/>
  <c r="N69" i="19"/>
  <c r="I69" i="19"/>
  <c r="C71" i="19"/>
  <c r="AB71" i="19" l="1"/>
  <c r="T71" i="19"/>
  <c r="C72" i="19"/>
  <c r="N70" i="19"/>
  <c r="I70" i="19"/>
  <c r="T72" i="19" l="1"/>
  <c r="AB72" i="19"/>
  <c r="N71" i="19"/>
  <c r="I71" i="19"/>
  <c r="C73" i="19"/>
  <c r="AG15" i="19"/>
  <c r="AG28" i="19"/>
  <c r="T73" i="19" l="1"/>
  <c r="AB73" i="19"/>
  <c r="N72" i="19"/>
  <c r="I72" i="19"/>
  <c r="C74" i="19"/>
  <c r="T74" i="19" l="1"/>
  <c r="AB74" i="19"/>
  <c r="N73" i="19"/>
  <c r="I73" i="19"/>
  <c r="C75" i="19"/>
  <c r="AB75" i="19" l="1"/>
  <c r="T75" i="19"/>
  <c r="N74" i="19"/>
  <c r="I74" i="19"/>
  <c r="C76" i="19"/>
  <c r="AB76" i="19" l="1"/>
  <c r="T76" i="19"/>
  <c r="N75" i="19"/>
  <c r="I75" i="19"/>
  <c r="C77" i="19"/>
  <c r="AB77" i="19" l="1"/>
  <c r="T77" i="19"/>
  <c r="N76" i="19"/>
  <c r="I76" i="19"/>
  <c r="AB78" i="19" l="1"/>
  <c r="T78" i="19"/>
  <c r="AG44" i="19"/>
  <c r="AG31" i="19"/>
  <c r="AG18" i="19"/>
  <c r="N77" i="19"/>
  <c r="I77" i="19"/>
  <c r="AG39" i="19" l="1" a="1"/>
  <c r="AG39" i="19" s="1"/>
  <c r="AG42" i="19" s="1"/>
  <c r="AG40" i="19" a="1"/>
  <c r="AG40" i="19" s="1"/>
  <c r="AT28" i="19" s="1"/>
  <c r="N78" i="19"/>
  <c r="I78" i="19"/>
  <c r="AG27" i="19" a="1"/>
  <c r="AG27" i="19" s="1"/>
  <c r="AT18" i="19" s="1"/>
  <c r="AG26" i="19" a="1"/>
  <c r="AG26" i="19" s="1"/>
  <c r="AG29" i="19" s="1"/>
  <c r="U58" i="19" l="1"/>
  <c r="U57" i="19"/>
  <c r="V59" i="19"/>
  <c r="V56" i="19"/>
  <c r="V58" i="19"/>
  <c r="V57" i="19"/>
  <c r="U59" i="19"/>
  <c r="U56" i="19"/>
  <c r="AC59" i="19"/>
  <c r="AD58" i="19"/>
  <c r="AD59" i="19"/>
  <c r="AC56" i="19"/>
  <c r="AC58" i="19"/>
  <c r="AC57" i="19"/>
  <c r="AD56" i="19"/>
  <c r="AD57" i="19"/>
  <c r="AD55" i="19"/>
  <c r="AC55" i="19"/>
  <c r="U55" i="19"/>
  <c r="V55" i="19"/>
  <c r="U54" i="19"/>
  <c r="V54" i="19"/>
  <c r="AC54" i="19"/>
  <c r="AD54" i="19"/>
  <c r="AD53" i="19"/>
  <c r="AC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5" i="19" l="1"/>
  <c r="K55" i="19"/>
  <c r="K58" i="19"/>
  <c r="J56" i="19"/>
  <c r="J57" i="19"/>
  <c r="J58" i="19"/>
  <c r="K56" i="19"/>
  <c r="K57" i="19"/>
  <c r="K59" i="19"/>
  <c r="J59" i="19"/>
  <c r="K54" i="19"/>
  <c r="J54" i="19"/>
  <c r="J53" i="19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tc={B46C6883-5E9F-4F16-88C8-1338960F5681}</author>
    <author>tc={0E3BBDD2-49F3-4791-8649-958B5A2F428B}</author>
    <author>tc={9A58F8C8-EC4D-4204-BDBD-1ED773C791C2}</author>
    <author>tc={CC489CA4-0428-4260-9C71-F50F294E0276}</author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AH2" authorId="0" shapeId="0" xr:uid="{B46C6883-5E9F-4F16-88C8-1338960F56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growth scaling parameter</t>
      </text>
    </comment>
    <comment ref="AH3" authorId="1" shapeId="0" xr:uid="{0E3BBDD2-49F3-4791-8649-958B5A2F428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H4" authorId="2" shapeId="0" xr:uid="{9A58F8C8-EC4D-4204-BDBD-1ED773C791C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H5" authorId="3" shapeId="0" xr:uid="{CC489CA4-0428-4260-9C71-F50F294E027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4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8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11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12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13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4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5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6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7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tc={731BC367-5DDB-41F2-86A1-B19010B513E0}</author>
    <author>tc={AEEE38AA-B942-4FD6-BC52-1E8FEF481603}</author>
    <author>tc={5E9FA6C5-4F16-4866-8231-7AB9C5DD30E3}</author>
    <author>tc={F3D26369-6C46-4303-AF2F-0070D65583B7}</author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AH2" authorId="0" shapeId="0" xr:uid="{731BC367-5DDB-41F2-86A1-B19010B513E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growth scaling parameter</t>
      </text>
    </comment>
    <comment ref="AH3" authorId="1" shapeId="0" xr:uid="{AEEE38AA-B942-4FD6-BC52-1E8FEF4816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H4" authorId="2" shapeId="0" xr:uid="{5E9FA6C5-4F16-4866-8231-7AB9C5DD30E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H5" authorId="3" shapeId="0" xr:uid="{F3D26369-6C46-4303-AF2F-0070D65583B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4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8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<sst xmlns="http://schemas.openxmlformats.org/spreadsheetml/2006/main" count="376" uniqueCount="118">
  <si>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</si>
  <si>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</si>
  <si>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</si>
  <si>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</si>
  <si>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</si>
  <si>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</si>
  <si>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</si>
  <si>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</si>
  <si>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</si>
  <si>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</si>
  <si>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</si>
  <si>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</si>
  <si>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</si>
  <si>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</si>
  <si>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</si>
  <si>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</si>
  <si>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</si>
  <si>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</si>
  <si>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</si>
  <si>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</si>
  <si>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</si>
  <si>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</si>
  <si>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</si>
  <si>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</si>
  <si>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</si>
  <si>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</si>
  <si>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</si>
  <si>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</si>
  <si>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</si>
  <si>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</si>
  <si>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</si>
  <si>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</si>
  <si>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</si>
  <si>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</si>
  <si>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</si>
  <si>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</si>
  <si>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</si>
  <si>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</si>
  <si>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</si>
  <si>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</si>
  <si>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</si>
  <si>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</si>
  <si>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</si>
  <si>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</si>
  <si>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</si>
  <si>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</si>
  <si>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</si>
  <si>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</si>
  <si>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</si>
  <si>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</si>
  <si>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</si>
  <si>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</si>
  <si>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</si>
  <si>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</si>
  <si>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</si>
  <si>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</si>
  <si>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</si>
  <si>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</si>
  <si>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</si>
  <si>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</si>
  <si>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</si>
  <si>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</si>
  <si>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</si>
  <si>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</si>
  <si>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</si>
  <si>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</si>
  <si>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</si>
  <si>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</si>
  <si>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</si>
  <si>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</si>
  <si>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</si>
  <si>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</si>
  <si>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</si>
  <si>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</si>
  <si>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</si>
  <si>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</si>
  <si>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</si>
  <si>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</si>
  <si>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</si>
  <si>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</si>
  <si>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</si>
  <si>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</si>
  <si>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</si>
  <si>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</si>
  <si>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</si>
  <si>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</si>
  <si>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</si>
  <si>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</si>
  <si>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</si>
  <si>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</si>
  <si>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</si>
  <si>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</si>
  <si>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</si>
  <si>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</si>
  <si>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</si>
  <si>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</si>
  <si>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</si>
  <si>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</si>
  <si>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</si>
  <si>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R_Upper CI</t>
  </si>
  <si>
    <t>R_Lower CI</t>
  </si>
  <si>
    <t>D_Upper CI</t>
  </si>
  <si>
    <t>D_Lower CI</t>
  </si>
  <si>
    <t>pd-IT-0011</t>
  </si>
  <si>
    <t>pd-EN-0011</t>
  </si>
  <si>
    <t>dc-IT-0003</t>
  </si>
  <si>
    <t>dc-EN-0003</t>
  </si>
  <si>
    <t>Solver method: GRG2 non linear engine - option: default</t>
  </si>
  <si>
    <r>
      <t>t</t>
    </r>
    <r>
      <rPr>
        <i/>
        <vertAlign val="subscript"/>
        <sz val="11"/>
        <color theme="8"/>
        <rFont val="Calibri"/>
        <family val="2"/>
        <scheme val="minor"/>
      </rPr>
      <t>0</t>
    </r>
    <r>
      <rPr>
        <i/>
        <sz val="11"/>
        <color theme="8"/>
        <rFont val="Calibri"/>
        <family val="2"/>
        <scheme val="minor"/>
      </rPr>
      <t>=</t>
    </r>
  </si>
  <si>
    <r>
      <t>R</t>
    </r>
    <r>
      <rPr>
        <vertAlign val="superscript"/>
        <sz val="11"/>
        <color theme="8"/>
        <rFont val="Calibri"/>
        <family val="2"/>
        <scheme val="minor"/>
      </rPr>
      <t>2</t>
    </r>
  </si>
  <si>
    <t>Saturation value</t>
  </si>
  <si>
    <r>
      <t>t</t>
    </r>
    <r>
      <rPr>
        <i/>
        <vertAlign val="subscript"/>
        <sz val="11"/>
        <color rgb="FF00B050"/>
        <rFont val="Calibri"/>
        <family val="2"/>
        <scheme val="minor"/>
      </rPr>
      <t>0</t>
    </r>
    <r>
      <rPr>
        <i/>
        <sz val="11"/>
        <color rgb="FF00B05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</si>
  <si>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00B050"/>
        <rFont val="Calibri"/>
        <family val="2"/>
        <scheme val="minor"/>
      </rPr>
      <t>2</t>
    </r>
  </si>
  <si>
    <t>Modeling function: Generalized Gompertz</t>
  </si>
  <si>
    <t>p=</t>
  </si>
  <si>
    <r>
      <t>fitting parameter - constraint (0</t>
    </r>
    <r>
      <rPr>
        <b/>
        <sz val="11"/>
        <color theme="3"/>
        <rFont val="Calibri"/>
        <family val="2"/>
      </rPr>
      <t>≤p≤1</t>
    </r>
    <r>
      <rPr>
        <b/>
        <sz val="11"/>
        <color theme="3"/>
        <rFont val="Calibri"/>
        <family val="2"/>
        <scheme val="minor"/>
      </rPr>
      <t>)</t>
    </r>
  </si>
  <si>
    <t>dc-IT-0005</t>
  </si>
  <si>
    <t>dc-EN-0005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</si>
</sst>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vertAlign val="subscript"/>
      <sz val="11"/>
      <color theme="8"/>
      <name val="Calibri"/>
      <family val="2"/>
      <scheme val="minor"/>
    </font>
    <font>
      <vertAlign val="superscript"/>
      <sz val="11"/>
      <color theme="8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vertAlign val="subscript"/>
      <sz val="11"/>
      <color rgb="FF00B050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  <font>
      <b/>
      <sz val="11"/>
      <color theme="3"/>
      <name val="Calibri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36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0" fillId="8" borderId="2" xfId="0" applyFill="1" applyBorder="1" applyAlignment="1">
      <alignment wrapText="1"/>
    </xf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  <xf numFmtId="0" fontId="13" fillId="6" borderId="0" xfId="8" applyFont="1" applyAlignment="1">
      <alignment horizontal="center" wrapText="1"/>
    </xf>
    <xf numFmtId="0" fontId="0" fillId="9" borderId="2" xfId="0" applyFill="1" applyBorder="1" applyAlignment="1">
      <alignment wrapText="1"/>
    </xf>
    <xf numFmtId="164" fontId="1" fillId="9" borderId="3" xfId="0" applyNumberFormat="1" applyFont="1" applyFill="1" applyBorder="1"/>
    <xf numFmtId="0" fontId="1" fillId="9" borderId="3" xfId="0" applyFont="1" applyFill="1" applyBorder="1"/>
    <xf numFmtId="0" fontId="1" fillId="9" borderId="7" xfId="0" applyFont="1" applyFill="1" applyBorder="1"/>
    <xf numFmtId="0" fontId="23" fillId="0" borderId="10" xfId="7" applyAlignment="1">
      <alignment horizontal="left" vertical="center"/>
    </xf>
    <xf numFmtId="0" fontId="23" fillId="0" borderId="10" xfId="7" applyAlignment="1">
      <alignment horizontal="left" vertical="center"/>
    </xf>
    <xf numFmtId="0" fontId="15" fillId="0" borderId="0" xfId="0" applyFont="1" applyFill="1"/>
    <xf numFmtId="165" fontId="24" fillId="0" borderId="0" xfId="0" applyNumberFormat="1" applyFont="1"/>
    <xf numFmtId="1" fontId="1" fillId="2" borderId="0" xfId="0" applyNumberFormat="1" applyFont="1" applyFill="1"/>
    <xf numFmtId="0" fontId="30" fillId="2" borderId="0" xfId="0" applyFont="1" applyFill="1"/>
    <xf numFmtId="1" fontId="26" fillId="2" borderId="0" xfId="0" applyNumberFormat="1" applyFont="1" applyFill="1"/>
    <xf numFmtId="2" fontId="26" fillId="2" borderId="0" xfId="0" applyNumberFormat="1" applyFont="1" applyFill="1"/>
    <xf numFmtId="1" fontId="26" fillId="0" borderId="0" xfId="0" applyNumberFormat="1" applyFont="1"/>
    <xf numFmtId="2" fontId="26" fillId="0" borderId="0" xfId="0" applyNumberFormat="1" applyFont="1"/>
    <xf numFmtId="164" fontId="26" fillId="0" borderId="0" xfId="0" applyNumberFormat="1" applyFont="1"/>
    <xf numFmtId="164" fontId="12" fillId="9" borderId="3" xfId="0" applyNumberFormat="1" applyFont="1" applyFill="1" applyBorder="1"/>
    <xf numFmtId="0" fontId="12" fillId="9" borderId="3" xfId="0" applyFont="1" applyFill="1" applyBorder="1"/>
    <xf numFmtId="0" fontId="12" fillId="9" borderId="4" xfId="0" applyFont="1" applyFill="1" applyBorder="1"/>
    <xf numFmtId="164" fontId="15" fillId="9" borderId="3" xfId="0" applyNumberFormat="1" applyFont="1" applyFill="1" applyBorder="1"/>
    <xf numFmtId="0" fontId="15" fillId="9" borderId="3" xfId="0" applyFont="1" applyFill="1" applyBorder="1"/>
    <xf numFmtId="0" fontId="15" fillId="9" borderId="7" xfId="0" applyFont="1" applyFill="1" applyBorder="1"/>
    <xf numFmtId="0" fontId="33" fillId="2" borderId="0" xfId="0" applyFont="1" applyFill="1"/>
    <xf numFmtId="1" fontId="15" fillId="2" borderId="0" xfId="0" applyNumberFormat="1" applyFont="1" applyFill="1"/>
    <xf numFmtId="2" fontId="15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  <xf numFmtId="0" fontId="23" fillId="0" borderId="10" xfId="7" applyAlignment="1">
      <alignment horizontal="left" vertical="center"/>
    </xf>
    <xf numFmtId="0" fontId="0" fillId="9" borderId="5" xfId="0" applyFont="1" applyFill="1" applyBorder="1" applyAlignment="1">
      <alignment horizontal="center" vertical="center" textRotation="180" wrapText="1"/>
    </xf>
    <xf numFmtId="0" fontId="0" fillId="9" borderId="3" xfId="0" applyFont="1" applyFill="1" applyBorder="1" applyAlignment="1">
      <alignment horizontal="center" vertical="center" textRotation="180" wrapText="1"/>
    </xf>
    <xf numFmtId="0" fontId="0" fillId="9" borderId="6" xfId="0" applyFont="1" applyFill="1" applyBorder="1" applyAlignment="1">
      <alignment horizontal="center" vertical="center" textRotation="180" wrapText="1"/>
    </xf>
    <xf numFmtId="0" fontId="0" fillId="9" borderId="5" xfId="0" applyFill="1" applyBorder="1" applyAlignment="1">
      <alignment horizontal="center" vertical="center" textRotation="180" wrapText="1"/>
    </xf>
    <xf numFmtId="0" fontId="0" fillId="9" borderId="3" xfId="0" applyFill="1" applyBorder="1" applyAlignment="1">
      <alignment horizontal="center" vertical="center" textRotation="180" wrapText="1"/>
    </xf>
    <xf numFmtId="0" fontId="0" fillId="9" borderId="6" xfId="0" applyFill="1" applyBorder="1" applyAlignment="1">
      <alignment horizontal="center" vertical="center" textRotation="180" wrapText="1"/>
    </xf>
    <xf numFmtId="0" fontId="20" fillId="0" borderId="0" xfId="4"/>
    <xf numFmtId="0" fontId="5" fillId="5" borderId="0" xfId="3" applyBorder="1"/>
    <xf numFmtId="0" fontId="21" fillId="0" borderId="8" xfId="5"/>
    <xf numFmtId="0" fontId="22" fillId="0" borderId="9" xfId="6"/>
    <xf numFmtId="0" fontId="23" fillId="0" borderId="10" xfId="7" applyAlignment="1">
      <alignment horizontal="left" vertical="center"/>
    </xf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  <xf numFmtId="0" fontId="23" fillId="0" borderId="12" xfId="7" applyBorder="1" applyAlignment="1">
      <alignment horizontal="left" vertical="center"/>
    </xf>
    <xf numFmtId="1" fontId="0" fillId="10" borderId="11" xfId="0" applyNumberFormat="1" applyFill="1" applyBorder="1" applyAlignment="1">
      <alignment horizontal="center" wrapText="1"/>
    </xf>
    <xf numFmtId="164" fontId="12" fillId="8" borderId="3" xfId="0" applyNumberFormat="1" applyFont="1" applyFill="1" applyBorder="1"/>
    <xf numFmtId="0" fontId="12" fillId="8" borderId="3" xfId="0" applyFont="1" applyFill="1" applyBorder="1"/>
    <xf numFmtId="0" fontId="12" fillId="8" borderId="4" xfId="0" applyFont="1" applyFill="1" applyBorder="1"/>
    <xf numFmtId="0" fontId="0" fillId="8" borderId="5" xfId="0" applyFont="1" applyFill="1" applyBorder="1" applyAlignment="1">
      <alignment horizontal="center" vertical="center" textRotation="180" wrapText="1"/>
    </xf>
    <xf numFmtId="0" fontId="0" fillId="8" borderId="3" xfId="0" applyFont="1" applyFill="1" applyBorder="1" applyAlignment="1">
      <alignment horizontal="center" vertical="center" textRotation="180" wrapText="1"/>
    </xf>
    <xf numFmtId="0" fontId="0" fillId="8" borderId="6" xfId="0" applyFont="1" applyFill="1" applyBorder="1" applyAlignment="1">
      <alignment horizontal="center" vertical="center" textRotation="180" wrapText="1"/>
    </xf>
    <xf numFmtId="164" fontId="15" fillId="8" borderId="3" xfId="0" applyNumberFormat="1" applyFont="1" applyFill="1" applyBorder="1"/>
    <xf numFmtId="0" fontId="15" fillId="8" borderId="3" xfId="0" applyFont="1" applyFill="1" applyBorder="1"/>
    <xf numFmtId="0" fontId="15" fillId="8" borderId="7" xfId="0" applyFont="1" applyFill="1" applyBorder="1"/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Gompertz'!$D$6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Gompertz'!$E$6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  <c:pt idx="51">
                  <c:v>2972</c:v>
                </c:pt>
                <c:pt idx="52">
                  <c:v>2667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Gompertz'!$F$6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Gompertz'!$G$6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29.092901448867121</c:v>
                </c:pt>
                <c:pt idx="2">
                  <c:v>53.98248270299279</c:v>
                </c:pt>
                <c:pt idx="3">
                  <c:v>95.921315913643554</c:v>
                </c:pt>
                <c:pt idx="4">
                  <c:v>163.71970540663932</c:v>
                </c:pt>
                <c:pt idx="5">
                  <c:v>269.1797635284903</c:v>
                </c:pt>
                <c:pt idx="6">
                  <c:v>427.44823080808879</c:v>
                </c:pt>
                <c:pt idx="7">
                  <c:v>657.18365715547645</c:v>
                </c:pt>
                <c:pt idx="8">
                  <c:v>980.4804055042473</c:v>
                </c:pt>
                <c:pt idx="9">
                  <c:v>1422.5145107340136</c:v>
                </c:pt>
                <c:pt idx="10">
                  <c:v>2010.905952533245</c:v>
                </c:pt>
                <c:pt idx="11">
                  <c:v>2774.8236553080219</c:v>
                </c:pt>
                <c:pt idx="12">
                  <c:v>3743.8885185972363</c:v>
                </c:pt>
                <c:pt idx="13">
                  <c:v>4946.9517747061527</c:v>
                </c:pt>
                <c:pt idx="14">
                  <c:v>6410.8382262525547</c:v>
                </c:pt>
                <c:pt idx="15">
                  <c:v>8159.1455035551344</c:v>
                </c:pt>
                <c:pt idx="16">
                  <c:v>10211.182183501624</c:v>
                </c:pt>
                <c:pt idx="17">
                  <c:v>12581.111523541855</c:v>
                </c:pt>
                <c:pt idx="18">
                  <c:v>15277.346535740866</c:v>
                </c:pt>
                <c:pt idx="19">
                  <c:v>18302.219185759957</c:v>
                </c:pt>
                <c:pt idx="20">
                  <c:v>21651.924385201914</c:v>
                </c:pt>
                <c:pt idx="21">
                  <c:v>25316.7202770361</c:v>
                </c:pt>
                <c:pt idx="22">
                  <c:v>29281.351457698394</c:v>
                </c:pt>
                <c:pt idx="23">
                  <c:v>33525.651844542735</c:v>
                </c:pt>
                <c:pt idx="24">
                  <c:v>38025.278839930754</c:v>
                </c:pt>
                <c:pt idx="25">
                  <c:v>42752.529735357864</c:v>
                </c:pt>
                <c:pt idx="26">
                  <c:v>47677.194108563177</c:v>
                </c:pt>
                <c:pt idx="27">
                  <c:v>52767.40132828791</c:v>
                </c:pt>
                <c:pt idx="28">
                  <c:v>57990.429231404189</c:v>
                </c:pt>
                <c:pt idx="29">
                  <c:v>63313.447711714347</c:v>
                </c:pt>
                <c:pt idx="30">
                  <c:v>68704.178648976085</c:v>
                </c:pt>
                <c:pt idx="31">
                  <c:v>74131.460781856833</c:v>
                </c:pt>
                <c:pt idx="32">
                  <c:v>79565.714435012909</c:v>
                </c:pt>
                <c:pt idx="33">
                  <c:v>84979.306253203031</c:v>
                </c:pt>
                <c:pt idx="34">
                  <c:v>90346.81820593767</c:v>
                </c:pt>
                <c:pt idx="35">
                  <c:v>95645.228135460246</c:v>
                </c:pt>
                <c:pt idx="36">
                  <c:v>100854.01112386584</c:v>
                </c:pt>
                <c:pt idx="37">
                  <c:v>105955.17208943631</c:v>
                </c:pt>
                <c:pt idx="38">
                  <c:v>110933.22044078723</c:v>
                </c:pt>
                <c:pt idx="39">
                  <c:v>115775.09747739782</c:v>
                </c:pt>
                <c:pt idx="40">
                  <c:v>120470.06667170112</c:v>
                </c:pt>
                <c:pt idx="41">
                  <c:v>125009.5761338607</c:v>
                </c:pt>
                <c:pt idx="42">
                  <c:v>129387.10155140562</c:v>
                </c:pt>
                <c:pt idx="43">
                  <c:v>133597.97680725256</c:v>
                </c:pt>
                <c:pt idx="44">
                  <c:v>137639.21837380814</c:v>
                </c:pt>
                <c:pt idx="45">
                  <c:v>141509.3485141178</c:v>
                </c:pt>
                <c:pt idx="46">
                  <c:v>145208.22132438462</c:v>
                </c:pt>
                <c:pt idx="47">
                  <c:v>148736.85475062169</c:v>
                </c:pt>
                <c:pt idx="48">
                  <c:v>152097.27091429106</c:v>
                </c:pt>
                <c:pt idx="49">
                  <c:v>155292.34639512718</c:v>
                </c:pt>
                <c:pt idx="50">
                  <c:v>158325.67353678378</c:v>
                </c:pt>
                <c:pt idx="51">
                  <c:v>161201.43336256844</c:v>
                </c:pt>
                <c:pt idx="52">
                  <c:v>163924.28029909465</c:v>
                </c:pt>
                <c:pt idx="53">
                  <c:v>166499.23860162558</c:v>
                </c:pt>
                <c:pt idx="54">
                  <c:v>168931.61014113706</c:v>
                </c:pt>
                <c:pt idx="55">
                  <c:v>171226.89304088638</c:v>
                </c:pt>
                <c:pt idx="56">
                  <c:v>173390.71053085479</c:v>
                </c:pt>
                <c:pt idx="57">
                  <c:v>175428.74931078739</c:v>
                </c:pt>
                <c:pt idx="58">
                  <c:v>177346.70666896325</c:v>
                </c:pt>
                <c:pt idx="59">
                  <c:v>179150.24558942713</c:v>
                </c:pt>
                <c:pt idx="60">
                  <c:v>180844.95708434144</c:v>
                </c:pt>
                <c:pt idx="61">
                  <c:v>182436.32901068122</c:v>
                </c:pt>
                <c:pt idx="62">
                  <c:v>183929.72066219043</c:v>
                </c:pt>
                <c:pt idx="63">
                  <c:v>185330.34246918091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Gompertz'!$H$6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Gompertz'!$H$7:$H$70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18.645364091270956</c:v>
                </c:pt>
                <c:pt idx="2">
                  <c:v>32.172946266085056</c:v>
                </c:pt>
                <c:pt idx="3">
                  <c:v>53.165120772773747</c:v>
                </c:pt>
                <c:pt idx="4">
                  <c:v>84.392625703302087</c:v>
                </c:pt>
                <c:pt idx="5">
                  <c:v>129.04901967932224</c:v>
                </c:pt>
                <c:pt idx="6">
                  <c:v>190.59885368880842</c:v>
                </c:pt>
                <c:pt idx="7">
                  <c:v>272.56028132125113</c:v>
                </c:pt>
                <c:pt idx="8">
                  <c:v>378.23991378149003</c:v>
                </c:pt>
                <c:pt idx="9">
                  <c:v>510.44667785960928</c:v>
                </c:pt>
                <c:pt idx="10">
                  <c:v>671.21616400653943</c:v>
                </c:pt>
                <c:pt idx="11">
                  <c:v>861.57663642170246</c:v>
                </c:pt>
                <c:pt idx="12">
                  <c:v>1081.3827959344978</c:v>
                </c:pt>
                <c:pt idx="13">
                  <c:v>1329.2347294841763</c:v>
                </c:pt>
                <c:pt idx="14">
                  <c:v>1602.4889709225556</c:v>
                </c:pt>
                <c:pt idx="15">
                  <c:v>1897.3580605344055</c:v>
                </c:pt>
                <c:pt idx="16">
                  <c:v>2209.0859782425355</c:v>
                </c:pt>
                <c:pt idx="17">
                  <c:v>2532.1803842309614</c:v>
                </c:pt>
                <c:pt idx="18">
                  <c:v>2860.6791887580921</c:v>
                </c:pt>
                <c:pt idx="19">
                  <c:v>3188.4285103669636</c:v>
                </c:pt>
                <c:pt idx="20">
                  <c:v>3509.3510869307825</c:v>
                </c:pt>
                <c:pt idx="21">
                  <c:v>3817.6879648215645</c:v>
                </c:pt>
                <c:pt idx="22">
                  <c:v>4108.2010284564303</c:v>
                </c:pt>
                <c:pt idx="23">
                  <c:v>4376.3289277673803</c:v>
                </c:pt>
                <c:pt idx="24">
                  <c:v>4618.2936403374979</c:v>
                </c:pt>
                <c:pt idx="25">
                  <c:v>4831.1588739863364</c:v>
                </c:pt>
                <c:pt idx="26">
                  <c:v>5012.8445600823879</c:v>
                </c:pt>
                <c:pt idx="27">
                  <c:v>5162.1037483613136</c:v>
                </c:pt>
                <c:pt idx="28">
                  <c:v>5278.46934790663</c:v>
                </c:pt>
                <c:pt idx="29">
                  <c:v>5362.1784997632221</c:v>
                </c:pt>
                <c:pt idx="30">
                  <c:v>5414.0820865722981</c:v>
                </c:pt>
                <c:pt idx="31">
                  <c:v>5435.5461649926592</c:v>
                </c:pt>
                <c:pt idx="32">
                  <c:v>5428.3511164309921</c:v>
                </c:pt>
                <c:pt idx="33">
                  <c:v>5394.5931948337584</c:v>
                </c:pt>
                <c:pt idx="34">
                  <c:v>5336.5920199631682</c:v>
                </c:pt>
                <c:pt idx="35">
                  <c:v>5256.8065021586217</c:v>
                </c:pt>
                <c:pt idx="36">
                  <c:v>5157.760742401998</c:v>
                </c:pt>
                <c:pt idx="37">
                  <c:v>5041.9806577364943</c:v>
                </c:pt>
                <c:pt idx="38">
                  <c:v>4911.9414457360481</c:v>
                </c:pt>
                <c:pt idx="39">
                  <c:v>4770.0255182388237</c:v>
                </c:pt>
                <c:pt idx="40">
                  <c:v>4618.4901902511037</c:v>
                </c:pt>
                <c:pt idx="41">
                  <c:v>4459.4441861900268</c:v>
                </c:pt>
                <c:pt idx="42">
                  <c:v>4294.8319014268318</c:v>
                </c:pt>
                <c:pt idx="43">
                  <c:v>4126.4243118687209</c:v>
                </c:pt>
                <c:pt idx="44">
                  <c:v>3955.8154384545392</c:v>
                </c:pt>
                <c:pt idx="45">
                  <c:v>3784.4233300986725</c:v>
                </c:pt>
                <c:pt idx="46">
                  <c:v>3613.4946132470682</c:v>
                </c:pt>
                <c:pt idx="47">
                  <c:v>3444.1117572461817</c:v>
                </c:pt>
                <c:pt idx="48">
                  <c:v>3277.2023129882023</c:v>
                </c:pt>
                <c:pt idx="49">
                  <c:v>3113.549491108377</c:v>
                </c:pt>
                <c:pt idx="50">
                  <c:v>2953.8035504287691</c:v>
                </c:pt>
                <c:pt idx="51">
                  <c:v>2798.493564328433</c:v>
                </c:pt>
                <c:pt idx="52">
                  <c:v>2648.0392202184166</c:v>
                </c:pt>
                <c:pt idx="53">
                  <c:v>2502.7623845414778</c:v>
                </c:pt>
                <c:pt idx="54">
                  <c:v>2362.8982324151762</c:v>
                </c:pt>
                <c:pt idx="55">
                  <c:v>2228.6057975643484</c:v>
                </c:pt>
                <c:pt idx="56">
                  <c:v>2099.9778452240516</c:v>
                </c:pt>
                <c:pt idx="57">
                  <c:v>1977.0500090743585</c:v>
                </c:pt>
                <c:pt idx="58">
                  <c:v>1859.8091639761972</c:v>
                </c:pt>
                <c:pt idx="59">
                  <c:v>1748.2010303324755</c:v>
                </c:pt>
                <c:pt idx="60">
                  <c:v>1642.1370242135445</c:v>
                </c:pt>
                <c:pt idx="61">
                  <c:v>1541.5003809366169</c:v>
                </c:pt>
                <c:pt idx="62">
                  <c:v>1446.1515893439166</c:v>
                </c:pt>
                <c:pt idx="63">
                  <c:v>1355.9331803703417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Gompertz'!$I$6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Gompertz'!$I$7:$I$70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29.092901448867121</c:v>
                </c:pt>
                <c:pt idx="2">
                  <c:v>53.98248270299279</c:v>
                </c:pt>
                <c:pt idx="3">
                  <c:v>95.921315913643554</c:v>
                </c:pt>
                <c:pt idx="4">
                  <c:v>163.71970540663932</c:v>
                </c:pt>
                <c:pt idx="5">
                  <c:v>269.1797635284903</c:v>
                </c:pt>
                <c:pt idx="6">
                  <c:v>427.44823080808879</c:v>
                </c:pt>
                <c:pt idx="7">
                  <c:v>657.18365715547645</c:v>
                </c:pt>
                <c:pt idx="8">
                  <c:v>980.4804055042473</c:v>
                </c:pt>
                <c:pt idx="9">
                  <c:v>1422.5145107340136</c:v>
                </c:pt>
                <c:pt idx="10">
                  <c:v>2010.905952533245</c:v>
                </c:pt>
                <c:pt idx="11">
                  <c:v>2774.8236553080219</c:v>
                </c:pt>
                <c:pt idx="12">
                  <c:v>3743.8885185972363</c:v>
                </c:pt>
                <c:pt idx="13">
                  <c:v>4946.9517747061527</c:v>
                </c:pt>
                <c:pt idx="14">
                  <c:v>6410.8382262525547</c:v>
                </c:pt>
                <c:pt idx="15">
                  <c:v>8159.1455035551344</c:v>
                </c:pt>
                <c:pt idx="16">
                  <c:v>10211.182183501624</c:v>
                </c:pt>
                <c:pt idx="17">
                  <c:v>12581.111523541855</c:v>
                </c:pt>
                <c:pt idx="18">
                  <c:v>15277.346535740866</c:v>
                </c:pt>
                <c:pt idx="19">
                  <c:v>18302.219185759957</c:v>
                </c:pt>
                <c:pt idx="20">
                  <c:v>21651.924385201914</c:v>
                </c:pt>
                <c:pt idx="21">
                  <c:v>25316.7202770361</c:v>
                </c:pt>
                <c:pt idx="22">
                  <c:v>29281.351457698394</c:v>
                </c:pt>
                <c:pt idx="23">
                  <c:v>33525.651844542735</c:v>
                </c:pt>
                <c:pt idx="24">
                  <c:v>38025.278839930754</c:v>
                </c:pt>
                <c:pt idx="25">
                  <c:v>42752.529735357864</c:v>
                </c:pt>
                <c:pt idx="26">
                  <c:v>47677.194108563177</c:v>
                </c:pt>
                <c:pt idx="27">
                  <c:v>52767.40132828791</c:v>
                </c:pt>
                <c:pt idx="28">
                  <c:v>57990.429231404189</c:v>
                </c:pt>
                <c:pt idx="29">
                  <c:v>63313.447711714347</c:v>
                </c:pt>
                <c:pt idx="30">
                  <c:v>68704.178648976085</c:v>
                </c:pt>
                <c:pt idx="31">
                  <c:v>74131.460781856833</c:v>
                </c:pt>
                <c:pt idx="32">
                  <c:v>79565.714435012909</c:v>
                </c:pt>
                <c:pt idx="33">
                  <c:v>84979.306253203031</c:v>
                </c:pt>
                <c:pt idx="34">
                  <c:v>90346.81820593767</c:v>
                </c:pt>
                <c:pt idx="35">
                  <c:v>95645.228135460246</c:v>
                </c:pt>
                <c:pt idx="36">
                  <c:v>100854.01112386584</c:v>
                </c:pt>
                <c:pt idx="37">
                  <c:v>105955.17208943631</c:v>
                </c:pt>
                <c:pt idx="38">
                  <c:v>110933.22044078723</c:v>
                </c:pt>
                <c:pt idx="39">
                  <c:v>115775.09747739782</c:v>
                </c:pt>
                <c:pt idx="40">
                  <c:v>120470.06667170112</c:v>
                </c:pt>
                <c:pt idx="41">
                  <c:v>125009.5761338607</c:v>
                </c:pt>
                <c:pt idx="42">
                  <c:v>129387.10155140562</c:v>
                </c:pt>
                <c:pt idx="43">
                  <c:v>133597.97680725256</c:v>
                </c:pt>
                <c:pt idx="44">
                  <c:v>137639.21837380814</c:v>
                </c:pt>
                <c:pt idx="45">
                  <c:v>141509.3485141178</c:v>
                </c:pt>
                <c:pt idx="46">
                  <c:v>145208.22132438462</c:v>
                </c:pt>
                <c:pt idx="47">
                  <c:v>148736.85475062169</c:v>
                </c:pt>
                <c:pt idx="48">
                  <c:v>152097.27091429106</c:v>
                </c:pt>
                <c:pt idx="49">
                  <c:v>155292.34639512718</c:v>
                </c:pt>
                <c:pt idx="50">
                  <c:v>158325.67353678378</c:v>
                </c:pt>
                <c:pt idx="51">
                  <c:v>161201.43336256844</c:v>
                </c:pt>
                <c:pt idx="52">
                  <c:v>163924.28029909465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Gompertz'!$J$6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Gompertz'!$J$7:$J$70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2314.2980322261733</c:v>
                </c:pt>
                <c:pt idx="2">
                  <c:v>2339.1876134802992</c:v>
                </c:pt>
                <c:pt idx="3">
                  <c:v>2381.1264466909497</c:v>
                </c:pt>
                <c:pt idx="4">
                  <c:v>2448.9248361839454</c:v>
                </c:pt>
                <c:pt idx="5">
                  <c:v>2554.3848943057965</c:v>
                </c:pt>
                <c:pt idx="6">
                  <c:v>2712.653361585395</c:v>
                </c:pt>
                <c:pt idx="7">
                  <c:v>2942.3887879327826</c:v>
                </c:pt>
                <c:pt idx="8">
                  <c:v>3265.6855362815536</c:v>
                </c:pt>
                <c:pt idx="9">
                  <c:v>3707.7196415113199</c:v>
                </c:pt>
                <c:pt idx="10">
                  <c:v>4296.1110833105513</c:v>
                </c:pt>
                <c:pt idx="11">
                  <c:v>5060.0287860853277</c:v>
                </c:pt>
                <c:pt idx="12">
                  <c:v>6029.093649374543</c:v>
                </c:pt>
                <c:pt idx="13">
                  <c:v>7232.156905483459</c:v>
                </c:pt>
                <c:pt idx="14">
                  <c:v>8696.043357029861</c:v>
                </c:pt>
                <c:pt idx="15">
                  <c:v>10444.350634332441</c:v>
                </c:pt>
                <c:pt idx="16">
                  <c:v>12496.387314278931</c:v>
                </c:pt>
                <c:pt idx="17">
                  <c:v>14866.316654319162</c:v>
                </c:pt>
                <c:pt idx="18">
                  <c:v>17562.551666518171</c:v>
                </c:pt>
                <c:pt idx="19">
                  <c:v>20587.424316537265</c:v>
                </c:pt>
                <c:pt idx="20">
                  <c:v>23937.129515979221</c:v>
                </c:pt>
                <c:pt idx="21">
                  <c:v>27601.925407813407</c:v>
                </c:pt>
                <c:pt idx="22">
                  <c:v>31566.556588475702</c:v>
                </c:pt>
                <c:pt idx="23">
                  <c:v>35810.856975320043</c:v>
                </c:pt>
                <c:pt idx="24">
                  <c:v>40310.483970708061</c:v>
                </c:pt>
                <c:pt idx="25">
                  <c:v>45037.734866135172</c:v>
                </c:pt>
                <c:pt idx="26">
                  <c:v>49962.399239340484</c:v>
                </c:pt>
                <c:pt idx="27">
                  <c:v>55052.606459065217</c:v>
                </c:pt>
                <c:pt idx="28">
                  <c:v>60275.634362181496</c:v>
                </c:pt>
                <c:pt idx="29">
                  <c:v>65598.652842491647</c:v>
                </c:pt>
                <c:pt idx="30">
                  <c:v>70989.383779753392</c:v>
                </c:pt>
                <c:pt idx="31">
                  <c:v>76416.66591263414</c:v>
                </c:pt>
                <c:pt idx="32">
                  <c:v>81850.919565790216</c:v>
                </c:pt>
                <c:pt idx="33">
                  <c:v>87264.511383980338</c:v>
                </c:pt>
                <c:pt idx="34">
                  <c:v>92632.023336714978</c:v>
                </c:pt>
                <c:pt idx="35">
                  <c:v>97930.433266237553</c:v>
                </c:pt>
                <c:pt idx="36">
                  <c:v>103139.21625464315</c:v>
                </c:pt>
                <c:pt idx="37">
                  <c:v>108240.37722021362</c:v>
                </c:pt>
                <c:pt idx="38">
                  <c:v>113218.42557156454</c:v>
                </c:pt>
                <c:pt idx="39">
                  <c:v>118060.30260817513</c:v>
                </c:pt>
                <c:pt idx="40">
                  <c:v>122755.27180247843</c:v>
                </c:pt>
                <c:pt idx="41">
                  <c:v>127294.781264638</c:v>
                </c:pt>
                <c:pt idx="42">
                  <c:v>131672.30668218291</c:v>
                </c:pt>
                <c:pt idx="43">
                  <c:v>135883.18193802985</c:v>
                </c:pt>
                <c:pt idx="44">
                  <c:v>139924.42350458543</c:v>
                </c:pt>
                <c:pt idx="45">
                  <c:v>143794.55364489509</c:v>
                </c:pt>
                <c:pt idx="46">
                  <c:v>147493.42645516191</c:v>
                </c:pt>
                <c:pt idx="47">
                  <c:v>151022.05988139898</c:v>
                </c:pt>
                <c:pt idx="48">
                  <c:v>154382.47604506835</c:v>
                </c:pt>
                <c:pt idx="49">
                  <c:v>157577.55152590448</c:v>
                </c:pt>
                <c:pt idx="50">
                  <c:v>160610.87866756108</c:v>
                </c:pt>
                <c:pt idx="51">
                  <c:v>163486.63849334573</c:v>
                </c:pt>
                <c:pt idx="52">
                  <c:v>166209.48542987194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Gompertz'!$K$6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Gompertz'!$K$7:$K$70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489.6185245307156</c:v>
                </c:pt>
                <c:pt idx="12">
                  <c:v>1458.68338781993</c:v>
                </c:pt>
                <c:pt idx="13">
                  <c:v>2661.7466439288464</c:v>
                </c:pt>
                <c:pt idx="14">
                  <c:v>4125.6330954752484</c:v>
                </c:pt>
                <c:pt idx="15">
                  <c:v>5873.9403727778281</c:v>
                </c:pt>
                <c:pt idx="16">
                  <c:v>7925.9770527243172</c:v>
                </c:pt>
                <c:pt idx="17">
                  <c:v>10295.906392764547</c:v>
                </c:pt>
                <c:pt idx="18">
                  <c:v>12992.14140496356</c:v>
                </c:pt>
                <c:pt idx="19">
                  <c:v>16017.01405498265</c:v>
                </c:pt>
                <c:pt idx="20">
                  <c:v>19366.719254424606</c:v>
                </c:pt>
                <c:pt idx="21">
                  <c:v>23031.515146258793</c:v>
                </c:pt>
                <c:pt idx="22">
                  <c:v>26996.146326921087</c:v>
                </c:pt>
                <c:pt idx="23">
                  <c:v>31240.446713765428</c:v>
                </c:pt>
                <c:pt idx="24">
                  <c:v>35740.073709153447</c:v>
                </c:pt>
                <c:pt idx="25">
                  <c:v>40467.324604580557</c:v>
                </c:pt>
                <c:pt idx="26">
                  <c:v>45391.98897778587</c:v>
                </c:pt>
                <c:pt idx="27">
                  <c:v>50482.196197510602</c:v>
                </c:pt>
                <c:pt idx="28">
                  <c:v>55705.224100626881</c:v>
                </c:pt>
                <c:pt idx="29">
                  <c:v>61028.24258093704</c:v>
                </c:pt>
                <c:pt idx="30">
                  <c:v>66418.973518198778</c:v>
                </c:pt>
                <c:pt idx="31">
                  <c:v>71846.255651079526</c:v>
                </c:pt>
                <c:pt idx="32">
                  <c:v>77280.509304235602</c:v>
                </c:pt>
                <c:pt idx="33">
                  <c:v>82694.101122425724</c:v>
                </c:pt>
                <c:pt idx="34">
                  <c:v>88061.613075160363</c:v>
                </c:pt>
                <c:pt idx="35">
                  <c:v>93360.023004682938</c:v>
                </c:pt>
                <c:pt idx="36">
                  <c:v>98568.805993088536</c:v>
                </c:pt>
                <c:pt idx="37">
                  <c:v>103669.966958659</c:v>
                </c:pt>
                <c:pt idx="38">
                  <c:v>108648.01531000993</c:v>
                </c:pt>
                <c:pt idx="39">
                  <c:v>113489.89234662052</c:v>
                </c:pt>
                <c:pt idx="40">
                  <c:v>118184.86154092381</c:v>
                </c:pt>
                <c:pt idx="41">
                  <c:v>122724.37100308339</c:v>
                </c:pt>
                <c:pt idx="42">
                  <c:v>127101.89642062831</c:v>
                </c:pt>
                <c:pt idx="43">
                  <c:v>131312.77167647527</c:v>
                </c:pt>
                <c:pt idx="44">
                  <c:v>135354.01324303084</c:v>
                </c:pt>
                <c:pt idx="45">
                  <c:v>139224.1433833405</c:v>
                </c:pt>
                <c:pt idx="46">
                  <c:v>142923.01619360733</c:v>
                </c:pt>
                <c:pt idx="47">
                  <c:v>146451.64961984439</c:v>
                </c:pt>
                <c:pt idx="48">
                  <c:v>149812.06578351377</c:v>
                </c:pt>
                <c:pt idx="49">
                  <c:v>153007.14126434989</c:v>
                </c:pt>
                <c:pt idx="50">
                  <c:v>156040.46840600649</c:v>
                </c:pt>
                <c:pt idx="51">
                  <c:v>158916.22823179114</c:v>
                </c:pt>
                <c:pt idx="52">
                  <c:v>161639.07516831736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Generalized Gompertz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Gompertz'!$D$7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Gompertz'!$O$7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  <c:pt idx="51">
                  <c:v>38092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Gompertz'!$W$7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'Cumul_confirmed - Gompertz'!$E$7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Gompertz'!$E$8:$E$78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  <c:pt idx="47">
                        <c:v>4694</c:v>
                      </c:pt>
                      <c:pt idx="48">
                        <c:v>4092</c:v>
                      </c:pt>
                      <c:pt idx="49">
                        <c:v>3153</c:v>
                      </c:pt>
                      <c:pt idx="50">
                        <c:v>2972</c:v>
                      </c:pt>
                      <c:pt idx="51">
                        <c:v>2667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  <c:pt idx="48">
                        <c:v>1984</c:v>
                      </c:pt>
                      <c:pt idx="49">
                        <c:v>1363</c:v>
                      </c:pt>
                      <c:pt idx="50">
                        <c:v>675</c:v>
                      </c:pt>
                      <c:pt idx="51">
                        <c:v>1127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  <c:pt idx="47">
                        <c:v>2079</c:v>
                      </c:pt>
                      <c:pt idx="48">
                        <c:v>1677</c:v>
                      </c:pt>
                      <c:pt idx="49">
                        <c:v>1224</c:v>
                      </c:pt>
                      <c:pt idx="50">
                        <c:v>1695</c:v>
                      </c:pt>
                      <c:pt idx="51">
                        <c:v>962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  <c:pt idx="47">
                        <c:v>619</c:v>
                      </c:pt>
                      <c:pt idx="48">
                        <c:v>431</c:v>
                      </c:pt>
                      <c:pt idx="49">
                        <c:v>566</c:v>
                      </c:pt>
                      <c:pt idx="50">
                        <c:v>602</c:v>
                      </c:pt>
                      <c:pt idx="51">
                        <c:v>578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5"/>
          <c:order val="15"/>
          <c:tx>
            <c:strRef>
              <c:f>'Cumul_confirmed - Gompertz'!$G$7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Gompertz'!$G$8:$G$78</c:f>
              <c:numCache>
                <c:formatCode>0</c:formatCode>
                <c:ptCount val="71"/>
                <c:pt idx="0">
                  <c:v>29.092901448867121</c:v>
                </c:pt>
                <c:pt idx="1">
                  <c:v>53.98248270299279</c:v>
                </c:pt>
                <c:pt idx="2">
                  <c:v>95.921315913643554</c:v>
                </c:pt>
                <c:pt idx="3">
                  <c:v>163.71970540663932</c:v>
                </c:pt>
                <c:pt idx="4">
                  <c:v>269.1797635284903</c:v>
                </c:pt>
                <c:pt idx="5">
                  <c:v>427.44823080808879</c:v>
                </c:pt>
                <c:pt idx="6">
                  <c:v>657.18365715547645</c:v>
                </c:pt>
                <c:pt idx="7">
                  <c:v>980.4804055042473</c:v>
                </c:pt>
                <c:pt idx="8">
                  <c:v>1422.5145107340136</c:v>
                </c:pt>
                <c:pt idx="9">
                  <c:v>2010.905952533245</c:v>
                </c:pt>
                <c:pt idx="10">
                  <c:v>2774.8236553080219</c:v>
                </c:pt>
                <c:pt idx="11">
                  <c:v>3743.8885185972363</c:v>
                </c:pt>
                <c:pt idx="12">
                  <c:v>4946.9517747061527</c:v>
                </c:pt>
                <c:pt idx="13">
                  <c:v>6410.8382262525547</c:v>
                </c:pt>
                <c:pt idx="14">
                  <c:v>8159.1455035551344</c:v>
                </c:pt>
                <c:pt idx="15">
                  <c:v>10211.182183501624</c:v>
                </c:pt>
                <c:pt idx="16">
                  <c:v>12581.111523541855</c:v>
                </c:pt>
                <c:pt idx="17">
                  <c:v>15277.346535740866</c:v>
                </c:pt>
                <c:pt idx="18">
                  <c:v>18302.219185759957</c:v>
                </c:pt>
                <c:pt idx="19">
                  <c:v>21651.924385201914</c:v>
                </c:pt>
                <c:pt idx="20">
                  <c:v>25316.7202770361</c:v>
                </c:pt>
                <c:pt idx="21">
                  <c:v>29281.351457698394</c:v>
                </c:pt>
                <c:pt idx="22">
                  <c:v>33525.651844542735</c:v>
                </c:pt>
                <c:pt idx="23">
                  <c:v>38025.278839930754</c:v>
                </c:pt>
                <c:pt idx="24">
                  <c:v>42752.529735357864</c:v>
                </c:pt>
                <c:pt idx="25">
                  <c:v>47677.194108563177</c:v>
                </c:pt>
                <c:pt idx="26">
                  <c:v>52767.40132828791</c:v>
                </c:pt>
                <c:pt idx="27">
                  <c:v>57990.429231404189</c:v>
                </c:pt>
                <c:pt idx="28">
                  <c:v>63313.447711714347</c:v>
                </c:pt>
                <c:pt idx="29">
                  <c:v>68704.178648976085</c:v>
                </c:pt>
                <c:pt idx="30">
                  <c:v>74131.460781856833</c:v>
                </c:pt>
                <c:pt idx="31">
                  <c:v>79565.714435012909</c:v>
                </c:pt>
                <c:pt idx="32">
                  <c:v>84979.306253203031</c:v>
                </c:pt>
                <c:pt idx="33">
                  <c:v>90346.81820593767</c:v>
                </c:pt>
                <c:pt idx="34">
                  <c:v>95645.228135460246</c:v>
                </c:pt>
                <c:pt idx="35">
                  <c:v>100854.01112386584</c:v>
                </c:pt>
                <c:pt idx="36">
                  <c:v>105955.17208943631</c:v>
                </c:pt>
                <c:pt idx="37">
                  <c:v>110933.22044078723</c:v>
                </c:pt>
                <c:pt idx="38">
                  <c:v>115775.09747739782</c:v>
                </c:pt>
                <c:pt idx="39">
                  <c:v>120470.06667170112</c:v>
                </c:pt>
                <c:pt idx="40">
                  <c:v>125009.5761338607</c:v>
                </c:pt>
                <c:pt idx="41">
                  <c:v>129387.10155140562</c:v>
                </c:pt>
                <c:pt idx="42">
                  <c:v>133597.97680725256</c:v>
                </c:pt>
                <c:pt idx="43">
                  <c:v>137639.21837380814</c:v>
                </c:pt>
                <c:pt idx="44">
                  <c:v>141509.3485141178</c:v>
                </c:pt>
                <c:pt idx="45">
                  <c:v>145208.22132438462</c:v>
                </c:pt>
                <c:pt idx="46">
                  <c:v>148736.85475062169</c:v>
                </c:pt>
                <c:pt idx="47">
                  <c:v>152097.27091429106</c:v>
                </c:pt>
                <c:pt idx="48">
                  <c:v>155292.34639512718</c:v>
                </c:pt>
                <c:pt idx="49">
                  <c:v>158325.67353678378</c:v>
                </c:pt>
                <c:pt idx="50">
                  <c:v>161201.43336256844</c:v>
                </c:pt>
                <c:pt idx="51">
                  <c:v>163924.28029909465</c:v>
                </c:pt>
                <c:pt idx="52">
                  <c:v>166499.23860162558</c:v>
                </c:pt>
                <c:pt idx="53">
                  <c:v>168931.61014113706</c:v>
                </c:pt>
                <c:pt idx="54">
                  <c:v>171226.89304088638</c:v>
                </c:pt>
                <c:pt idx="55">
                  <c:v>173390.71053085479</c:v>
                </c:pt>
                <c:pt idx="56">
                  <c:v>175428.74931078739</c:v>
                </c:pt>
                <c:pt idx="57">
                  <c:v>177346.70666896325</c:v>
                </c:pt>
                <c:pt idx="58">
                  <c:v>179150.24558942713</c:v>
                </c:pt>
                <c:pt idx="59">
                  <c:v>180844.95708434144</c:v>
                </c:pt>
                <c:pt idx="60">
                  <c:v>182436.32901068122</c:v>
                </c:pt>
                <c:pt idx="61">
                  <c:v>183929.72066219043</c:v>
                </c:pt>
                <c:pt idx="62">
                  <c:v>185330.34246918091</c:v>
                </c:pt>
                <c:pt idx="63">
                  <c:v>186643.24018339929</c:v>
                </c:pt>
                <c:pt idx="64">
                  <c:v>187873.28297473476</c:v>
                </c:pt>
                <c:pt idx="65">
                  <c:v>189025.15491406329</c:v>
                </c:pt>
                <c:pt idx="66">
                  <c:v>190103.34936759315</c:v>
                </c:pt>
                <c:pt idx="67">
                  <c:v>191112.16587307039</c:v>
                </c:pt>
                <c:pt idx="68">
                  <c:v>192055.70911519899</c:v>
                </c:pt>
                <c:pt idx="69">
                  <c:v>192937.88965902769</c:v>
                </c:pt>
                <c:pt idx="70">
                  <c:v>193762.42614002063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Gompertz'!$Z$7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Gompertz'!$Z$8:$Z$78</c:f>
              <c:numCache>
                <c:formatCode>0</c:formatCode>
                <c:ptCount val="71"/>
                <c:pt idx="0">
                  <c:v>8.3281725870776993E-2</c:v>
                </c:pt>
                <c:pt idx="1">
                  <c:v>0.21210224569369954</c:v>
                </c:pt>
                <c:pt idx="2">
                  <c:v>0.50418994806141126</c:v>
                </c:pt>
                <c:pt idx="3">
                  <c:v>1.1244001948873807</c:v>
                </c:pt>
                <c:pt idx="4">
                  <c:v>2.3636461543306941</c:v>
                </c:pt>
                <c:pt idx="5">
                  <c:v>4.7041516701322452</c:v>
                </c:pt>
                <c:pt idx="6">
                  <c:v>8.8997398300459452</c:v>
                </c:pt>
                <c:pt idx="7">
                  <c:v>16.065659649980645</c:v>
                </c:pt>
                <c:pt idx="8">
                  <c:v>27.768442332885684</c:v>
                </c:pt>
                <c:pt idx="9">
                  <c:v>46.103110174318225</c:v>
                </c:pt>
                <c:pt idx="10">
                  <c:v>73.743687448522337</c:v>
                </c:pt>
                <c:pt idx="11">
                  <c:v>113.95399551839357</c:v>
                </c:pt>
                <c:pt idx="12">
                  <c:v>170.54922462091056</c:v>
                </c:pt>
                <c:pt idx="13">
                  <c:v>247.80425526583869</c:v>
                </c:pt>
                <c:pt idx="14">
                  <c:v>350.31120111612415</c:v>
                </c:pt>
                <c:pt idx="15">
                  <c:v>482.79501304792115</c:v>
                </c:pt>
                <c:pt idx="16">
                  <c:v>649.9011495466309</c:v>
                </c:pt>
                <c:pt idx="17">
                  <c:v>855.9725127913631</c:v>
                </c:pt>
                <c:pt idx="18">
                  <c:v>1104.8337275623935</c:v>
                </c:pt>
                <c:pt idx="19">
                  <c:v>1399.5994874390262</c:v>
                </c:pt>
                <c:pt idx="20">
                  <c:v>1742.5205414371424</c:v>
                </c:pt>
                <c:pt idx="21">
                  <c:v>2134.8765842348575</c:v>
                </c:pt>
                <c:pt idx="22">
                  <c:v>2576.9205446267115</c:v>
                </c:pt>
                <c:pt idx="23">
                  <c:v>3067.874175373689</c:v>
                </c:pt>
                <c:pt idx="24">
                  <c:v>3605.9709209272405</c:v>
                </c:pt>
                <c:pt idx="25">
                  <c:v>4188.5390802059183</c:v>
                </c:pt>
                <c:pt idx="26">
                  <c:v>4812.1164094358919</c:v>
                </c:pt>
                <c:pt idx="27">
                  <c:v>5472.5864915667798</c:v>
                </c:pt>
                <c:pt idx="28">
                  <c:v>6165.3272913600395</c:v>
                </c:pt>
                <c:pt idx="29">
                  <c:v>6885.3631133985109</c:v>
                </c:pt>
                <c:pt idx="30">
                  <c:v>7627.5124576785456</c:v>
                </c:pt>
                <c:pt idx="31">
                  <c:v>8386.5258078288516</c:v>
                </c:pt>
                <c:pt idx="32">
                  <c:v>9157.2090054616601</c:v>
                </c:pt>
                <c:pt idx="33">
                  <c:v>9934.5294175921608</c:v>
                </c:pt>
                <c:pt idx="34">
                  <c:v>10713.703492885392</c:v>
                </c:pt>
                <c:pt idx="35">
                  <c:v>11490.265468636178</c:v>
                </c:pt>
                <c:pt idx="36">
                  <c:v>12260.117909031951</c:v>
                </c:pt>
                <c:pt idx="37">
                  <c:v>13019.565428423748</c:v>
                </c:pt>
                <c:pt idx="38">
                  <c:v>13765.333400370127</c:v>
                </c:pt>
                <c:pt idx="39">
                  <c:v>14494.573705073237</c:v>
                </c:pt>
                <c:pt idx="40">
                  <c:v>15204.859659548063</c:v>
                </c:pt>
                <c:pt idx="41">
                  <c:v>15894.172243512125</c:v>
                </c:pt>
                <c:pt idx="42">
                  <c:v>16560.87961280641</c:v>
                </c:pt>
                <c:pt idx="43">
                  <c:v>17203.711711531476</c:v>
                </c:pt>
                <c:pt idx="44">
                  <c:v>17821.731579080708</c:v>
                </c:pt>
                <c:pt idx="45">
                  <c:v>18414.304718329804</c:v>
                </c:pt>
                <c:pt idx="46">
                  <c:v>18981.067661690206</c:v>
                </c:pt>
                <c:pt idx="47">
                  <c:v>19521.896653304895</c:v>
                </c:pt>
                <c:pt idx="48">
                  <c:v>20036.877165000209</c:v>
                </c:pt>
                <c:pt idx="49">
                  <c:v>20526.274785033507</c:v>
                </c:pt>
                <c:pt idx="50">
                  <c:v>20990.507864058425</c:v>
                </c:pt>
                <c:pt idx="51">
                  <c:v>21430.122171880041</c:v>
                </c:pt>
                <c:pt idx="52">
                  <c:v>21845.767710679902</c:v>
                </c:pt>
                <c:pt idx="53">
                  <c:v>22238.177743612068</c:v>
                </c:pt>
                <c:pt idx="54">
                  <c:v>22608.150029516502</c:v>
                </c:pt>
                <c:pt idx="55">
                  <c:v>22956.53020315132</c:v>
                </c:pt>
                <c:pt idx="56">
                  <c:v>23284.197202436135</c:v>
                </c:pt>
                <c:pt idx="57">
                  <c:v>23592.050618527737</c:v>
                </c:pt>
                <c:pt idx="58">
                  <c:v>23880.999827891621</c:v>
                </c:pt>
                <c:pt idx="59">
                  <c:v>24151.954756906489</c:v>
                </c:pt>
                <c:pt idx="60">
                  <c:v>24405.81812647096</c:v>
                </c:pt>
                <c:pt idx="61">
                  <c:v>24643.479026041125</c:v>
                </c:pt>
                <c:pt idx="62">
                  <c:v>24865.807671135986</c:v>
                </c:pt>
                <c:pt idx="63">
                  <c:v>25073.651206118397</c:v>
                </c:pt>
                <c:pt idx="64">
                  <c:v>25267.830422585204</c:v>
                </c:pt>
                <c:pt idx="65">
                  <c:v>25449.137273665834</c:v>
                </c:pt>
                <c:pt idx="66">
                  <c:v>25618.333074925336</c:v>
                </c:pt>
                <c:pt idx="67">
                  <c:v>25776.147292495047</c:v>
                </c:pt>
                <c:pt idx="68">
                  <c:v>25923.27682956912</c:v>
                </c:pt>
                <c:pt idx="69">
                  <c:v>26060.385731642655</c:v>
                </c:pt>
                <c:pt idx="70">
                  <c:v>26188.105240335793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Gompertz'!$R$7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Gompertz'!$R$8:$R$78</c:f>
              <c:numCache>
                <c:formatCode>0</c:formatCode>
                <c:ptCount val="71"/>
                <c:pt idx="0">
                  <c:v>1.8979160643476127</c:v>
                </c:pt>
                <c:pt idx="1">
                  <c:v>4.2141446519813437</c:v>
                </c:pt>
                <c:pt idx="2">
                  <c:v>8.4091062253007269</c:v>
                </c:pt>
                <c:pt idx="3">
                  <c:v>15.435407319492798</c:v>
                </c:pt>
                <c:pt idx="4">
                  <c:v>26.494488813819292</c:v>
                </c:pt>
                <c:pt idx="5">
                  <c:v>43.041769078495953</c:v>
                </c:pt>
                <c:pt idx="6">
                  <c:v>66.782728356442547</c:v>
                </c:pt>
                <c:pt idx="7">
                  <c:v>99.660763238897744</c:v>
                </c:pt>
                <c:pt idx="8">
                  <c:v>143.83790905052291</c:v>
                </c:pt>
                <c:pt idx="9">
                  <c:v>201.66967503650656</c:v>
                </c:pt>
                <c:pt idx="10">
                  <c:v>275.67528959657272</c:v>
                </c:pt>
                <c:pt idx="11">
                  <c:v>368.50463418583792</c:v>
                </c:pt>
                <c:pt idx="12">
                  <c:v>482.90307497146455</c:v>
                </c:pt>
                <c:pt idx="13">
                  <c:v>621.67529740452392</c:v>
                </c:pt>
                <c:pt idx="14">
                  <c:v>787.64912378618988</c:v>
                </c:pt>
                <c:pt idx="15">
                  <c:v>983.64015805311999</c:v>
                </c:pt>
                <c:pt idx="16">
                  <c:v>1212.4179632964617</c:v>
                </c:pt>
                <c:pt idx="17">
                  <c:v>1476.6743418181275</c:v>
                </c:pt>
                <c:pt idx="18">
                  <c:v>1778.9941589790078</c:v>
                </c:pt>
                <c:pt idx="19">
                  <c:v>2121.829033499404</c:v>
                </c:pt>
                <c:pt idx="20">
                  <c:v>2507.4741099410676</c:v>
                </c:pt>
                <c:pt idx="21">
                  <c:v>2938.0480346982158</c:v>
                </c:pt>
                <c:pt idx="22">
                  <c:v>3415.4761751750848</c:v>
                </c:pt>
                <c:pt idx="23">
                  <c:v>3941.4770526811781</c:v>
                </c:pt>
                <c:pt idx="24">
                  <c:v>4517.5519023434545</c:v>
                </c:pt>
                <c:pt idx="25">
                  <c:v>5144.977227200834</c:v>
                </c:pt>
                <c:pt idx="26">
                  <c:v>5824.8001776514993</c:v>
                </c:pt>
                <c:pt idx="27">
                  <c:v>6557.8365605309446</c:v>
                </c:pt>
                <c:pt idx="28">
                  <c:v>7344.6712632510998</c:v>
                </c:pt>
                <c:pt idx="29">
                  <c:v>8185.6608665796948</c:v>
                </c:pt>
                <c:pt idx="30">
                  <c:v>9080.9382137809152</c:v>
                </c:pt>
                <c:pt idx="31">
                  <c:v>10030.418703026955</c:v>
                </c:pt>
                <c:pt idx="32">
                  <c:v>11033.808073351453</c:v>
                </c:pt>
                <c:pt idx="33">
                  <c:v>12090.611461157037</c:v>
                </c:pt>
                <c:pt idx="34">
                  <c:v>13200.143513693851</c:v>
                </c:pt>
                <c:pt idx="35">
                  <c:v>14361.539357366646</c:v>
                </c:pt>
                <c:pt idx="36">
                  <c:v>15573.766231647858</c:v>
                </c:pt>
                <c:pt idx="37">
                  <c:v>16835.635613299255</c:v>
                </c:pt>
                <c:pt idx="38">
                  <c:v>18145.815670125416</c:v>
                </c:pt>
                <c:pt idx="39">
                  <c:v>19502.843898256684</c:v>
                </c:pt>
                <c:pt idx="40">
                  <c:v>20905.139811704536</c:v>
                </c:pt>
                <c:pt idx="41">
                  <c:v>22351.017567413535</c:v>
                </c:pt>
                <c:pt idx="42">
                  <c:v>23838.698423072325</c:v>
                </c:pt>
                <c:pt idx="43">
                  <c:v>25366.322938389865</c:v>
                </c:pt>
                <c:pt idx="44">
                  <c:v>26931.96284329459</c:v>
                </c:pt>
                <c:pt idx="45">
                  <c:v>28533.632508486615</c:v>
                </c:pt>
                <c:pt idx="46">
                  <c:v>30169.299964923208</c:v>
                </c:pt>
                <c:pt idx="47">
                  <c:v>31836.897429113233</c:v>
                </c:pt>
                <c:pt idx="48">
                  <c:v>33534.331300527927</c:v>
                </c:pt>
                <c:pt idx="49">
                  <c:v>35259.491606008734</c:v>
                </c:pt>
                <c:pt idx="50">
                  <c:v>37010.260873785002</c:v>
                </c:pt>
                <c:pt idx="51">
                  <c:v>38784.522426630247</c:v>
                </c:pt>
                <c:pt idx="52">
                  <c:v>40580.168089823928</c:v>
                </c:pt>
                <c:pt idx="53">
                  <c:v>42395.105314977984</c:v>
                </c:pt>
                <c:pt idx="54">
                  <c:v>44227.263725489633</c:v>
                </c:pt>
                <c:pt idx="55">
                  <c:v>46074.601093423451</c:v>
                </c:pt>
                <c:pt idx="56">
                  <c:v>47935.108761072712</c:v>
                </c:pt>
                <c:pt idx="57">
                  <c:v>49806.816523330468</c:v>
                </c:pt>
                <c:pt idx="58">
                  <c:v>51687.796989381059</c:v>
                </c:pt>
                <c:pt idx="59">
                  <c:v>53576.169444133622</c:v>
                </c:pt>
                <c:pt idx="60">
                  <c:v>55470.10323131211</c:v>
                </c:pt>
                <c:pt idx="61">
                  <c:v>57367.820681236539</c:v>
                </c:pt>
                <c:pt idx="62">
                  <c:v>59267.599607114862</c:v>
                </c:pt>
                <c:pt idx="63">
                  <c:v>61167.775394145909</c:v>
                </c:pt>
                <c:pt idx="64">
                  <c:v>63066.74270596751</c:v>
                </c:pt>
                <c:pt idx="65">
                  <c:v>64962.956832975207</c:v>
                </c:pt>
                <c:pt idx="66">
                  <c:v>66854.93470684372</c:v>
                </c:pt>
                <c:pt idx="67">
                  <c:v>68741.255605216094</c:v>
                </c:pt>
                <c:pt idx="68">
                  <c:v>70620.561570015678</c:v>
                </c:pt>
                <c:pt idx="69">
                  <c:v>72491.557562210597</c:v>
                </c:pt>
                <c:pt idx="70">
                  <c:v>74353.011375137197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'Cumul_confirmed - Gompertz'!$H$7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Gompertz'!$H$8:$H$78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18.645364091270956</c:v>
                      </c:pt>
                      <c:pt idx="1">
                        <c:v>32.172946266085056</c:v>
                      </c:pt>
                      <c:pt idx="2">
                        <c:v>53.165120772773747</c:v>
                      </c:pt>
                      <c:pt idx="3">
                        <c:v>84.392625703302087</c:v>
                      </c:pt>
                      <c:pt idx="4">
                        <c:v>129.04901967932224</c:v>
                      </c:pt>
                      <c:pt idx="5">
                        <c:v>190.59885368880842</c:v>
                      </c:pt>
                      <c:pt idx="6">
                        <c:v>272.56028132125113</c:v>
                      </c:pt>
                      <c:pt idx="7">
                        <c:v>378.23991378149003</c:v>
                      </c:pt>
                      <c:pt idx="8">
                        <c:v>510.44667785960928</c:v>
                      </c:pt>
                      <c:pt idx="9">
                        <c:v>671.21616400653943</c:v>
                      </c:pt>
                      <c:pt idx="10">
                        <c:v>861.57663642170246</c:v>
                      </c:pt>
                      <c:pt idx="11">
                        <c:v>1081.3827959344978</c:v>
                      </c:pt>
                      <c:pt idx="12">
                        <c:v>1329.2347294841763</c:v>
                      </c:pt>
                      <c:pt idx="13">
                        <c:v>1602.4889709225556</c:v>
                      </c:pt>
                      <c:pt idx="14">
                        <c:v>1897.3580605344055</c:v>
                      </c:pt>
                      <c:pt idx="15">
                        <c:v>2209.0859782425355</c:v>
                      </c:pt>
                      <c:pt idx="16">
                        <c:v>2532.1803842309614</c:v>
                      </c:pt>
                      <c:pt idx="17">
                        <c:v>2860.6791887580921</c:v>
                      </c:pt>
                      <c:pt idx="18">
                        <c:v>3188.4285103669636</c:v>
                      </c:pt>
                      <c:pt idx="19">
                        <c:v>3509.3510869307825</c:v>
                      </c:pt>
                      <c:pt idx="20">
                        <c:v>3817.6879648215645</c:v>
                      </c:pt>
                      <c:pt idx="21">
                        <c:v>4108.2010284564303</c:v>
                      </c:pt>
                      <c:pt idx="22">
                        <c:v>4376.3289277673803</c:v>
                      </c:pt>
                      <c:pt idx="23">
                        <c:v>4618.2936403374979</c:v>
                      </c:pt>
                      <c:pt idx="24">
                        <c:v>4831.1588739863364</c:v>
                      </c:pt>
                      <c:pt idx="25">
                        <c:v>5012.8445600823879</c:v>
                      </c:pt>
                      <c:pt idx="26">
                        <c:v>5162.1037483613136</c:v>
                      </c:pt>
                      <c:pt idx="27">
                        <c:v>5278.46934790663</c:v>
                      </c:pt>
                      <c:pt idx="28">
                        <c:v>5362.1784997632221</c:v>
                      </c:pt>
                      <c:pt idx="29">
                        <c:v>5414.0820865722981</c:v>
                      </c:pt>
                      <c:pt idx="30">
                        <c:v>5435.5461649926592</c:v>
                      </c:pt>
                      <c:pt idx="31">
                        <c:v>5428.3511164309921</c:v>
                      </c:pt>
                      <c:pt idx="32">
                        <c:v>5394.5931948337584</c:v>
                      </c:pt>
                      <c:pt idx="33">
                        <c:v>5336.5920199631682</c:v>
                      </c:pt>
                      <c:pt idx="34">
                        <c:v>5256.8065021586217</c:v>
                      </c:pt>
                      <c:pt idx="35">
                        <c:v>5157.760742401998</c:v>
                      </c:pt>
                      <c:pt idx="36">
                        <c:v>5041.9806577364943</c:v>
                      </c:pt>
                      <c:pt idx="37">
                        <c:v>4911.9414457360481</c:v>
                      </c:pt>
                      <c:pt idx="38">
                        <c:v>4770.0255182388237</c:v>
                      </c:pt>
                      <c:pt idx="39">
                        <c:v>4618.4901902511037</c:v>
                      </c:pt>
                      <c:pt idx="40">
                        <c:v>4459.4441861900268</c:v>
                      </c:pt>
                      <c:pt idx="41">
                        <c:v>4294.8319014268318</c:v>
                      </c:pt>
                      <c:pt idx="42">
                        <c:v>4126.4243118687209</c:v>
                      </c:pt>
                      <c:pt idx="43">
                        <c:v>3955.8154384545392</c:v>
                      </c:pt>
                      <c:pt idx="44">
                        <c:v>3784.4233300986725</c:v>
                      </c:pt>
                      <c:pt idx="45">
                        <c:v>3613.4946132470682</c:v>
                      </c:pt>
                      <c:pt idx="46">
                        <c:v>3444.1117572461817</c:v>
                      </c:pt>
                      <c:pt idx="47">
                        <c:v>3277.2023129882023</c:v>
                      </c:pt>
                      <c:pt idx="48">
                        <c:v>3113.549491108377</c:v>
                      </c:pt>
                      <c:pt idx="49">
                        <c:v>2953.8035504287691</c:v>
                      </c:pt>
                      <c:pt idx="50">
                        <c:v>2798.493564328433</c:v>
                      </c:pt>
                      <c:pt idx="51">
                        <c:v>2648.0392202184166</c:v>
                      </c:pt>
                      <c:pt idx="52">
                        <c:v>2502.7623845414778</c:v>
                      </c:pt>
                      <c:pt idx="53">
                        <c:v>2362.8982324151762</c:v>
                      </c:pt>
                      <c:pt idx="54">
                        <c:v>2228.6057975643484</c:v>
                      </c:pt>
                      <c:pt idx="55">
                        <c:v>2099.9778452240516</c:v>
                      </c:pt>
                      <c:pt idx="56">
                        <c:v>1977.0500090743585</c:v>
                      </c:pt>
                      <c:pt idx="57">
                        <c:v>1859.8091639761972</c:v>
                      </c:pt>
                      <c:pt idx="58">
                        <c:v>1748.2010303324755</c:v>
                      </c:pt>
                      <c:pt idx="59">
                        <c:v>1642.1370242135445</c:v>
                      </c:pt>
                      <c:pt idx="60">
                        <c:v>1541.5003809366169</c:v>
                      </c:pt>
                      <c:pt idx="61">
                        <c:v>1446.1515893439166</c:v>
                      </c:pt>
                      <c:pt idx="62">
                        <c:v>1355.9331803703417</c:v>
                      </c:pt>
                      <c:pt idx="63">
                        <c:v>1270.6739172331845</c:v>
                      </c:pt>
                      <c:pt idx="64">
                        <c:v>1190.1924363063738</c:v>
                      </c:pt>
                      <c:pt idx="65">
                        <c:v>1114.3003878877876</c:v>
                      </c:pt>
                      <c:pt idx="66">
                        <c:v>1042.8051250730907</c:v>
                      </c:pt>
                      <c:pt idx="67">
                        <c:v>975.51198707415438</c:v>
                      </c:pt>
                      <c:pt idx="68">
                        <c:v>912.22622088626827</c:v>
                      </c:pt>
                      <c:pt idx="69">
                        <c:v>852.75458237660405</c:v>
                      </c:pt>
                      <c:pt idx="70">
                        <c:v>796.90665483050441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16.929691242327316</c:v>
                      </c:pt>
                      <c:pt idx="1">
                        <c:v>28.865174191986323</c:v>
                      </c:pt>
                      <c:pt idx="2">
                        <c:v>47.313600508303551</c:v>
                      </c:pt>
                      <c:pt idx="3">
                        <c:v>74.703573344401619</c:v>
                      </c:pt>
                      <c:pt idx="4">
                        <c:v>113.81976062045918</c:v>
                      </c:pt>
                      <c:pt idx="5">
                        <c:v>167.64397229888843</c:v>
                      </c:pt>
                      <c:pt idx="6">
                        <c:v>239.13349779827519</c:v>
                      </c:pt>
                      <c:pt idx="7">
                        <c:v>330.95825888058499</c:v>
                      </c:pt>
                      <c:pt idx="8">
                        <c:v>445.22709540764384</c:v>
                      </c:pt>
                      <c:pt idx="9">
                        <c:v>583.23698606864286</c:v>
                      </c:pt>
                      <c:pt idx="10">
                        <c:v>745.27659431294603</c:v>
                      </c:pt>
                      <c:pt idx="11">
                        <c:v>930.50796764227312</c:v>
                      </c:pt>
                      <c:pt idx="12">
                        <c:v>1136.9392894556349</c:v>
                      </c:pt>
                      <c:pt idx="13">
                        <c:v>1361.4895504433134</c:v>
                      </c:pt>
                      <c:pt idx="14">
                        <c:v>1600.135031623282</c:v>
                      </c:pt>
                      <c:pt idx="15">
                        <c:v>1848.1191864310317</c:v>
                      </c:pt>
                      <c:pt idx="16">
                        <c:v>2100.2027188781808</c:v>
                      </c:pt>
                      <c:pt idx="17">
                        <c:v>2350.9294562067375</c:v>
                      </c:pt>
                      <c:pt idx="18">
                        <c:v>2594.885483807424</c:v>
                      </c:pt>
                      <c:pt idx="19">
                        <c:v>2826.9330661607682</c:v>
                      </c:pt>
                      <c:pt idx="20">
                        <c:v>3042.4061269107647</c:v>
                      </c:pt>
                      <c:pt idx="21">
                        <c:v>3237.2595924581938</c:v>
                      </c:pt>
                      <c:pt idx="22">
                        <c:v>3408.1700075316617</c:v>
                      </c:pt>
                      <c:pt idx="23">
                        <c:v>3552.5890480000667</c:v>
                      </c:pt>
                      <c:pt idx="24">
                        <c:v>3668.7546658054498</c:v>
                      </c:pt>
                      <c:pt idx="25">
                        <c:v>3755.666578802181</c:v>
                      </c:pt>
                      <c:pt idx="26">
                        <c:v>3813.0337766127927</c:v>
                      </c:pt>
                      <c:pt idx="27">
                        <c:v>3841.2018423108229</c:v>
                      </c:pt>
                      <c:pt idx="28">
                        <c:v>3841.0674079720748</c:v>
                      </c:pt>
                      <c:pt idx="29">
                        <c:v>3813.9861826319407</c:v>
                      </c:pt>
                      <c:pt idx="30">
                        <c:v>3761.6798987891289</c:v>
                      </c:pt>
                      <c:pt idx="31">
                        <c:v>3686.1463645638992</c:v>
                      </c:pt>
                      <c:pt idx="32">
                        <c:v>3589.5756889937202</c:v>
                      </c:pt>
                      <c:pt idx="33">
                        <c:v>3474.2747365971932</c:v>
                      </c:pt>
                      <c:pt idx="34">
                        <c:v>3342.6010025517821</c:v>
                      </c:pt>
                      <c:pt idx="35">
                        <c:v>3196.9063960267617</c:v>
                      </c:pt>
                      <c:pt idx="36">
                        <c:v>3039.4908743507112</c:v>
                      </c:pt>
                      <c:pt idx="37">
                        <c:v>2872.5654717160401</c:v>
                      </c:pt>
                      <c:pt idx="38">
                        <c:v>2698.2239941939124</c:v>
                      </c:pt>
                      <c:pt idx="39">
                        <c:v>2518.4224864490534</c:v>
                      </c:pt>
                      <c:pt idx="40">
                        <c:v>2334.9654934458381</c:v>
                      </c:pt>
                      <c:pt idx="41">
                        <c:v>2149.498122501233</c:v>
                      </c:pt>
                      <c:pt idx="42">
                        <c:v>1963.5029400778301</c:v>
                      </c:pt>
                      <c:pt idx="43">
                        <c:v>1778.3007986797625</c:v>
                      </c:pt>
                      <c:pt idx="44">
                        <c:v>1595.054770379295</c:v>
                      </c:pt>
                      <c:pt idx="45">
                        <c:v>1414.7764553602819</c:v>
                      </c:pt>
                      <c:pt idx="46">
                        <c:v>1238.3340294429065</c:v>
                      </c:pt>
                      <c:pt idx="47">
                        <c:v>1066.4614886526824</c:v>
                      </c:pt>
                      <c:pt idx="48">
                        <c:v>899.76863813501404</c:v>
                      </c:pt>
                      <c:pt idx="49">
                        <c:v>738.7514547292285</c:v>
                      </c:pt>
                      <c:pt idx="50">
                        <c:v>583.80252621485238</c:v>
                      </c:pt>
                      <c:pt idx="51">
                        <c:v>435.2213349794909</c:v>
                      </c:pt>
                      <c:pt idx="52">
                        <c:v>293.22420979167129</c:v>
                      </c:pt>
                      <c:pt idx="53">
                        <c:v>157.95381678152455</c:v>
                      </c:pt>
                      <c:pt idx="54">
                        <c:v>29.488100302317889</c:v>
                      </c:pt>
                      <c:pt idx="55">
                        <c:v>-92.151383180666869</c:v>
                      </c:pt>
                      <c:pt idx="56">
                        <c:v>-206.99176885563998</c:v>
                      </c:pt>
                      <c:pt idx="57">
                        <c:v>-315.10183498757249</c:v>
                      </c:pt>
                      <c:pt idx="58">
                        <c:v>-416.58559598866913</c:v>
                      </c:pt>
                      <c:pt idx="59">
                        <c:v>-511.57651911513307</c:v>
                      </c:pt>
                      <c:pt idx="60">
                        <c:v>-600.23233801726235</c:v>
                      </c:pt>
                      <c:pt idx="61">
                        <c:v>-682.73043035493788</c:v>
                      </c:pt>
                      <c:pt idx="62">
                        <c:v>-759.26372283050239</c:v>
                      </c:pt>
                      <c:pt idx="63">
                        <c:v>-830.03708489587757</c:v>
                      </c:pt>
                      <c:pt idx="64">
                        <c:v>-895.26417162381404</c:v>
                      </c:pt>
                      <c:pt idx="65">
                        <c:v>-955.16467653030611</c:v>
                      </c:pt>
                      <c:pt idx="66">
                        <c:v>-1009.9619561733258</c:v>
                      </c:pt>
                      <c:pt idx="67">
                        <c:v>-1059.8809899733496</c:v>
                      </c:pt>
                      <c:pt idx="68">
                        <c:v>-1105.146640677302</c:v>
                      </c:pt>
                      <c:pt idx="69">
                        <c:v>-1145.9821831154645</c:v>
                      </c:pt>
                      <c:pt idx="70">
                        <c:v>-1182.6080712528492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1.6347957388225418</c:v>
                      </c:pt>
                      <c:pt idx="1">
                        <c:v>3.1169914912407557</c:v>
                      </c:pt>
                      <c:pt idx="2">
                        <c:v>5.4314555283003676</c:v>
                      </c:pt>
                      <c:pt idx="3">
                        <c:v>8.8213021321513452</c:v>
                      </c:pt>
                      <c:pt idx="4">
                        <c:v>13.539497878713805</c:v>
                      </c:pt>
                      <c:pt idx="5">
                        <c:v>19.839514445218363</c:v>
                      </c:pt>
                      <c:pt idx="6">
                        <c:v>27.966627837493778</c:v>
                      </c:pt>
                      <c:pt idx="7">
                        <c:v>38.150203678315563</c:v>
                      </c:pt>
                      <c:pt idx="8">
                        <c:v>50.59717179617401</c:v>
                      </c:pt>
                      <c:pt idx="9">
                        <c:v>65.486785569595938</c:v>
                      </c:pt>
                      <c:pt idx="10">
                        <c:v>82.966679238295697</c:v>
                      </c:pt>
                      <c:pt idx="11">
                        <c:v>103.15017606285157</c:v>
                      </c:pt>
                      <c:pt idx="12">
                        <c:v>126.11475813518713</c:v>
                      </c:pt>
                      <c:pt idx="13">
                        <c:v>151.90158137985526</c:v>
                      </c:pt>
                      <c:pt idx="14">
                        <c:v>180.51590376800448</c:v>
                      </c:pt>
                      <c:pt idx="15">
                        <c:v>211.92828832669068</c:v>
                      </c:pt>
                      <c:pt idx="16">
                        <c:v>246.07644290972118</c:v>
                      </c:pt>
                      <c:pt idx="17">
                        <c:v>282.86756403070621</c:v>
                      </c:pt>
                      <c:pt idx="18">
                        <c:v>322.18106082019023</c:v>
                      </c:pt>
                      <c:pt idx="19">
                        <c:v>363.87154613719514</c:v>
                      </c:pt>
                      <c:pt idx="20">
                        <c:v>407.77199408397024</c:v>
                      </c:pt>
                      <c:pt idx="21">
                        <c:v>453.69697590526408</c:v>
                      </c:pt>
                      <c:pt idx="22">
                        <c:v>501.44589894788464</c:v>
                      </c:pt>
                      <c:pt idx="23">
                        <c:v>550.80618561163601</c:v>
                      </c:pt>
                      <c:pt idx="24">
                        <c:v>601.55634075941271</c:v>
                      </c:pt>
                      <c:pt idx="25">
                        <c:v>653.46886669009575</c:v>
                      </c:pt>
                      <c:pt idx="26">
                        <c:v>706.31299440669306</c:v>
                      </c:pt>
                      <c:pt idx="27">
                        <c:v>759.85720848615381</c:v>
                      </c:pt>
                      <c:pt idx="28">
                        <c:v>813.87155037313676</c:v>
                      </c:pt>
                      <c:pt idx="29">
                        <c:v>868.12969140624432</c:v>
                      </c:pt>
                      <c:pt idx="30">
                        <c:v>922.41077239370554</c:v>
                      </c:pt>
                      <c:pt idx="31">
                        <c:v>976.50101115284031</c:v>
                      </c:pt>
                      <c:pt idx="32">
                        <c:v>1030.1950831900908</c:v>
                      </c:pt>
                      <c:pt idx="33">
                        <c:v>1083.2972837067366</c:v>
                      </c:pt>
                      <c:pt idx="34">
                        <c:v>1135.6224814515394</c:v>
                      </c:pt>
                      <c:pt idx="35">
                        <c:v>1186.9968766861871</c:v>
                      </c:pt>
                      <c:pt idx="36">
                        <c:v>1237.2585767596856</c:v>
                      </c:pt>
                      <c:pt idx="37">
                        <c:v>1286.2580035767676</c:v>
                      </c:pt>
                      <c:pt idx="38">
                        <c:v>1333.8581476601678</c:v>
                      </c:pt>
                      <c:pt idx="39">
                        <c:v>1379.9346836090353</c:v>
                      </c:pt>
                      <c:pt idx="40">
                        <c:v>1424.3759616015193</c:v>
                      </c:pt>
                      <c:pt idx="41">
                        <c:v>1467.0828892280674</c:v>
                      </c:pt>
                      <c:pt idx="42">
                        <c:v>1507.9687174176274</c:v>
                      </c:pt>
                      <c:pt idx="43">
                        <c:v>1546.9587435694928</c:v>
                      </c:pt>
                      <c:pt idx="44">
                        <c:v>1583.9899442628964</c:v>
                      </c:pt>
                      <c:pt idx="45">
                        <c:v>1619.0105491125669</c:v>
                      </c:pt>
                      <c:pt idx="46">
                        <c:v>1651.979566495781</c:v>
                      </c:pt>
                      <c:pt idx="47">
                        <c:v>1682.8662710149499</c:v>
                      </c:pt>
                      <c:pt idx="48">
                        <c:v>1711.6496616964155</c:v>
                      </c:pt>
                      <c:pt idx="49">
                        <c:v>1738.3178990741235</c:v>
                      </c:pt>
                      <c:pt idx="50">
                        <c:v>1762.8677284774128</c:v>
                      </c:pt>
                      <c:pt idx="51">
                        <c:v>1785.3038960432705</c:v>
                      </c:pt>
                      <c:pt idx="52">
                        <c:v>1805.638563212086</c:v>
                      </c:pt>
                      <c:pt idx="53">
                        <c:v>1823.8907247459533</c:v>
                      </c:pt>
                      <c:pt idx="54">
                        <c:v>1840.0856346339585</c:v>
                      </c:pt>
                      <c:pt idx="55">
                        <c:v>1854.2542436207025</c:v>
                      </c:pt>
                      <c:pt idx="56">
                        <c:v>1866.4326515139139</c:v>
                      </c:pt>
                      <c:pt idx="57">
                        <c:v>1876.6615768939944</c:v>
                      </c:pt>
                      <c:pt idx="58">
                        <c:v>1884.9858463622579</c:v>
                      </c:pt>
                      <c:pt idx="59">
                        <c:v>1891.4539050240367</c:v>
                      </c:pt>
                      <c:pt idx="60">
                        <c:v>1896.1173495058677</c:v>
                      </c:pt>
                      <c:pt idx="61">
                        <c:v>1899.0304844511395</c:v>
                      </c:pt>
                      <c:pt idx="62">
                        <c:v>1900.2499031229834</c:v>
                      </c:pt>
                      <c:pt idx="63">
                        <c:v>1899.834092464909</c:v>
                      </c:pt>
                      <c:pt idx="64">
                        <c:v>1897.8430627260138</c:v>
                      </c:pt>
                      <c:pt idx="65">
                        <c:v>1894.3380015460732</c:v>
                      </c:pt>
                      <c:pt idx="66">
                        <c:v>1889.3809522139588</c:v>
                      </c:pt>
                      <c:pt idx="67">
                        <c:v>1883.0345156581088</c:v>
                      </c:pt>
                      <c:pt idx="68">
                        <c:v>1875.3615755978522</c:v>
                      </c:pt>
                      <c:pt idx="69">
                        <c:v>1866.4250461768947</c:v>
                      </c:pt>
                      <c:pt idx="70">
                        <c:v>1856.2876413131355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Gompertz'!$U$7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674.7078888317003</c:v>
                      </c:pt>
                      <c:pt idx="1">
                        <c:v>677.02411741933395</c:v>
                      </c:pt>
                      <c:pt idx="2">
                        <c:v>681.21907899265341</c:v>
                      </c:pt>
                      <c:pt idx="3">
                        <c:v>688.24538008684544</c:v>
                      </c:pt>
                      <c:pt idx="4">
                        <c:v>699.30446158117195</c:v>
                      </c:pt>
                      <c:pt idx="5">
                        <c:v>715.85174184584855</c:v>
                      </c:pt>
                      <c:pt idx="6">
                        <c:v>739.59270112379522</c:v>
                      </c:pt>
                      <c:pt idx="7">
                        <c:v>772.47073600625038</c:v>
                      </c:pt>
                      <c:pt idx="8">
                        <c:v>816.64788181787549</c:v>
                      </c:pt>
                      <c:pt idx="9">
                        <c:v>874.47964780385917</c:v>
                      </c:pt>
                      <c:pt idx="10">
                        <c:v>948.48526236392536</c:v>
                      </c:pt>
                      <c:pt idx="11">
                        <c:v>1041.3146069531906</c:v>
                      </c:pt>
                      <c:pt idx="12">
                        <c:v>1155.7130477388173</c:v>
                      </c:pt>
                      <c:pt idx="13">
                        <c:v>1294.4852701718764</c:v>
                      </c:pt>
                      <c:pt idx="14">
                        <c:v>1460.4590965535426</c:v>
                      </c:pt>
                      <c:pt idx="15">
                        <c:v>1656.4501308204726</c:v>
                      </c:pt>
                      <c:pt idx="16">
                        <c:v>1885.2279360638145</c:v>
                      </c:pt>
                      <c:pt idx="17">
                        <c:v>2149.4843145854802</c:v>
                      </c:pt>
                      <c:pt idx="18">
                        <c:v>2451.8041317463603</c:v>
                      </c:pt>
                      <c:pt idx="19">
                        <c:v>2794.6390062667565</c:v>
                      </c:pt>
                      <c:pt idx="20">
                        <c:v>3180.2840827084201</c:v>
                      </c:pt>
                      <c:pt idx="21">
                        <c:v>3610.8580074655683</c:v>
                      </c:pt>
                      <c:pt idx="22">
                        <c:v>4088.2861479424373</c:v>
                      </c:pt>
                      <c:pt idx="23">
                        <c:v>4614.2870254485306</c:v>
                      </c:pt>
                      <c:pt idx="24">
                        <c:v>5190.361875110807</c:v>
                      </c:pt>
                      <c:pt idx="25">
                        <c:v>5817.7871999681865</c:v>
                      </c:pt>
                      <c:pt idx="26">
                        <c:v>6497.6101504188518</c:v>
                      </c:pt>
                      <c:pt idx="27">
                        <c:v>7230.6465332982971</c:v>
                      </c:pt>
                      <c:pt idx="28">
                        <c:v>8017.4812360184524</c:v>
                      </c:pt>
                      <c:pt idx="29">
                        <c:v>8858.4708393470482</c:v>
                      </c:pt>
                      <c:pt idx="30">
                        <c:v>9753.7481865482678</c:v>
                      </c:pt>
                      <c:pt idx="31">
                        <c:v>10703.228675794307</c:v>
                      </c:pt>
                      <c:pt idx="32">
                        <c:v>11706.618046118805</c:v>
                      </c:pt>
                      <c:pt idx="33">
                        <c:v>12763.42143392439</c:v>
                      </c:pt>
                      <c:pt idx="34">
                        <c:v>13872.953486461203</c:v>
                      </c:pt>
                      <c:pt idx="35">
                        <c:v>15034.349330133999</c:v>
                      </c:pt>
                      <c:pt idx="36">
                        <c:v>16246.576204415211</c:v>
                      </c:pt>
                      <c:pt idx="37">
                        <c:v>17508.445586066609</c:v>
                      </c:pt>
                      <c:pt idx="38">
                        <c:v>18818.62564289277</c:v>
                      </c:pt>
                      <c:pt idx="39">
                        <c:v>20175.653871024038</c:v>
                      </c:pt>
                      <c:pt idx="40">
                        <c:v>21577.94978447189</c:v>
                      </c:pt>
                      <c:pt idx="41">
                        <c:v>23023.82754018089</c:v>
                      </c:pt>
                      <c:pt idx="42">
                        <c:v>24511.508395839679</c:v>
                      </c:pt>
                      <c:pt idx="43">
                        <c:v>26039.132911157219</c:v>
                      </c:pt>
                      <c:pt idx="44">
                        <c:v>27604.772816061944</c:v>
                      </c:pt>
                      <c:pt idx="45">
                        <c:v>29206.442481253969</c:v>
                      </c:pt>
                      <c:pt idx="46">
                        <c:v>30842.109937690562</c:v>
                      </c:pt>
                      <c:pt idx="47">
                        <c:v>32509.707401880587</c:v>
                      </c:pt>
                      <c:pt idx="48">
                        <c:v>34207.141273295281</c:v>
                      </c:pt>
                      <c:pt idx="49">
                        <c:v>35932.301578776089</c:v>
                      </c:pt>
                      <c:pt idx="50">
                        <c:v>37683.070846552357</c:v>
                      </c:pt>
                      <c:pt idx="51">
                        <c:v>39457.332399397601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Gompertz'!$V$7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114.83915101883724</c:v>
                      </c:pt>
                      <c:pt idx="15">
                        <c:v>310.83018528576736</c:v>
                      </c:pt>
                      <c:pt idx="16">
                        <c:v>539.60799052910909</c:v>
                      </c:pt>
                      <c:pt idx="17">
                        <c:v>803.86436905077483</c:v>
                      </c:pt>
                      <c:pt idx="18">
                        <c:v>1106.1841862116553</c:v>
                      </c:pt>
                      <c:pt idx="19">
                        <c:v>1449.0190607320515</c:v>
                      </c:pt>
                      <c:pt idx="20">
                        <c:v>1834.6641371737151</c:v>
                      </c:pt>
                      <c:pt idx="21">
                        <c:v>2265.2380619308633</c:v>
                      </c:pt>
                      <c:pt idx="22">
                        <c:v>2742.6662024077323</c:v>
                      </c:pt>
                      <c:pt idx="23">
                        <c:v>3268.6670799138255</c:v>
                      </c:pt>
                      <c:pt idx="24">
                        <c:v>3844.7419295761019</c:v>
                      </c:pt>
                      <c:pt idx="25">
                        <c:v>4472.1672544334815</c:v>
                      </c:pt>
                      <c:pt idx="26">
                        <c:v>5151.9902048841468</c:v>
                      </c:pt>
                      <c:pt idx="27">
                        <c:v>5885.026587763592</c:v>
                      </c:pt>
                      <c:pt idx="28">
                        <c:v>6671.8612904837473</c:v>
                      </c:pt>
                      <c:pt idx="29">
                        <c:v>7512.8508938123423</c:v>
                      </c:pt>
                      <c:pt idx="30">
                        <c:v>8408.1282410135627</c:v>
                      </c:pt>
                      <c:pt idx="31">
                        <c:v>9357.6087302596025</c:v>
                      </c:pt>
                      <c:pt idx="32">
                        <c:v>10360.9981005841</c:v>
                      </c:pt>
                      <c:pt idx="33">
                        <c:v>11417.801488389685</c:v>
                      </c:pt>
                      <c:pt idx="34">
                        <c:v>12527.333540926498</c:v>
                      </c:pt>
                      <c:pt idx="35">
                        <c:v>13688.729384599294</c:v>
                      </c:pt>
                      <c:pt idx="36">
                        <c:v>14900.956258880506</c:v>
                      </c:pt>
                      <c:pt idx="37">
                        <c:v>16162.825640531903</c:v>
                      </c:pt>
                      <c:pt idx="38">
                        <c:v>17473.005697358061</c:v>
                      </c:pt>
                      <c:pt idx="39">
                        <c:v>18830.03392548933</c:v>
                      </c:pt>
                      <c:pt idx="40">
                        <c:v>20232.329838937181</c:v>
                      </c:pt>
                      <c:pt idx="41">
                        <c:v>21678.207594646181</c:v>
                      </c:pt>
                      <c:pt idx="42">
                        <c:v>23165.88845030497</c:v>
                      </c:pt>
                      <c:pt idx="43">
                        <c:v>24693.512965622511</c:v>
                      </c:pt>
                      <c:pt idx="44">
                        <c:v>26259.152870527236</c:v>
                      </c:pt>
                      <c:pt idx="45">
                        <c:v>27860.82253571926</c:v>
                      </c:pt>
                      <c:pt idx="46">
                        <c:v>29496.489992155854</c:v>
                      </c:pt>
                      <c:pt idx="47">
                        <c:v>31164.087456345878</c:v>
                      </c:pt>
                      <c:pt idx="48">
                        <c:v>32861.521327760573</c:v>
                      </c:pt>
                      <c:pt idx="49">
                        <c:v>34586.68163324138</c:v>
                      </c:pt>
                      <c:pt idx="50">
                        <c:v>36337.450901017648</c:v>
                      </c:pt>
                      <c:pt idx="51">
                        <c:v>38111.712453862892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8.0877110121096704E-2</c:v>
                      </c:pt>
                      <c:pt idx="1">
                        <c:v>0.19078058285797569</c:v>
                      </c:pt>
                      <c:pt idx="2">
                        <c:v>0.42006473616982504</c:v>
                      </c:pt>
                      <c:pt idx="3">
                        <c:v>0.86775022674912494</c:v>
                      </c:pt>
                      <c:pt idx="4">
                        <c:v>1.689761180149264</c:v>
                      </c:pt>
                      <c:pt idx="5">
                        <c:v>3.1153669447016239</c:v>
                      </c:pt>
                      <c:pt idx="6">
                        <c:v>5.4601556854821514</c:v>
                      </c:pt>
                      <c:pt idx="7">
                        <c:v>9.1314512225894653</c:v>
                      </c:pt>
                      <c:pt idx="8">
                        <c:v>14.622410655791434</c:v>
                      </c:pt>
                      <c:pt idx="9">
                        <c:v>22.492392368300699</c:v>
                      </c:pt>
                      <c:pt idx="10">
                        <c:v>33.333362870460796</c:v>
                      </c:pt>
                      <c:pt idx="11">
                        <c:v>47.724652229373199</c:v>
                      </c:pt>
                      <c:pt idx="12">
                        <c:v>66.18068189335429</c:v>
                      </c:pt>
                      <c:pt idx="13">
                        <c:v>89.097839099386988</c:v>
                      </c:pt>
                      <c:pt idx="14">
                        <c:v>116.7071251431189</c:v>
                      </c:pt>
                      <c:pt idx="15">
                        <c:v>149.03850348481308</c:v>
                      </c:pt>
                      <c:pt idx="16">
                        <c:v>185.90122244305948</c:v>
                      </c:pt>
                      <c:pt idx="17">
                        <c:v>226.88216852064869</c:v>
                      </c:pt>
                      <c:pt idx="18">
                        <c:v>271.36196573934939</c:v>
                      </c:pt>
                      <c:pt idx="19">
                        <c:v>318.5464746328189</c:v>
                      </c:pt>
                      <c:pt idx="20">
                        <c:v>367.50984382682964</c:v>
                      </c:pt>
                      <c:pt idx="21">
                        <c:v>417.24446009297264</c:v>
                      </c:pt>
                      <c:pt idx="22">
                        <c:v>466.71302128783401</c:v>
                      </c:pt>
                      <c:pt idx="23">
                        <c:v>514.89840672579533</c:v>
                      </c:pt>
                      <c:pt idx="24">
                        <c:v>560.84786742147367</c:v>
                      </c:pt>
                      <c:pt idx="25">
                        <c:v>603.70911459011154</c:v>
                      </c:pt>
                      <c:pt idx="26">
                        <c:v>642.75697734182779</c:v>
                      </c:pt>
                      <c:pt idx="27">
                        <c:v>677.41029710965358</c:v>
                      </c:pt>
                      <c:pt idx="28">
                        <c:v>707.23954141801096</c:v>
                      </c:pt>
                      <c:pt idx="29">
                        <c:v>731.96621253411342</c:v>
                      </c:pt>
                      <c:pt idx="30">
                        <c:v>751.45549380982436</c:v>
                      </c:pt>
                      <c:pt idx="31">
                        <c:v>765.70374071425306</c:v>
                      </c:pt>
                      <c:pt idx="32">
                        <c:v>774.82242264994784</c:v>
                      </c:pt>
                      <c:pt idx="33">
                        <c:v>779.01999965923881</c:v>
                      </c:pt>
                      <c:pt idx="34">
                        <c:v>778.58301815529956</c:v>
                      </c:pt>
                      <c:pt idx="35">
                        <c:v>773.85746968904925</c:v>
                      </c:pt>
                      <c:pt idx="36">
                        <c:v>765.23120662609756</c:v>
                      </c:pt>
                      <c:pt idx="37">
                        <c:v>753.1179704432401</c:v>
                      </c:pt>
                      <c:pt idx="38">
                        <c:v>737.94337638474371</c:v>
                      </c:pt>
                      <c:pt idx="39">
                        <c:v>720.13302019301511</c:v>
                      </c:pt>
                      <c:pt idx="40">
                        <c:v>700.10273114266931</c:v>
                      </c:pt>
                      <c:pt idx="41">
                        <c:v>678.25088969753142</c:v>
                      </c:pt>
                      <c:pt idx="42">
                        <c:v>654.95265437326339</c:v>
                      </c:pt>
                      <c:pt idx="43">
                        <c:v>630.55589620528417</c:v>
                      </c:pt>
                      <c:pt idx="44">
                        <c:v>605.37861545648082</c:v>
                      </c:pt>
                      <c:pt idx="45">
                        <c:v>579.70760877421935</c:v>
                      </c:pt>
                      <c:pt idx="46">
                        <c:v>553.79816130749418</c:v>
                      </c:pt>
                      <c:pt idx="47">
                        <c:v>527.87455332056993</c:v>
                      </c:pt>
                      <c:pt idx="48">
                        <c:v>502.1311912769475</c:v>
                      </c:pt>
                      <c:pt idx="49">
                        <c:v>476.7341966254171</c:v>
                      </c:pt>
                      <c:pt idx="50">
                        <c:v>451.82330963616783</c:v>
                      </c:pt>
                      <c:pt idx="51">
                        <c:v>427.51398919565526</c:v>
                      </c:pt>
                      <c:pt idx="52">
                        <c:v>403.89961153772055</c:v>
                      </c:pt>
                      <c:pt idx="53">
                        <c:v>381.05369088769828</c:v>
                      </c:pt>
                      <c:pt idx="54">
                        <c:v>359.03206262807203</c:v>
                      </c:pt>
                      <c:pt idx="55">
                        <c:v>337.87498478401602</c:v>
                      </c:pt>
                      <c:pt idx="56">
                        <c:v>317.60912641608456</c:v>
                      </c:pt>
                      <c:pt idx="57">
                        <c:v>298.24942206977528</c:v>
                      </c:pt>
                      <c:pt idx="58">
                        <c:v>279.80077995888672</c:v>
                      </c:pt>
                      <c:pt idx="59">
                        <c:v>262.25963830464087</c:v>
                      </c:pt>
                      <c:pt idx="60">
                        <c:v>245.61536944801159</c:v>
                      </c:pt>
                      <c:pt idx="61">
                        <c:v>229.85153524771499</c:v>
                      </c:pt>
                      <c:pt idx="62">
                        <c:v>214.94700007786071</c:v>
                      </c:pt>
                      <c:pt idx="63">
                        <c:v>200.87690966415317</c:v>
                      </c:pt>
                      <c:pt idx="64">
                        <c:v>187.61354520417405</c:v>
                      </c:pt>
                      <c:pt idx="65">
                        <c:v>175.1270628720205</c:v>
                      </c:pt>
                      <c:pt idx="66">
                        <c:v>163.38612903245769</c:v>
                      </c:pt>
                      <c:pt idx="67">
                        <c:v>152.35846138939507</c:v>
                      </c:pt>
                      <c:pt idx="68">
                        <c:v>142.01128596571814</c:v>
                      </c:pt>
                      <c:pt idx="69">
                        <c:v>132.3117193151738</c:v>
                      </c:pt>
                      <c:pt idx="70">
                        <c:v>123.2270847702179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227.64131692018296</c:v>
                      </c:pt>
                      <c:pt idx="1">
                        <c:v>227.77013744000587</c:v>
                      </c:pt>
                      <c:pt idx="2">
                        <c:v>228.06222514237359</c:v>
                      </c:pt>
                      <c:pt idx="3">
                        <c:v>228.68243538919955</c:v>
                      </c:pt>
                      <c:pt idx="4">
                        <c:v>229.92168134864286</c:v>
                      </c:pt>
                      <c:pt idx="5">
                        <c:v>232.2621868644444</c:v>
                      </c:pt>
                      <c:pt idx="6">
                        <c:v>236.45777502435811</c:v>
                      </c:pt>
                      <c:pt idx="7">
                        <c:v>243.6236948442928</c:v>
                      </c:pt>
                      <c:pt idx="8">
                        <c:v>255.32647752719785</c:v>
                      </c:pt>
                      <c:pt idx="9">
                        <c:v>273.6611453686304</c:v>
                      </c:pt>
                      <c:pt idx="10">
                        <c:v>301.30172264283453</c:v>
                      </c:pt>
                      <c:pt idx="11">
                        <c:v>341.51203071270572</c:v>
                      </c:pt>
                      <c:pt idx="12">
                        <c:v>398.10725981522273</c:v>
                      </c:pt>
                      <c:pt idx="13">
                        <c:v>475.36229046015086</c:v>
                      </c:pt>
                      <c:pt idx="14">
                        <c:v>577.86923631043635</c:v>
                      </c:pt>
                      <c:pt idx="15">
                        <c:v>710.35304824223329</c:v>
                      </c:pt>
                      <c:pt idx="16">
                        <c:v>877.4591847409431</c:v>
                      </c:pt>
                      <c:pt idx="17">
                        <c:v>1083.5305479856752</c:v>
                      </c:pt>
                      <c:pt idx="18">
                        <c:v>1332.3917627567057</c:v>
                      </c:pt>
                      <c:pt idx="19">
                        <c:v>1627.1575226333384</c:v>
                      </c:pt>
                      <c:pt idx="20">
                        <c:v>1970.0785766314546</c:v>
                      </c:pt>
                      <c:pt idx="21">
                        <c:v>2362.4346194291697</c:v>
                      </c:pt>
                      <c:pt idx="22">
                        <c:v>2804.4785798210237</c:v>
                      </c:pt>
                      <c:pt idx="23">
                        <c:v>3295.4322105680012</c:v>
                      </c:pt>
                      <c:pt idx="24">
                        <c:v>3833.5289561215527</c:v>
                      </c:pt>
                      <c:pt idx="25">
                        <c:v>4416.09711540023</c:v>
                      </c:pt>
                      <c:pt idx="26">
                        <c:v>5039.6744446302037</c:v>
                      </c:pt>
                      <c:pt idx="27">
                        <c:v>5700.1445267610916</c:v>
                      </c:pt>
                      <c:pt idx="28">
                        <c:v>6392.8853265543512</c:v>
                      </c:pt>
                      <c:pt idx="29">
                        <c:v>7112.9211485928226</c:v>
                      </c:pt>
                      <c:pt idx="30">
                        <c:v>7855.0704928728574</c:v>
                      </c:pt>
                      <c:pt idx="31">
                        <c:v>8614.0838430231634</c:v>
                      </c:pt>
                      <c:pt idx="32">
                        <c:v>9384.7670406559719</c:v>
                      </c:pt>
                      <c:pt idx="33">
                        <c:v>10162.087452786473</c:v>
                      </c:pt>
                      <c:pt idx="34">
                        <c:v>10941.261528079704</c:v>
                      </c:pt>
                      <c:pt idx="35">
                        <c:v>11717.82350383049</c:v>
                      </c:pt>
                      <c:pt idx="36">
                        <c:v>12487.675944226263</c:v>
                      </c:pt>
                      <c:pt idx="37">
                        <c:v>13247.12346361806</c:v>
                      </c:pt>
                      <c:pt idx="38">
                        <c:v>13992.891435564439</c:v>
                      </c:pt>
                      <c:pt idx="39">
                        <c:v>14722.131740267549</c:v>
                      </c:pt>
                      <c:pt idx="40">
                        <c:v>15432.417694742375</c:v>
                      </c:pt>
                      <c:pt idx="41">
                        <c:v>16121.730278706436</c:v>
                      </c:pt>
                      <c:pt idx="42">
                        <c:v>16788.437648000723</c:v>
                      </c:pt>
                      <c:pt idx="43">
                        <c:v>17431.269746725789</c:v>
                      </c:pt>
                      <c:pt idx="44">
                        <c:v>18049.289614275021</c:v>
                      </c:pt>
                      <c:pt idx="45">
                        <c:v>18641.862753524118</c:v>
                      </c:pt>
                      <c:pt idx="46">
                        <c:v>19208.625696884519</c:v>
                      </c:pt>
                      <c:pt idx="47">
                        <c:v>19749.454688499209</c:v>
                      </c:pt>
                      <c:pt idx="48">
                        <c:v>20264.435200194523</c:v>
                      </c:pt>
                      <c:pt idx="49">
                        <c:v>20753.832820227821</c:v>
                      </c:pt>
                      <c:pt idx="50">
                        <c:v>21218.065899252739</c:v>
                      </c:pt>
                      <c:pt idx="51">
                        <c:v>21657.680207074354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20.246220071526523</c:v>
                      </c:pt>
                      <c:pt idx="14">
                        <c:v>122.75316592181198</c:v>
                      </c:pt>
                      <c:pt idx="15">
                        <c:v>255.23697785360898</c:v>
                      </c:pt>
                      <c:pt idx="16">
                        <c:v>422.34311435231871</c:v>
                      </c:pt>
                      <c:pt idx="17">
                        <c:v>628.4144775970509</c:v>
                      </c:pt>
                      <c:pt idx="18">
                        <c:v>877.27569236808131</c:v>
                      </c:pt>
                      <c:pt idx="19">
                        <c:v>1172.041452244714</c:v>
                      </c:pt>
                      <c:pt idx="20">
                        <c:v>1514.9625062428302</c:v>
                      </c:pt>
                      <c:pt idx="21">
                        <c:v>1907.3185490405453</c:v>
                      </c:pt>
                      <c:pt idx="22">
                        <c:v>2349.3625094323993</c:v>
                      </c:pt>
                      <c:pt idx="23">
                        <c:v>2840.3161401793768</c:v>
                      </c:pt>
                      <c:pt idx="24">
                        <c:v>3378.4128857329283</c:v>
                      </c:pt>
                      <c:pt idx="25">
                        <c:v>3960.9810450116061</c:v>
                      </c:pt>
                      <c:pt idx="26">
                        <c:v>4584.5583742415802</c:v>
                      </c:pt>
                      <c:pt idx="27">
                        <c:v>5245.0284563724681</c:v>
                      </c:pt>
                      <c:pt idx="28">
                        <c:v>5937.7692561657277</c:v>
                      </c:pt>
                      <c:pt idx="29">
                        <c:v>6657.8050782041992</c:v>
                      </c:pt>
                      <c:pt idx="30">
                        <c:v>7399.9544224842339</c:v>
                      </c:pt>
                      <c:pt idx="31">
                        <c:v>8158.9677726345399</c:v>
                      </c:pt>
                      <c:pt idx="32">
                        <c:v>8929.6509702673484</c:v>
                      </c:pt>
                      <c:pt idx="33">
                        <c:v>9706.9713823978491</c:v>
                      </c:pt>
                      <c:pt idx="34">
                        <c:v>10486.14545769108</c:v>
                      </c:pt>
                      <c:pt idx="35">
                        <c:v>11262.707433441867</c:v>
                      </c:pt>
                      <c:pt idx="36">
                        <c:v>12032.559873837639</c:v>
                      </c:pt>
                      <c:pt idx="37">
                        <c:v>12792.007393229436</c:v>
                      </c:pt>
                      <c:pt idx="38">
                        <c:v>13537.775365175816</c:v>
                      </c:pt>
                      <c:pt idx="39">
                        <c:v>14267.015669878925</c:v>
                      </c:pt>
                      <c:pt idx="40">
                        <c:v>14977.301624353751</c:v>
                      </c:pt>
                      <c:pt idx="41">
                        <c:v>15666.614208317813</c:v>
                      </c:pt>
                      <c:pt idx="42">
                        <c:v>16333.321577612098</c:v>
                      </c:pt>
                      <c:pt idx="43">
                        <c:v>16976.153676337162</c:v>
                      </c:pt>
                      <c:pt idx="44">
                        <c:v>17594.173543886394</c:v>
                      </c:pt>
                      <c:pt idx="45">
                        <c:v>18186.74668313549</c:v>
                      </c:pt>
                      <c:pt idx="46">
                        <c:v>18753.509626495892</c:v>
                      </c:pt>
                      <c:pt idx="47">
                        <c:v>19294.338618110582</c:v>
                      </c:pt>
                      <c:pt idx="48">
                        <c:v>19809.319129805895</c:v>
                      </c:pt>
                      <c:pt idx="49">
                        <c:v>20298.716749839194</c:v>
                      </c:pt>
                      <c:pt idx="50">
                        <c:v>20762.949828864112</c:v>
                      </c:pt>
                      <c:pt idx="51">
                        <c:v>21202.564136685727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  <c15:filteredScatterSeries>
              <c15:ser>
                <c:idx val="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2314.2980322261733</c:v>
                      </c:pt>
                      <c:pt idx="1">
                        <c:v>2339.1876134802992</c:v>
                      </c:pt>
                      <c:pt idx="2">
                        <c:v>2381.1264466909497</c:v>
                      </c:pt>
                      <c:pt idx="3">
                        <c:v>2448.9248361839454</c:v>
                      </c:pt>
                      <c:pt idx="4">
                        <c:v>2554.3848943057965</c:v>
                      </c:pt>
                      <c:pt idx="5">
                        <c:v>2712.653361585395</c:v>
                      </c:pt>
                      <c:pt idx="6">
                        <c:v>2942.3887879327826</c:v>
                      </c:pt>
                      <c:pt idx="7">
                        <c:v>3265.6855362815536</c:v>
                      </c:pt>
                      <c:pt idx="8">
                        <c:v>3707.7196415113199</c:v>
                      </c:pt>
                      <c:pt idx="9">
                        <c:v>4296.1110833105513</c:v>
                      </c:pt>
                      <c:pt idx="10">
                        <c:v>5060.0287860853277</c:v>
                      </c:pt>
                      <c:pt idx="11">
                        <c:v>6029.093649374543</c:v>
                      </c:pt>
                      <c:pt idx="12">
                        <c:v>7232.156905483459</c:v>
                      </c:pt>
                      <c:pt idx="13">
                        <c:v>8696.043357029861</c:v>
                      </c:pt>
                      <c:pt idx="14">
                        <c:v>10444.350634332441</c:v>
                      </c:pt>
                      <c:pt idx="15">
                        <c:v>12496.387314278931</c:v>
                      </c:pt>
                      <c:pt idx="16">
                        <c:v>14866.316654319162</c:v>
                      </c:pt>
                      <c:pt idx="17">
                        <c:v>17562.551666518171</c:v>
                      </c:pt>
                      <c:pt idx="18">
                        <c:v>20587.424316537265</c:v>
                      </c:pt>
                      <c:pt idx="19">
                        <c:v>23937.129515979221</c:v>
                      </c:pt>
                      <c:pt idx="20">
                        <c:v>27601.925407813407</c:v>
                      </c:pt>
                      <c:pt idx="21">
                        <c:v>31566.556588475702</c:v>
                      </c:pt>
                      <c:pt idx="22">
                        <c:v>35810.856975320043</c:v>
                      </c:pt>
                      <c:pt idx="23">
                        <c:v>40310.483970708061</c:v>
                      </c:pt>
                      <c:pt idx="24">
                        <c:v>45037.734866135172</c:v>
                      </c:pt>
                      <c:pt idx="25">
                        <c:v>49962.399239340484</c:v>
                      </c:pt>
                      <c:pt idx="26">
                        <c:v>55052.606459065217</c:v>
                      </c:pt>
                      <c:pt idx="27">
                        <c:v>60275.634362181496</c:v>
                      </c:pt>
                      <c:pt idx="28">
                        <c:v>65598.652842491647</c:v>
                      </c:pt>
                      <c:pt idx="29">
                        <c:v>70989.383779753392</c:v>
                      </c:pt>
                      <c:pt idx="30">
                        <c:v>76416.66591263414</c:v>
                      </c:pt>
                      <c:pt idx="31">
                        <c:v>81850.919565790216</c:v>
                      </c:pt>
                      <c:pt idx="32">
                        <c:v>87264.511383980338</c:v>
                      </c:pt>
                      <c:pt idx="33">
                        <c:v>92632.023336714978</c:v>
                      </c:pt>
                      <c:pt idx="34">
                        <c:v>97930.433266237553</c:v>
                      </c:pt>
                      <c:pt idx="35">
                        <c:v>103139.21625464315</c:v>
                      </c:pt>
                      <c:pt idx="36">
                        <c:v>108240.37722021362</c:v>
                      </c:pt>
                      <c:pt idx="37">
                        <c:v>113218.42557156454</c:v>
                      </c:pt>
                      <c:pt idx="38">
                        <c:v>118060.30260817513</c:v>
                      </c:pt>
                      <c:pt idx="39">
                        <c:v>122755.27180247843</c:v>
                      </c:pt>
                      <c:pt idx="40">
                        <c:v>127294.781264638</c:v>
                      </c:pt>
                      <c:pt idx="41">
                        <c:v>131672.30668218291</c:v>
                      </c:pt>
                      <c:pt idx="42">
                        <c:v>135883.18193802985</c:v>
                      </c:pt>
                      <c:pt idx="43">
                        <c:v>139924.42350458543</c:v>
                      </c:pt>
                      <c:pt idx="44">
                        <c:v>143794.55364489509</c:v>
                      </c:pt>
                      <c:pt idx="45">
                        <c:v>147493.42645516191</c:v>
                      </c:pt>
                      <c:pt idx="46">
                        <c:v>151022.05988139898</c:v>
                      </c:pt>
                      <c:pt idx="47">
                        <c:v>154382.47604506835</c:v>
                      </c:pt>
                      <c:pt idx="48">
                        <c:v>157577.55152590448</c:v>
                      </c:pt>
                      <c:pt idx="49">
                        <c:v>160610.87866756108</c:v>
                      </c:pt>
                      <c:pt idx="50">
                        <c:v>163486.63849334573</c:v>
                      </c:pt>
                      <c:pt idx="51">
                        <c:v>166209.48542987194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480-4003-A92A-241054E60060}"/>
                  </c:ext>
                </c:extLst>
              </c15:ser>
            </c15:filteredScatterSeries>
            <c15:filteredScatterSeries>
              <c15:ser>
                <c:idx val="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489.6185245307156</c:v>
                      </c:pt>
                      <c:pt idx="11">
                        <c:v>1458.68338781993</c:v>
                      </c:pt>
                      <c:pt idx="12">
                        <c:v>2661.7466439288464</c:v>
                      </c:pt>
                      <c:pt idx="13">
                        <c:v>4125.6330954752484</c:v>
                      </c:pt>
                      <c:pt idx="14">
                        <c:v>5873.9403727778281</c:v>
                      </c:pt>
                      <c:pt idx="15">
                        <c:v>7925.9770527243172</c:v>
                      </c:pt>
                      <c:pt idx="16">
                        <c:v>10295.906392764547</c:v>
                      </c:pt>
                      <c:pt idx="17">
                        <c:v>12992.14140496356</c:v>
                      </c:pt>
                      <c:pt idx="18">
                        <c:v>16017.01405498265</c:v>
                      </c:pt>
                      <c:pt idx="19">
                        <c:v>19366.719254424606</c:v>
                      </c:pt>
                      <c:pt idx="20">
                        <c:v>23031.515146258793</c:v>
                      </c:pt>
                      <c:pt idx="21">
                        <c:v>26996.146326921087</c:v>
                      </c:pt>
                      <c:pt idx="22">
                        <c:v>31240.446713765428</c:v>
                      </c:pt>
                      <c:pt idx="23">
                        <c:v>35740.073709153447</c:v>
                      </c:pt>
                      <c:pt idx="24">
                        <c:v>40467.324604580557</c:v>
                      </c:pt>
                      <c:pt idx="25">
                        <c:v>45391.98897778587</c:v>
                      </c:pt>
                      <c:pt idx="26">
                        <c:v>50482.196197510602</c:v>
                      </c:pt>
                      <c:pt idx="27">
                        <c:v>55705.224100626881</c:v>
                      </c:pt>
                      <c:pt idx="28">
                        <c:v>61028.24258093704</c:v>
                      </c:pt>
                      <c:pt idx="29">
                        <c:v>66418.973518198778</c:v>
                      </c:pt>
                      <c:pt idx="30">
                        <c:v>71846.255651079526</c:v>
                      </c:pt>
                      <c:pt idx="31">
                        <c:v>77280.509304235602</c:v>
                      </c:pt>
                      <c:pt idx="32">
                        <c:v>82694.101122425724</c:v>
                      </c:pt>
                      <c:pt idx="33">
                        <c:v>88061.613075160363</c:v>
                      </c:pt>
                      <c:pt idx="34">
                        <c:v>93360.023004682938</c:v>
                      </c:pt>
                      <c:pt idx="35">
                        <c:v>98568.805993088536</c:v>
                      </c:pt>
                      <c:pt idx="36">
                        <c:v>103669.966958659</c:v>
                      </c:pt>
                      <c:pt idx="37">
                        <c:v>108648.01531000993</c:v>
                      </c:pt>
                      <c:pt idx="38">
                        <c:v>113489.89234662052</c:v>
                      </c:pt>
                      <c:pt idx="39">
                        <c:v>118184.86154092381</c:v>
                      </c:pt>
                      <c:pt idx="40">
                        <c:v>122724.37100308339</c:v>
                      </c:pt>
                      <c:pt idx="41">
                        <c:v>127101.89642062831</c:v>
                      </c:pt>
                      <c:pt idx="42">
                        <c:v>131312.77167647527</c:v>
                      </c:pt>
                      <c:pt idx="43">
                        <c:v>135354.01324303084</c:v>
                      </c:pt>
                      <c:pt idx="44">
                        <c:v>139224.1433833405</c:v>
                      </c:pt>
                      <c:pt idx="45">
                        <c:v>142923.01619360733</c:v>
                      </c:pt>
                      <c:pt idx="46">
                        <c:v>146451.64961984439</c:v>
                      </c:pt>
                      <c:pt idx="47">
                        <c:v>149812.06578351377</c:v>
                      </c:pt>
                      <c:pt idx="48">
                        <c:v>153007.14126434989</c:v>
                      </c:pt>
                      <c:pt idx="49">
                        <c:v>156040.46840600649</c:v>
                      </c:pt>
                      <c:pt idx="50">
                        <c:v>158916.22823179114</c:v>
                      </c:pt>
                      <c:pt idx="51">
                        <c:v>161639.07516831736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Gompertz'!$AF$40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Gompertz'!$AF$33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Gompertz'!$AG$40</c:f>
              <c:numCache>
                <c:formatCode>0.0000</c:formatCode>
                <c:ptCount val="1"/>
                <c:pt idx="0">
                  <c:v>0.99984162157560508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Gompertz'!$AF$42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Gompertz'!$AG$42</c:f>
              <c:numCache>
                <c:formatCode>0</c:formatCode>
                <c:ptCount val="1"/>
                <c:pt idx="0">
                  <c:v>227.55803519431217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Gompertz'!$AF$43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Gompertz'!$AG$43</c:f>
              <c:numCache>
                <c:formatCode>0</c:formatCode>
                <c:ptCount val="1"/>
                <c:pt idx="0">
                  <c:v>27860.328992869359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Gompertz'!$AF$27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Gompertz'!$AF$20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Gompertz'!$AG$27</c:f>
              <c:numCache>
                <c:formatCode>0.0000</c:formatCode>
                <c:ptCount val="1"/>
                <c:pt idx="0">
                  <c:v>0.99943069455436695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Gompertz'!$AF$29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Gompertz'!$AG$29</c:f>
              <c:numCache>
                <c:formatCode>0</c:formatCode>
                <c:ptCount val="1"/>
                <c:pt idx="0">
                  <c:v>672.80997276735263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Gompertz'!$AF$30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Gompertz'!$AG$30</c:f>
              <c:numCache>
                <c:formatCode>0</c:formatCode>
                <c:ptCount val="1"/>
                <c:pt idx="0">
                  <c:v>177293.05160542074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Gompertz'!$AF$14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Gompertz'!$AF$7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Gompertz'!$AG$14</c:f>
              <c:numCache>
                <c:formatCode>0.0000</c:formatCode>
                <c:ptCount val="1"/>
                <c:pt idx="0">
                  <c:v>0.99974848566890206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Gompertz'!$AF$16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Gompertz'!$AG$16</c:f>
              <c:numCache>
                <c:formatCode>0</c:formatCode>
                <c:ptCount val="1"/>
                <c:pt idx="0">
                  <c:v>2285.2051307773063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Gompertz'!$AF$17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Gompertz'!$AG$17</c:f>
              <c:numCache>
                <c:formatCode>0</c:formatCode>
                <c:ptCount val="1"/>
                <c:pt idx="0">
                  <c:v>205153.3805982901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Generalized Gompertz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Gompertz'!$H$7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Gompertz'!$H$8:$H$243</c:f>
              <c:numCache>
                <c:formatCode>0</c:formatCode>
                <c:ptCount val="236"/>
                <c:pt idx="0">
                  <c:v>18.645364091270956</c:v>
                </c:pt>
                <c:pt idx="1">
                  <c:v>32.172946266085056</c:v>
                </c:pt>
                <c:pt idx="2">
                  <c:v>53.165120772773747</c:v>
                </c:pt>
                <c:pt idx="3">
                  <c:v>84.392625703302087</c:v>
                </c:pt>
                <c:pt idx="4">
                  <c:v>129.04901967932224</c:v>
                </c:pt>
                <c:pt idx="5">
                  <c:v>190.59885368880842</c:v>
                </c:pt>
                <c:pt idx="6">
                  <c:v>272.56028132125113</c:v>
                </c:pt>
                <c:pt idx="7">
                  <c:v>378.23991378149003</c:v>
                </c:pt>
                <c:pt idx="8">
                  <c:v>510.44667785960928</c:v>
                </c:pt>
                <c:pt idx="9">
                  <c:v>671.21616400653943</c:v>
                </c:pt>
                <c:pt idx="10">
                  <c:v>861.57663642170246</c:v>
                </c:pt>
                <c:pt idx="11">
                  <c:v>1081.3827959344978</c:v>
                </c:pt>
                <c:pt idx="12">
                  <c:v>1329.2347294841763</c:v>
                </c:pt>
                <c:pt idx="13">
                  <c:v>1602.4889709225556</c:v>
                </c:pt>
                <c:pt idx="14">
                  <c:v>1897.3580605344055</c:v>
                </c:pt>
                <c:pt idx="15">
                  <c:v>2209.0859782425355</c:v>
                </c:pt>
                <c:pt idx="16">
                  <c:v>2532.1803842309614</c:v>
                </c:pt>
                <c:pt idx="17">
                  <c:v>2860.6791887580921</c:v>
                </c:pt>
                <c:pt idx="18">
                  <c:v>3188.4285103669636</c:v>
                </c:pt>
                <c:pt idx="19">
                  <c:v>3509.3510869307825</c:v>
                </c:pt>
                <c:pt idx="20">
                  <c:v>3817.6879648215645</c:v>
                </c:pt>
                <c:pt idx="21">
                  <c:v>4108.2010284564303</c:v>
                </c:pt>
                <c:pt idx="22">
                  <c:v>4376.3289277673803</c:v>
                </c:pt>
                <c:pt idx="23">
                  <c:v>4618.2936403374979</c:v>
                </c:pt>
                <c:pt idx="24">
                  <c:v>4831.1588739863364</c:v>
                </c:pt>
                <c:pt idx="25">
                  <c:v>5012.8445600823879</c:v>
                </c:pt>
                <c:pt idx="26">
                  <c:v>5162.1037483613136</c:v>
                </c:pt>
                <c:pt idx="27">
                  <c:v>5278.46934790663</c:v>
                </c:pt>
                <c:pt idx="28">
                  <c:v>5362.1784997632221</c:v>
                </c:pt>
                <c:pt idx="29">
                  <c:v>5414.0820865722981</c:v>
                </c:pt>
                <c:pt idx="30">
                  <c:v>5435.5461649926592</c:v>
                </c:pt>
                <c:pt idx="31">
                  <c:v>5428.3511164309921</c:v>
                </c:pt>
                <c:pt idx="32">
                  <c:v>5394.5931948337584</c:v>
                </c:pt>
                <c:pt idx="33">
                  <c:v>5336.5920199631682</c:v>
                </c:pt>
                <c:pt idx="34">
                  <c:v>5256.8065021586217</c:v>
                </c:pt>
                <c:pt idx="35">
                  <c:v>5157.760742401998</c:v>
                </c:pt>
                <c:pt idx="36">
                  <c:v>5041.9806577364943</c:v>
                </c:pt>
                <c:pt idx="37">
                  <c:v>4911.9414457360481</c:v>
                </c:pt>
                <c:pt idx="38">
                  <c:v>4770.0255182388237</c:v>
                </c:pt>
                <c:pt idx="39">
                  <c:v>4618.4901902511037</c:v>
                </c:pt>
                <c:pt idx="40">
                  <c:v>4459.4441861900268</c:v>
                </c:pt>
                <c:pt idx="41">
                  <c:v>4294.8319014268318</c:v>
                </c:pt>
                <c:pt idx="42">
                  <c:v>4126.4243118687209</c:v>
                </c:pt>
                <c:pt idx="43">
                  <c:v>3955.8154384545392</c:v>
                </c:pt>
                <c:pt idx="44">
                  <c:v>3784.4233300986725</c:v>
                </c:pt>
                <c:pt idx="45">
                  <c:v>3613.4946132470682</c:v>
                </c:pt>
                <c:pt idx="46">
                  <c:v>3444.1117572461817</c:v>
                </c:pt>
                <c:pt idx="47">
                  <c:v>3277.2023129882023</c:v>
                </c:pt>
                <c:pt idx="48">
                  <c:v>3113.549491108377</c:v>
                </c:pt>
                <c:pt idx="49">
                  <c:v>2953.8035504287691</c:v>
                </c:pt>
                <c:pt idx="50">
                  <c:v>2798.493564328433</c:v>
                </c:pt>
                <c:pt idx="51">
                  <c:v>2648.0392202184166</c:v>
                </c:pt>
                <c:pt idx="52">
                  <c:v>2502.7623845414778</c:v>
                </c:pt>
                <c:pt idx="53">
                  <c:v>2362.8982324151762</c:v>
                </c:pt>
                <c:pt idx="54">
                  <c:v>2228.6057975643484</c:v>
                </c:pt>
                <c:pt idx="55">
                  <c:v>2099.9778452240516</c:v>
                </c:pt>
                <c:pt idx="56">
                  <c:v>1977.0500090743585</c:v>
                </c:pt>
                <c:pt idx="57">
                  <c:v>1859.8091639761972</c:v>
                </c:pt>
                <c:pt idx="58">
                  <c:v>1748.2010303324755</c:v>
                </c:pt>
                <c:pt idx="59">
                  <c:v>1642.1370242135445</c:v>
                </c:pt>
                <c:pt idx="60">
                  <c:v>1541.5003809366169</c:v>
                </c:pt>
                <c:pt idx="61">
                  <c:v>1446.1515893439166</c:v>
                </c:pt>
                <c:pt idx="62">
                  <c:v>1355.9331803703417</c:v>
                </c:pt>
                <c:pt idx="63">
                  <c:v>1270.6739172331845</c:v>
                </c:pt>
                <c:pt idx="64">
                  <c:v>1190.1924363063738</c:v>
                </c:pt>
                <c:pt idx="65">
                  <c:v>1114.3003878877876</c:v>
                </c:pt>
                <c:pt idx="66">
                  <c:v>1042.8051250730907</c:v>
                </c:pt>
                <c:pt idx="67">
                  <c:v>975.51198707415438</c:v>
                </c:pt>
                <c:pt idx="68">
                  <c:v>912.22622088626827</c:v>
                </c:pt>
                <c:pt idx="69">
                  <c:v>852.75458237660405</c:v>
                </c:pt>
                <c:pt idx="70">
                  <c:v>796.90665483050441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Gompertz'!$N$7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Gompertz'!$N$8:$N$243</c:f>
              <c:numCache>
                <c:formatCode>0</c:formatCode>
                <c:ptCount val="236"/>
                <c:pt idx="0">
                  <c:v>16.929691242327316</c:v>
                </c:pt>
                <c:pt idx="1">
                  <c:v>28.865174191986323</c:v>
                </c:pt>
                <c:pt idx="2">
                  <c:v>47.313600508303551</c:v>
                </c:pt>
                <c:pt idx="3">
                  <c:v>74.703573344401619</c:v>
                </c:pt>
                <c:pt idx="4">
                  <c:v>113.81976062045918</c:v>
                </c:pt>
                <c:pt idx="5">
                  <c:v>167.64397229888843</c:v>
                </c:pt>
                <c:pt idx="6">
                  <c:v>239.13349779827519</c:v>
                </c:pt>
                <c:pt idx="7">
                  <c:v>330.95825888058499</c:v>
                </c:pt>
                <c:pt idx="8">
                  <c:v>445.22709540764384</c:v>
                </c:pt>
                <c:pt idx="9">
                  <c:v>583.23698606864286</c:v>
                </c:pt>
                <c:pt idx="10">
                  <c:v>745.27659431294603</c:v>
                </c:pt>
                <c:pt idx="11">
                  <c:v>930.50796764227312</c:v>
                </c:pt>
                <c:pt idx="12">
                  <c:v>1136.9392894556349</c:v>
                </c:pt>
                <c:pt idx="13">
                  <c:v>1361.4895504433134</c:v>
                </c:pt>
                <c:pt idx="14">
                  <c:v>1600.135031623282</c:v>
                </c:pt>
                <c:pt idx="15">
                  <c:v>1848.1191864310317</c:v>
                </c:pt>
                <c:pt idx="16">
                  <c:v>2100.2027188781808</c:v>
                </c:pt>
                <c:pt idx="17">
                  <c:v>2350.9294562067375</c:v>
                </c:pt>
                <c:pt idx="18">
                  <c:v>2594.885483807424</c:v>
                </c:pt>
                <c:pt idx="19">
                  <c:v>2826.9330661607682</c:v>
                </c:pt>
                <c:pt idx="20">
                  <c:v>3042.4061269107647</c:v>
                </c:pt>
                <c:pt idx="21">
                  <c:v>3237.2595924581938</c:v>
                </c:pt>
                <c:pt idx="22">
                  <c:v>3408.1700075316617</c:v>
                </c:pt>
                <c:pt idx="23">
                  <c:v>3552.5890480000667</c:v>
                </c:pt>
                <c:pt idx="24">
                  <c:v>3668.7546658054498</c:v>
                </c:pt>
                <c:pt idx="25">
                  <c:v>3755.666578802181</c:v>
                </c:pt>
                <c:pt idx="26">
                  <c:v>3813.0337766127927</c:v>
                </c:pt>
                <c:pt idx="27">
                  <c:v>3841.2018423108229</c:v>
                </c:pt>
                <c:pt idx="28">
                  <c:v>3841.0674079720748</c:v>
                </c:pt>
                <c:pt idx="29">
                  <c:v>3813.9861826319407</c:v>
                </c:pt>
                <c:pt idx="30">
                  <c:v>3761.6798987891289</c:v>
                </c:pt>
                <c:pt idx="31">
                  <c:v>3686.1463645638992</c:v>
                </c:pt>
                <c:pt idx="32">
                  <c:v>3589.5756889937202</c:v>
                </c:pt>
                <c:pt idx="33">
                  <c:v>3474.2747365971932</c:v>
                </c:pt>
                <c:pt idx="34">
                  <c:v>3342.6010025517821</c:v>
                </c:pt>
                <c:pt idx="35">
                  <c:v>3196.9063960267617</c:v>
                </c:pt>
                <c:pt idx="36">
                  <c:v>3039.4908743507112</c:v>
                </c:pt>
                <c:pt idx="37">
                  <c:v>2872.5654717160401</c:v>
                </c:pt>
                <c:pt idx="38">
                  <c:v>2698.2239941939124</c:v>
                </c:pt>
                <c:pt idx="39">
                  <c:v>2518.4224864490534</c:v>
                </c:pt>
                <c:pt idx="40">
                  <c:v>2334.9654934458381</c:v>
                </c:pt>
                <c:pt idx="41">
                  <c:v>2149.498122501233</c:v>
                </c:pt>
                <c:pt idx="42">
                  <c:v>1963.5029400778301</c:v>
                </c:pt>
                <c:pt idx="43">
                  <c:v>1778.3007986797625</c:v>
                </c:pt>
                <c:pt idx="44">
                  <c:v>1595.054770379295</c:v>
                </c:pt>
                <c:pt idx="45">
                  <c:v>1414.7764553602819</c:v>
                </c:pt>
                <c:pt idx="46">
                  <c:v>1238.3340294429065</c:v>
                </c:pt>
                <c:pt idx="47">
                  <c:v>1066.4614886526824</c:v>
                </c:pt>
                <c:pt idx="48">
                  <c:v>899.76863813501404</c:v>
                </c:pt>
                <c:pt idx="49">
                  <c:v>738.7514547292285</c:v>
                </c:pt>
                <c:pt idx="50">
                  <c:v>583.80252621485238</c:v>
                </c:pt>
                <c:pt idx="51">
                  <c:v>435.2213349794909</c:v>
                </c:pt>
                <c:pt idx="52">
                  <c:v>293.22420979167129</c:v>
                </c:pt>
                <c:pt idx="53">
                  <c:v>157.95381678152455</c:v>
                </c:pt>
                <c:pt idx="54">
                  <c:v>29.488100302317889</c:v>
                </c:pt>
                <c:pt idx="55">
                  <c:v>-92.151383180666869</c:v>
                </c:pt>
                <c:pt idx="56">
                  <c:v>-206.99176885563998</c:v>
                </c:pt>
                <c:pt idx="57">
                  <c:v>-315.10183498757249</c:v>
                </c:pt>
                <c:pt idx="58">
                  <c:v>-416.58559598866913</c:v>
                </c:pt>
                <c:pt idx="59">
                  <c:v>-511.57651911513307</c:v>
                </c:pt>
                <c:pt idx="60">
                  <c:v>-600.23233801726235</c:v>
                </c:pt>
                <c:pt idx="61">
                  <c:v>-682.73043035493788</c:v>
                </c:pt>
                <c:pt idx="62">
                  <c:v>-759.26372283050239</c:v>
                </c:pt>
                <c:pt idx="63">
                  <c:v>-830.03708489587757</c:v>
                </c:pt>
                <c:pt idx="64">
                  <c:v>-895.26417162381404</c:v>
                </c:pt>
                <c:pt idx="65">
                  <c:v>-955.16467653030611</c:v>
                </c:pt>
                <c:pt idx="66">
                  <c:v>-1009.9619561733258</c:v>
                </c:pt>
                <c:pt idx="67">
                  <c:v>-1059.8809899733496</c:v>
                </c:pt>
                <c:pt idx="68">
                  <c:v>-1105.146640677302</c:v>
                </c:pt>
                <c:pt idx="69">
                  <c:v>-1145.9821831154645</c:v>
                </c:pt>
                <c:pt idx="70">
                  <c:v>-1182.6080712528492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Gompertz'!$S$7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Gompertz'!$S$8:$S$243</c:f>
              <c:numCache>
                <c:formatCode>0</c:formatCode>
                <c:ptCount val="236"/>
                <c:pt idx="0">
                  <c:v>1.6347957388225418</c:v>
                </c:pt>
                <c:pt idx="1">
                  <c:v>3.1169914912407557</c:v>
                </c:pt>
                <c:pt idx="2">
                  <c:v>5.4314555283003676</c:v>
                </c:pt>
                <c:pt idx="3">
                  <c:v>8.8213021321513452</c:v>
                </c:pt>
                <c:pt idx="4">
                  <c:v>13.539497878713805</c:v>
                </c:pt>
                <c:pt idx="5">
                  <c:v>19.839514445218363</c:v>
                </c:pt>
                <c:pt idx="6">
                  <c:v>27.966627837493778</c:v>
                </c:pt>
                <c:pt idx="7">
                  <c:v>38.150203678315563</c:v>
                </c:pt>
                <c:pt idx="8">
                  <c:v>50.59717179617401</c:v>
                </c:pt>
                <c:pt idx="9">
                  <c:v>65.486785569595938</c:v>
                </c:pt>
                <c:pt idx="10">
                  <c:v>82.966679238295697</c:v>
                </c:pt>
                <c:pt idx="11">
                  <c:v>103.15017606285157</c:v>
                </c:pt>
                <c:pt idx="12">
                  <c:v>126.11475813518713</c:v>
                </c:pt>
                <c:pt idx="13">
                  <c:v>151.90158137985526</c:v>
                </c:pt>
                <c:pt idx="14">
                  <c:v>180.51590376800448</c:v>
                </c:pt>
                <c:pt idx="15">
                  <c:v>211.92828832669068</c:v>
                </c:pt>
                <c:pt idx="16">
                  <c:v>246.07644290972118</c:v>
                </c:pt>
                <c:pt idx="17">
                  <c:v>282.86756403070621</c:v>
                </c:pt>
                <c:pt idx="18">
                  <c:v>322.18106082019023</c:v>
                </c:pt>
                <c:pt idx="19">
                  <c:v>363.87154613719514</c:v>
                </c:pt>
                <c:pt idx="20">
                  <c:v>407.77199408397024</c:v>
                </c:pt>
                <c:pt idx="21">
                  <c:v>453.69697590526408</c:v>
                </c:pt>
                <c:pt idx="22">
                  <c:v>501.44589894788464</c:v>
                </c:pt>
                <c:pt idx="23">
                  <c:v>550.80618561163601</c:v>
                </c:pt>
                <c:pt idx="24">
                  <c:v>601.55634075941271</c:v>
                </c:pt>
                <c:pt idx="25">
                  <c:v>653.46886669009575</c:v>
                </c:pt>
                <c:pt idx="26">
                  <c:v>706.31299440669306</c:v>
                </c:pt>
                <c:pt idx="27">
                  <c:v>759.85720848615381</c:v>
                </c:pt>
                <c:pt idx="28">
                  <c:v>813.87155037313676</c:v>
                </c:pt>
                <c:pt idx="29">
                  <c:v>868.12969140624432</c:v>
                </c:pt>
                <c:pt idx="30">
                  <c:v>922.41077239370554</c:v>
                </c:pt>
                <c:pt idx="31">
                  <c:v>976.50101115284031</c:v>
                </c:pt>
                <c:pt idx="32">
                  <c:v>1030.1950831900908</c:v>
                </c:pt>
                <c:pt idx="33">
                  <c:v>1083.2972837067366</c:v>
                </c:pt>
                <c:pt idx="34">
                  <c:v>1135.6224814515394</c:v>
                </c:pt>
                <c:pt idx="35">
                  <c:v>1186.9968766861871</c:v>
                </c:pt>
                <c:pt idx="36">
                  <c:v>1237.2585767596856</c:v>
                </c:pt>
                <c:pt idx="37">
                  <c:v>1286.2580035767676</c:v>
                </c:pt>
                <c:pt idx="38">
                  <c:v>1333.8581476601678</c:v>
                </c:pt>
                <c:pt idx="39">
                  <c:v>1379.9346836090353</c:v>
                </c:pt>
                <c:pt idx="40">
                  <c:v>1424.3759616015193</c:v>
                </c:pt>
                <c:pt idx="41">
                  <c:v>1467.0828892280674</c:v>
                </c:pt>
                <c:pt idx="42">
                  <c:v>1507.9687174176274</c:v>
                </c:pt>
                <c:pt idx="43">
                  <c:v>1546.9587435694928</c:v>
                </c:pt>
                <c:pt idx="44">
                  <c:v>1583.9899442628964</c:v>
                </c:pt>
                <c:pt idx="45">
                  <c:v>1619.0105491125669</c:v>
                </c:pt>
                <c:pt idx="46">
                  <c:v>1651.979566495781</c:v>
                </c:pt>
                <c:pt idx="47">
                  <c:v>1682.8662710149499</c:v>
                </c:pt>
                <c:pt idx="48">
                  <c:v>1711.6496616964155</c:v>
                </c:pt>
                <c:pt idx="49">
                  <c:v>1738.3178990741235</c:v>
                </c:pt>
                <c:pt idx="50">
                  <c:v>1762.8677284774128</c:v>
                </c:pt>
                <c:pt idx="51">
                  <c:v>1785.3038960432705</c:v>
                </c:pt>
                <c:pt idx="52">
                  <c:v>1805.638563212086</c:v>
                </c:pt>
                <c:pt idx="53">
                  <c:v>1823.8907247459533</c:v>
                </c:pt>
                <c:pt idx="54">
                  <c:v>1840.0856346339585</c:v>
                </c:pt>
                <c:pt idx="55">
                  <c:v>1854.2542436207025</c:v>
                </c:pt>
                <c:pt idx="56">
                  <c:v>1866.4326515139139</c:v>
                </c:pt>
                <c:pt idx="57">
                  <c:v>1876.6615768939944</c:v>
                </c:pt>
                <c:pt idx="58">
                  <c:v>1884.9858463622579</c:v>
                </c:pt>
                <c:pt idx="59">
                  <c:v>1891.4539050240367</c:v>
                </c:pt>
                <c:pt idx="60">
                  <c:v>1896.1173495058677</c:v>
                </c:pt>
                <c:pt idx="61">
                  <c:v>1899.0304844511395</c:v>
                </c:pt>
                <c:pt idx="62">
                  <c:v>1900.2499031229834</c:v>
                </c:pt>
                <c:pt idx="63">
                  <c:v>1899.834092464909</c:v>
                </c:pt>
                <c:pt idx="64">
                  <c:v>1897.8430627260138</c:v>
                </c:pt>
                <c:pt idx="65">
                  <c:v>1894.3380015460732</c:v>
                </c:pt>
                <c:pt idx="66">
                  <c:v>1889.3809522139588</c:v>
                </c:pt>
                <c:pt idx="67">
                  <c:v>1883.0345156581088</c:v>
                </c:pt>
                <c:pt idx="68">
                  <c:v>1875.3615755978522</c:v>
                </c:pt>
                <c:pt idx="69">
                  <c:v>1866.4250461768947</c:v>
                </c:pt>
                <c:pt idx="70">
                  <c:v>1856.2876413131355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Gompertz'!$AA$7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Gompertz'!$AA$8:$AA$243</c:f>
              <c:numCache>
                <c:formatCode>0</c:formatCode>
                <c:ptCount val="236"/>
                <c:pt idx="0">
                  <c:v>8.0877110121096704E-2</c:v>
                </c:pt>
                <c:pt idx="1">
                  <c:v>0.19078058285797569</c:v>
                </c:pt>
                <c:pt idx="2">
                  <c:v>0.42006473616982504</c:v>
                </c:pt>
                <c:pt idx="3">
                  <c:v>0.86775022674912494</c:v>
                </c:pt>
                <c:pt idx="4">
                  <c:v>1.689761180149264</c:v>
                </c:pt>
                <c:pt idx="5">
                  <c:v>3.1153669447016239</c:v>
                </c:pt>
                <c:pt idx="6">
                  <c:v>5.4601556854821514</c:v>
                </c:pt>
                <c:pt idx="7">
                  <c:v>9.1314512225894653</c:v>
                </c:pt>
                <c:pt idx="8">
                  <c:v>14.622410655791434</c:v>
                </c:pt>
                <c:pt idx="9">
                  <c:v>22.492392368300699</c:v>
                </c:pt>
                <c:pt idx="10">
                  <c:v>33.333362870460796</c:v>
                </c:pt>
                <c:pt idx="11">
                  <c:v>47.724652229373199</c:v>
                </c:pt>
                <c:pt idx="12">
                  <c:v>66.18068189335429</c:v>
                </c:pt>
                <c:pt idx="13">
                  <c:v>89.097839099386988</c:v>
                </c:pt>
                <c:pt idx="14">
                  <c:v>116.7071251431189</c:v>
                </c:pt>
                <c:pt idx="15">
                  <c:v>149.03850348481308</c:v>
                </c:pt>
                <c:pt idx="16">
                  <c:v>185.90122244305948</c:v>
                </c:pt>
                <c:pt idx="17">
                  <c:v>226.88216852064869</c:v>
                </c:pt>
                <c:pt idx="18">
                  <c:v>271.36196573934939</c:v>
                </c:pt>
                <c:pt idx="19">
                  <c:v>318.5464746328189</c:v>
                </c:pt>
                <c:pt idx="20">
                  <c:v>367.50984382682964</c:v>
                </c:pt>
                <c:pt idx="21">
                  <c:v>417.24446009297264</c:v>
                </c:pt>
                <c:pt idx="22">
                  <c:v>466.71302128783401</c:v>
                </c:pt>
                <c:pt idx="23">
                  <c:v>514.89840672579533</c:v>
                </c:pt>
                <c:pt idx="24">
                  <c:v>560.84786742147367</c:v>
                </c:pt>
                <c:pt idx="25">
                  <c:v>603.70911459011154</c:v>
                </c:pt>
                <c:pt idx="26">
                  <c:v>642.75697734182779</c:v>
                </c:pt>
                <c:pt idx="27">
                  <c:v>677.41029710965358</c:v>
                </c:pt>
                <c:pt idx="28">
                  <c:v>707.23954141801096</c:v>
                </c:pt>
                <c:pt idx="29">
                  <c:v>731.96621253411342</c:v>
                </c:pt>
                <c:pt idx="30">
                  <c:v>751.45549380982436</c:v>
                </c:pt>
                <c:pt idx="31">
                  <c:v>765.70374071425306</c:v>
                </c:pt>
                <c:pt idx="32">
                  <c:v>774.82242264994784</c:v>
                </c:pt>
                <c:pt idx="33">
                  <c:v>779.01999965923881</c:v>
                </c:pt>
                <c:pt idx="34">
                  <c:v>778.58301815529956</c:v>
                </c:pt>
                <c:pt idx="35">
                  <c:v>773.85746968904925</c:v>
                </c:pt>
                <c:pt idx="36">
                  <c:v>765.23120662609756</c:v>
                </c:pt>
                <c:pt idx="37">
                  <c:v>753.1179704432401</c:v>
                </c:pt>
                <c:pt idx="38">
                  <c:v>737.94337638474371</c:v>
                </c:pt>
                <c:pt idx="39">
                  <c:v>720.13302019301511</c:v>
                </c:pt>
                <c:pt idx="40">
                  <c:v>700.10273114266931</c:v>
                </c:pt>
                <c:pt idx="41">
                  <c:v>678.25088969753142</c:v>
                </c:pt>
                <c:pt idx="42">
                  <c:v>654.95265437326339</c:v>
                </c:pt>
                <c:pt idx="43">
                  <c:v>630.55589620528417</c:v>
                </c:pt>
                <c:pt idx="44">
                  <c:v>605.37861545648082</c:v>
                </c:pt>
                <c:pt idx="45">
                  <c:v>579.70760877421935</c:v>
                </c:pt>
                <c:pt idx="46">
                  <c:v>553.79816130749418</c:v>
                </c:pt>
                <c:pt idx="47">
                  <c:v>527.87455332056993</c:v>
                </c:pt>
                <c:pt idx="48">
                  <c:v>502.1311912769475</c:v>
                </c:pt>
                <c:pt idx="49">
                  <c:v>476.7341966254171</c:v>
                </c:pt>
                <c:pt idx="50">
                  <c:v>451.82330963616783</c:v>
                </c:pt>
                <c:pt idx="51">
                  <c:v>427.51398919565526</c:v>
                </c:pt>
                <c:pt idx="52">
                  <c:v>403.89961153772055</c:v>
                </c:pt>
                <c:pt idx="53">
                  <c:v>381.05369088769828</c:v>
                </c:pt>
                <c:pt idx="54">
                  <c:v>359.03206262807203</c:v>
                </c:pt>
                <c:pt idx="55">
                  <c:v>337.87498478401602</c:v>
                </c:pt>
                <c:pt idx="56">
                  <c:v>317.60912641608456</c:v>
                </c:pt>
                <c:pt idx="57">
                  <c:v>298.24942206977528</c:v>
                </c:pt>
                <c:pt idx="58">
                  <c:v>279.80077995888672</c:v>
                </c:pt>
                <c:pt idx="59">
                  <c:v>262.25963830464087</c:v>
                </c:pt>
                <c:pt idx="60">
                  <c:v>245.61536944801159</c:v>
                </c:pt>
                <c:pt idx="61">
                  <c:v>229.85153524771499</c:v>
                </c:pt>
                <c:pt idx="62">
                  <c:v>214.94700007786071</c:v>
                </c:pt>
                <c:pt idx="63">
                  <c:v>200.87690966415317</c:v>
                </c:pt>
                <c:pt idx="64">
                  <c:v>187.61354520417405</c:v>
                </c:pt>
                <c:pt idx="65">
                  <c:v>175.1270628720205</c:v>
                </c:pt>
                <c:pt idx="66">
                  <c:v>163.38612903245769</c:v>
                </c:pt>
                <c:pt idx="67">
                  <c:v>152.35846138939507</c:v>
                </c:pt>
                <c:pt idx="68">
                  <c:v>142.01128596571814</c:v>
                </c:pt>
                <c:pt idx="69">
                  <c:v>132.3117193151738</c:v>
                </c:pt>
                <c:pt idx="70">
                  <c:v>123.2270847702179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Gompertz'!$J$7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Gompertz'!$C$8:$C$243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Gompertz'!$J$8:$J$243</c15:sqref>
                        </c15:formulaRef>
                      </c:ext>
                    </c:extLst>
                    <c:numCache>
                      <c:formatCode>0</c:formatCode>
                      <c:ptCount val="236"/>
                      <c:pt idx="0">
                        <c:v>1180.620515542274</c:v>
                      </c:pt>
                      <c:pt idx="1">
                        <c:v>1194.1480977170881</c:v>
                      </c:pt>
                      <c:pt idx="2">
                        <c:v>1215.1402722237767</c:v>
                      </c:pt>
                      <c:pt idx="3">
                        <c:v>1246.3677771543053</c:v>
                      </c:pt>
                      <c:pt idx="4">
                        <c:v>1291.0241711303254</c:v>
                      </c:pt>
                      <c:pt idx="5">
                        <c:v>1352.5740051398116</c:v>
                      </c:pt>
                      <c:pt idx="6">
                        <c:v>1434.5354327722541</c:v>
                      </c:pt>
                      <c:pt idx="7">
                        <c:v>1540.2150652324931</c:v>
                      </c:pt>
                      <c:pt idx="8">
                        <c:v>1672.4218293106123</c:v>
                      </c:pt>
                      <c:pt idx="9">
                        <c:v>1833.1913154575425</c:v>
                      </c:pt>
                      <c:pt idx="10">
                        <c:v>2023.5517878727055</c:v>
                      </c:pt>
                      <c:pt idx="11">
                        <c:v>2243.3579473855007</c:v>
                      </c:pt>
                      <c:pt idx="12">
                        <c:v>2491.2098809351792</c:v>
                      </c:pt>
                      <c:pt idx="13">
                        <c:v>2764.4641223735589</c:v>
                      </c:pt>
                      <c:pt idx="14">
                        <c:v>3059.3332119854085</c:v>
                      </c:pt>
                      <c:pt idx="15">
                        <c:v>3371.0611296935385</c:v>
                      </c:pt>
                      <c:pt idx="16">
                        <c:v>3694.1555356819645</c:v>
                      </c:pt>
                      <c:pt idx="17">
                        <c:v>4022.6543402090952</c:v>
                      </c:pt>
                      <c:pt idx="18">
                        <c:v>4350.4036618179671</c:v>
                      </c:pt>
                      <c:pt idx="19">
                        <c:v>4671.3262383817855</c:v>
                      </c:pt>
                      <c:pt idx="20">
                        <c:v>4979.663116272568</c:v>
                      </c:pt>
                      <c:pt idx="21">
                        <c:v>5270.1761799074338</c:v>
                      </c:pt>
                      <c:pt idx="22">
                        <c:v>5538.3040792183838</c:v>
                      </c:pt>
                      <c:pt idx="23">
                        <c:v>5780.2687917885014</c:v>
                      </c:pt>
                      <c:pt idx="24">
                        <c:v>5993.134025437339</c:v>
                      </c:pt>
                      <c:pt idx="25">
                        <c:v>6174.8197115333915</c:v>
                      </c:pt>
                      <c:pt idx="26">
                        <c:v>6324.0788998123171</c:v>
                      </c:pt>
                      <c:pt idx="27">
                        <c:v>6440.4444993576326</c:v>
                      </c:pt>
                      <c:pt idx="28">
                        <c:v>6524.1536512142247</c:v>
                      </c:pt>
                      <c:pt idx="29">
                        <c:v>6576.0572380233007</c:v>
                      </c:pt>
                      <c:pt idx="30">
                        <c:v>6597.5213164436627</c:v>
                      </c:pt>
                      <c:pt idx="31">
                        <c:v>6590.3262678819956</c:v>
                      </c:pt>
                      <c:pt idx="32">
                        <c:v>6556.568346284761</c:v>
                      </c:pt>
                      <c:pt idx="33">
                        <c:v>6498.5671714141718</c:v>
                      </c:pt>
                      <c:pt idx="34">
                        <c:v>6418.7816536096252</c:v>
                      </c:pt>
                      <c:pt idx="35">
                        <c:v>6319.7358938530015</c:v>
                      </c:pt>
                      <c:pt idx="36">
                        <c:v>6203.9558091874969</c:v>
                      </c:pt>
                      <c:pt idx="37">
                        <c:v>6073.9165971870516</c:v>
                      </c:pt>
                      <c:pt idx="38">
                        <c:v>5932.0006696898272</c:v>
                      </c:pt>
                      <c:pt idx="39">
                        <c:v>5780.4653417021073</c:v>
                      </c:pt>
                      <c:pt idx="40">
                        <c:v>5621.4193376410294</c:v>
                      </c:pt>
                      <c:pt idx="41">
                        <c:v>5456.8070528778353</c:v>
                      </c:pt>
                      <c:pt idx="42">
                        <c:v>5288.3994633197235</c:v>
                      </c:pt>
                      <c:pt idx="43">
                        <c:v>5117.7905899055422</c:v>
                      </c:pt>
                      <c:pt idx="44">
                        <c:v>4946.3984815496751</c:v>
                      </c:pt>
                      <c:pt idx="45">
                        <c:v>4775.4697646980712</c:v>
                      </c:pt>
                      <c:pt idx="46">
                        <c:v>4606.0869086971852</c:v>
                      </c:pt>
                      <c:pt idx="47">
                        <c:v>4439.1774644392053</c:v>
                      </c:pt>
                      <c:pt idx="48">
                        <c:v>4275.5246425593796</c:v>
                      </c:pt>
                      <c:pt idx="49">
                        <c:v>4115.7787018797717</c:v>
                      </c:pt>
                      <c:pt idx="50">
                        <c:v>3960.468715779436</c:v>
                      </c:pt>
                      <c:pt idx="51">
                        <c:v>3810.0143716694197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Gompertz'!$C$8:$C$243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Gompertz'!$K$8:$K$243</c15:sqref>
                        </c15:formulaRef>
                      </c:ext>
                    </c:extLst>
                    <c:numCache>
                      <c:formatCode>0</c:formatCode>
                      <c:ptCount val="2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167.25957803317328</c:v>
                      </c:pt>
                      <c:pt idx="13">
                        <c:v>440.51381947155255</c:v>
                      </c:pt>
                      <c:pt idx="14">
                        <c:v>735.38290908340241</c:v>
                      </c:pt>
                      <c:pt idx="15">
                        <c:v>1047.1108267915324</c:v>
                      </c:pt>
                      <c:pt idx="16">
                        <c:v>1370.2052327799584</c:v>
                      </c:pt>
                      <c:pt idx="17">
                        <c:v>1698.704037307089</c:v>
                      </c:pt>
                      <c:pt idx="18">
                        <c:v>2026.4533589159605</c:v>
                      </c:pt>
                      <c:pt idx="19">
                        <c:v>2347.3759354797794</c:v>
                      </c:pt>
                      <c:pt idx="20">
                        <c:v>2655.7128133705614</c:v>
                      </c:pt>
                      <c:pt idx="21">
                        <c:v>2946.2258770054273</c:v>
                      </c:pt>
                      <c:pt idx="22">
                        <c:v>3214.3537763163772</c:v>
                      </c:pt>
                      <c:pt idx="23">
                        <c:v>3456.3184888864948</c:v>
                      </c:pt>
                      <c:pt idx="24">
                        <c:v>3669.1837225353333</c:v>
                      </c:pt>
                      <c:pt idx="25">
                        <c:v>3850.8694086313849</c:v>
                      </c:pt>
                      <c:pt idx="26">
                        <c:v>4000.1285969103105</c:v>
                      </c:pt>
                      <c:pt idx="27">
                        <c:v>4116.4941964556274</c:v>
                      </c:pt>
                      <c:pt idx="28">
                        <c:v>4200.2033483122195</c:v>
                      </c:pt>
                      <c:pt idx="29">
                        <c:v>4252.1069351212955</c:v>
                      </c:pt>
                      <c:pt idx="30">
                        <c:v>4273.5710135416557</c:v>
                      </c:pt>
                      <c:pt idx="31">
                        <c:v>4266.3759649799886</c:v>
                      </c:pt>
                      <c:pt idx="32">
                        <c:v>4232.6180433827558</c:v>
                      </c:pt>
                      <c:pt idx="33">
                        <c:v>4174.6168685121647</c:v>
                      </c:pt>
                      <c:pt idx="34">
                        <c:v>4094.8313507076186</c:v>
                      </c:pt>
                      <c:pt idx="35">
                        <c:v>3995.7855909509949</c:v>
                      </c:pt>
                      <c:pt idx="36">
                        <c:v>3880.0055062854913</c:v>
                      </c:pt>
                      <c:pt idx="37">
                        <c:v>3749.966294285045</c:v>
                      </c:pt>
                      <c:pt idx="38">
                        <c:v>3608.0503667878206</c:v>
                      </c:pt>
                      <c:pt idx="39">
                        <c:v>3456.5150388001007</c:v>
                      </c:pt>
                      <c:pt idx="40">
                        <c:v>3297.4690347390238</c:v>
                      </c:pt>
                      <c:pt idx="41">
                        <c:v>3132.8567499758287</c:v>
                      </c:pt>
                      <c:pt idx="42">
                        <c:v>2964.4491604177178</c:v>
                      </c:pt>
                      <c:pt idx="43">
                        <c:v>2793.8402870035361</c:v>
                      </c:pt>
                      <c:pt idx="44">
                        <c:v>2622.4481786476695</c:v>
                      </c:pt>
                      <c:pt idx="45">
                        <c:v>2451.5194617960651</c:v>
                      </c:pt>
                      <c:pt idx="46">
                        <c:v>2282.1366057951786</c:v>
                      </c:pt>
                      <c:pt idx="47">
                        <c:v>2115.2271615371992</c:v>
                      </c:pt>
                      <c:pt idx="48">
                        <c:v>1951.5743396573739</c:v>
                      </c:pt>
                      <c:pt idx="49">
                        <c:v>1791.828398977766</c:v>
                      </c:pt>
                      <c:pt idx="50">
                        <c:v>1636.5184128774299</c:v>
                      </c:pt>
                      <c:pt idx="51">
                        <c:v>1486.0640687674136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Gompertz'!$C$8:$C$243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Gompertz'!$U$8:$U$243</c15:sqref>
                        </c15:formulaRef>
                      </c:ext>
                    </c:extLst>
                    <c:numCache>
                      <c:formatCode>0</c:formatCode>
                      <c:ptCount val="236"/>
                      <c:pt idx="0">
                        <c:v>581.751991392028</c:v>
                      </c:pt>
                      <c:pt idx="1">
                        <c:v>583.23418714444631</c:v>
                      </c:pt>
                      <c:pt idx="2">
                        <c:v>585.54865118150587</c:v>
                      </c:pt>
                      <c:pt idx="3">
                        <c:v>588.93849778535684</c:v>
                      </c:pt>
                      <c:pt idx="4">
                        <c:v>593.65669353191936</c:v>
                      </c:pt>
                      <c:pt idx="5">
                        <c:v>599.95671009842386</c:v>
                      </c:pt>
                      <c:pt idx="6">
                        <c:v>608.08382349069927</c:v>
                      </c:pt>
                      <c:pt idx="7">
                        <c:v>618.26739933152112</c:v>
                      </c:pt>
                      <c:pt idx="8">
                        <c:v>630.71436744937955</c:v>
                      </c:pt>
                      <c:pt idx="9">
                        <c:v>645.60398122280139</c:v>
                      </c:pt>
                      <c:pt idx="10">
                        <c:v>663.08387489150118</c:v>
                      </c:pt>
                      <c:pt idx="11">
                        <c:v>683.26737171605703</c:v>
                      </c:pt>
                      <c:pt idx="12">
                        <c:v>706.23195378839262</c:v>
                      </c:pt>
                      <c:pt idx="13">
                        <c:v>732.01877703306081</c:v>
                      </c:pt>
                      <c:pt idx="14">
                        <c:v>760.63309942120998</c:v>
                      </c:pt>
                      <c:pt idx="15">
                        <c:v>792.04548397989618</c:v>
                      </c:pt>
                      <c:pt idx="16">
                        <c:v>826.19363856292671</c:v>
                      </c:pt>
                      <c:pt idx="17">
                        <c:v>862.98475968391176</c:v>
                      </c:pt>
                      <c:pt idx="18">
                        <c:v>902.29825647339567</c:v>
                      </c:pt>
                      <c:pt idx="19">
                        <c:v>943.98874179040058</c:v>
                      </c:pt>
                      <c:pt idx="20">
                        <c:v>987.88918973717568</c:v>
                      </c:pt>
                      <c:pt idx="21">
                        <c:v>1033.8141715584695</c:v>
                      </c:pt>
                      <c:pt idx="22">
                        <c:v>1081.5630946010901</c:v>
                      </c:pt>
                      <c:pt idx="23">
                        <c:v>1130.9233812648415</c:v>
                      </c:pt>
                      <c:pt idx="24">
                        <c:v>1181.6735364126182</c:v>
                      </c:pt>
                      <c:pt idx="25">
                        <c:v>1233.5860623433014</c:v>
                      </c:pt>
                      <c:pt idx="26">
                        <c:v>1286.4301900598985</c:v>
                      </c:pt>
                      <c:pt idx="27">
                        <c:v>1339.9744041393592</c:v>
                      </c:pt>
                      <c:pt idx="28">
                        <c:v>1393.9887460263421</c:v>
                      </c:pt>
                      <c:pt idx="29">
                        <c:v>1448.2468870594498</c:v>
                      </c:pt>
                      <c:pt idx="30">
                        <c:v>1502.5279680469112</c:v>
                      </c:pt>
                      <c:pt idx="31">
                        <c:v>1556.6182068060457</c:v>
                      </c:pt>
                      <c:pt idx="32">
                        <c:v>1610.3122788432963</c:v>
                      </c:pt>
                      <c:pt idx="33">
                        <c:v>1663.4144793599421</c:v>
                      </c:pt>
                      <c:pt idx="34">
                        <c:v>1715.7396771047449</c:v>
                      </c:pt>
                      <c:pt idx="35">
                        <c:v>1767.1140723393926</c:v>
                      </c:pt>
                      <c:pt idx="36">
                        <c:v>1817.3757724128911</c:v>
                      </c:pt>
                      <c:pt idx="37">
                        <c:v>1866.3751992299731</c:v>
                      </c:pt>
                      <c:pt idx="38">
                        <c:v>1913.9753433133733</c:v>
                      </c:pt>
                      <c:pt idx="39">
                        <c:v>1960.0518792622408</c:v>
                      </c:pt>
                      <c:pt idx="40">
                        <c:v>2004.4931572547248</c:v>
                      </c:pt>
                      <c:pt idx="41">
                        <c:v>2047.2000848812729</c:v>
                      </c:pt>
                      <c:pt idx="42">
                        <c:v>2088.0859130708332</c:v>
                      </c:pt>
                      <c:pt idx="43">
                        <c:v>2127.0759392226983</c:v>
                      </c:pt>
                      <c:pt idx="44">
                        <c:v>2164.1071399161019</c:v>
                      </c:pt>
                      <c:pt idx="45">
                        <c:v>2199.1277447657721</c:v>
                      </c:pt>
                      <c:pt idx="46">
                        <c:v>2232.0967621489863</c:v>
                      </c:pt>
                      <c:pt idx="47">
                        <c:v>2262.9834666681554</c:v>
                      </c:pt>
                      <c:pt idx="48">
                        <c:v>2291.7668573496212</c:v>
                      </c:pt>
                      <c:pt idx="49">
                        <c:v>2318.4350947273288</c:v>
                      </c:pt>
                      <c:pt idx="50">
                        <c:v>2342.9849241306183</c:v>
                      </c:pt>
                      <c:pt idx="51">
                        <c:v>2365.4210916964757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Gompertz'!$C$8:$C$243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Gompertz'!$V$8:$V$243</c15:sqref>
                        </c15:formulaRef>
                      </c:ext>
                    </c:extLst>
                    <c:numCache>
                      <c:formatCode>0</c:formatCode>
                      <c:ptCount val="2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21.439145106207206</c:v>
                      </c:pt>
                      <c:pt idx="25">
                        <c:v>73.351671036890252</c:v>
                      </c:pt>
                      <c:pt idx="26">
                        <c:v>126.19579875348757</c:v>
                      </c:pt>
                      <c:pt idx="27">
                        <c:v>179.74001283294831</c:v>
                      </c:pt>
                      <c:pt idx="28">
                        <c:v>233.75435471993126</c:v>
                      </c:pt>
                      <c:pt idx="29">
                        <c:v>288.01249575303882</c:v>
                      </c:pt>
                      <c:pt idx="30">
                        <c:v>342.29357674050004</c:v>
                      </c:pt>
                      <c:pt idx="31">
                        <c:v>396.38381549963481</c:v>
                      </c:pt>
                      <c:pt idx="32">
                        <c:v>450.07788753688533</c:v>
                      </c:pt>
                      <c:pt idx="33">
                        <c:v>503.18008805353111</c:v>
                      </c:pt>
                      <c:pt idx="34">
                        <c:v>555.50528579833394</c:v>
                      </c:pt>
                      <c:pt idx="35">
                        <c:v>606.87968103298158</c:v>
                      </c:pt>
                      <c:pt idx="36">
                        <c:v>657.14138110648014</c:v>
                      </c:pt>
                      <c:pt idx="37">
                        <c:v>706.14080792356208</c:v>
                      </c:pt>
                      <c:pt idx="38">
                        <c:v>753.74095200696229</c:v>
                      </c:pt>
                      <c:pt idx="39">
                        <c:v>799.81748795582985</c:v>
                      </c:pt>
                      <c:pt idx="40">
                        <c:v>844.25876594831379</c:v>
                      </c:pt>
                      <c:pt idx="41">
                        <c:v>886.96569357486192</c:v>
                      </c:pt>
                      <c:pt idx="42">
                        <c:v>927.85152176442193</c:v>
                      </c:pt>
                      <c:pt idx="43">
                        <c:v>966.84154791628725</c:v>
                      </c:pt>
                      <c:pt idx="44">
                        <c:v>1003.8727486096909</c:v>
                      </c:pt>
                      <c:pt idx="45">
                        <c:v>1038.8933534593614</c:v>
                      </c:pt>
                      <c:pt idx="46">
                        <c:v>1071.8623708425755</c:v>
                      </c:pt>
                      <c:pt idx="47">
                        <c:v>1102.7490753617444</c:v>
                      </c:pt>
                      <c:pt idx="48">
                        <c:v>1131.53246604321</c:v>
                      </c:pt>
                      <c:pt idx="49">
                        <c:v>1158.200703420918</c:v>
                      </c:pt>
                      <c:pt idx="50">
                        <c:v>1182.7505328242073</c:v>
                      </c:pt>
                      <c:pt idx="51">
                        <c:v>1205.186700390065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Gompertz'!$C$8:$C$243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Gompertz'!$AC$8:$AC$243</c15:sqref>
                        </c15:formulaRef>
                      </c:ext>
                    </c:extLst>
                    <c:numCache>
                      <c:formatCode>0</c:formatCode>
                      <c:ptCount val="236"/>
                      <c:pt idx="0">
                        <c:v>153.41326874074682</c:v>
                      </c:pt>
                      <c:pt idx="1">
                        <c:v>153.52317221348369</c:v>
                      </c:pt>
                      <c:pt idx="2">
                        <c:v>153.75245636679554</c:v>
                      </c:pt>
                      <c:pt idx="3">
                        <c:v>154.20014185737486</c:v>
                      </c:pt>
                      <c:pt idx="4">
                        <c:v>155.022152810775</c:v>
                      </c:pt>
                      <c:pt idx="5">
                        <c:v>156.44775857532736</c:v>
                      </c:pt>
                      <c:pt idx="6">
                        <c:v>158.79254731610789</c:v>
                      </c:pt>
                      <c:pt idx="7">
                        <c:v>162.4638428532152</c:v>
                      </c:pt>
                      <c:pt idx="8">
                        <c:v>167.95480228641716</c:v>
                      </c:pt>
                      <c:pt idx="9">
                        <c:v>175.82478399892642</c:v>
                      </c:pt>
                      <c:pt idx="10">
                        <c:v>186.66575450108652</c:v>
                      </c:pt>
                      <c:pt idx="11">
                        <c:v>201.05704385999891</c:v>
                      </c:pt>
                      <c:pt idx="12">
                        <c:v>219.51307352398001</c:v>
                      </c:pt>
                      <c:pt idx="13">
                        <c:v>242.43023073001271</c:v>
                      </c:pt>
                      <c:pt idx="14">
                        <c:v>270.03951677374459</c:v>
                      </c:pt>
                      <c:pt idx="15">
                        <c:v>302.37089511543877</c:v>
                      </c:pt>
                      <c:pt idx="16">
                        <c:v>339.2336140736852</c:v>
                      </c:pt>
                      <c:pt idx="17">
                        <c:v>380.21456015127444</c:v>
                      </c:pt>
                      <c:pt idx="18">
                        <c:v>424.69435736997514</c:v>
                      </c:pt>
                      <c:pt idx="19">
                        <c:v>471.87886626344459</c:v>
                      </c:pt>
                      <c:pt idx="20">
                        <c:v>520.84223545745533</c:v>
                      </c:pt>
                      <c:pt idx="21">
                        <c:v>570.57685172359834</c:v>
                      </c:pt>
                      <c:pt idx="22">
                        <c:v>620.04541291845976</c:v>
                      </c:pt>
                      <c:pt idx="23">
                        <c:v>668.23079835642102</c:v>
                      </c:pt>
                      <c:pt idx="24">
                        <c:v>714.18025905209936</c:v>
                      </c:pt>
                      <c:pt idx="25">
                        <c:v>757.04150622073723</c:v>
                      </c:pt>
                      <c:pt idx="26">
                        <c:v>796.08936897245349</c:v>
                      </c:pt>
                      <c:pt idx="27">
                        <c:v>830.74268874027928</c:v>
                      </c:pt>
                      <c:pt idx="28">
                        <c:v>860.57193304863665</c:v>
                      </c:pt>
                      <c:pt idx="29">
                        <c:v>885.29860416473912</c:v>
                      </c:pt>
                      <c:pt idx="30">
                        <c:v>904.78788544045005</c:v>
                      </c:pt>
                      <c:pt idx="31">
                        <c:v>919.03613234487875</c:v>
                      </c:pt>
                      <c:pt idx="32">
                        <c:v>928.15481428057353</c:v>
                      </c:pt>
                      <c:pt idx="33">
                        <c:v>932.3523912898645</c:v>
                      </c:pt>
                      <c:pt idx="34">
                        <c:v>931.91540978592525</c:v>
                      </c:pt>
                      <c:pt idx="35">
                        <c:v>927.18986131967495</c:v>
                      </c:pt>
                      <c:pt idx="36">
                        <c:v>918.56359825672325</c:v>
                      </c:pt>
                      <c:pt idx="37">
                        <c:v>906.45036207386579</c:v>
                      </c:pt>
                      <c:pt idx="38">
                        <c:v>891.27576801536941</c:v>
                      </c:pt>
                      <c:pt idx="39">
                        <c:v>873.46541182364081</c:v>
                      </c:pt>
                      <c:pt idx="40">
                        <c:v>853.43512277329501</c:v>
                      </c:pt>
                      <c:pt idx="41">
                        <c:v>831.58328132815711</c:v>
                      </c:pt>
                      <c:pt idx="42">
                        <c:v>808.28504600388908</c:v>
                      </c:pt>
                      <c:pt idx="43">
                        <c:v>783.88828783590986</c:v>
                      </c:pt>
                      <c:pt idx="44">
                        <c:v>758.71100708710651</c:v>
                      </c:pt>
                      <c:pt idx="45">
                        <c:v>733.04000040484505</c:v>
                      </c:pt>
                      <c:pt idx="46">
                        <c:v>707.13055293811988</c:v>
                      </c:pt>
                      <c:pt idx="47">
                        <c:v>681.20694495119562</c:v>
                      </c:pt>
                      <c:pt idx="48">
                        <c:v>655.46358290757325</c:v>
                      </c:pt>
                      <c:pt idx="49">
                        <c:v>630.06658825604279</c:v>
                      </c:pt>
                      <c:pt idx="50">
                        <c:v>605.15570126679359</c:v>
                      </c:pt>
                      <c:pt idx="51">
                        <c:v>580.84638082628101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Gompertz'!$C$8:$C$243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Gompertz'!$AD$8:$AD$243</c15:sqref>
                        </c15:formulaRef>
                      </c:ext>
                    </c:extLst>
                    <c:numCache>
                      <c:formatCode>0</c:formatCode>
                      <c:ptCount val="2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32.56883081243376</c:v>
                      </c:pt>
                      <c:pt idx="17">
                        <c:v>73.549776890022969</c:v>
                      </c:pt>
                      <c:pt idx="18">
                        <c:v>118.02957410872366</c:v>
                      </c:pt>
                      <c:pt idx="19">
                        <c:v>165.21408300219318</c:v>
                      </c:pt>
                      <c:pt idx="20">
                        <c:v>214.17745219620392</c:v>
                      </c:pt>
                      <c:pt idx="21">
                        <c:v>263.91206846234695</c:v>
                      </c:pt>
                      <c:pt idx="22">
                        <c:v>313.38062965720826</c:v>
                      </c:pt>
                      <c:pt idx="23">
                        <c:v>361.56601509516963</c:v>
                      </c:pt>
                      <c:pt idx="24">
                        <c:v>407.51547579084797</c:v>
                      </c:pt>
                      <c:pt idx="25">
                        <c:v>450.37672295948585</c:v>
                      </c:pt>
                      <c:pt idx="26">
                        <c:v>489.4245857112021</c:v>
                      </c:pt>
                      <c:pt idx="27">
                        <c:v>524.07790547902789</c:v>
                      </c:pt>
                      <c:pt idx="28">
                        <c:v>553.90714978738526</c:v>
                      </c:pt>
                      <c:pt idx="29">
                        <c:v>578.63382090348773</c:v>
                      </c:pt>
                      <c:pt idx="30">
                        <c:v>598.12310217919867</c:v>
                      </c:pt>
                      <c:pt idx="31">
                        <c:v>612.37134908362736</c:v>
                      </c:pt>
                      <c:pt idx="32">
                        <c:v>621.49003101932215</c:v>
                      </c:pt>
                      <c:pt idx="33">
                        <c:v>625.68760802861311</c:v>
                      </c:pt>
                      <c:pt idx="34">
                        <c:v>625.25062652467386</c:v>
                      </c:pt>
                      <c:pt idx="35">
                        <c:v>620.52507805842356</c:v>
                      </c:pt>
                      <c:pt idx="36">
                        <c:v>611.89881499547187</c:v>
                      </c:pt>
                      <c:pt idx="37">
                        <c:v>599.7855788126144</c:v>
                      </c:pt>
                      <c:pt idx="38">
                        <c:v>584.61098475411802</c:v>
                      </c:pt>
                      <c:pt idx="39">
                        <c:v>566.80062856238942</c:v>
                      </c:pt>
                      <c:pt idx="40">
                        <c:v>546.77033951204362</c:v>
                      </c:pt>
                      <c:pt idx="41">
                        <c:v>524.91849806690573</c:v>
                      </c:pt>
                      <c:pt idx="42">
                        <c:v>501.62026274263769</c:v>
                      </c:pt>
                      <c:pt idx="43">
                        <c:v>477.22350457465848</c:v>
                      </c:pt>
                      <c:pt idx="44">
                        <c:v>452.04622382585512</c:v>
                      </c:pt>
                      <c:pt idx="45">
                        <c:v>426.37521714359366</c:v>
                      </c:pt>
                      <c:pt idx="46">
                        <c:v>400.46576967686849</c:v>
                      </c:pt>
                      <c:pt idx="47">
                        <c:v>374.54216168994424</c:v>
                      </c:pt>
                      <c:pt idx="48">
                        <c:v>348.79879964632175</c:v>
                      </c:pt>
                      <c:pt idx="49">
                        <c:v>323.40180499479141</c:v>
                      </c:pt>
                      <c:pt idx="50">
                        <c:v>298.49091800554208</c:v>
                      </c:pt>
                      <c:pt idx="51">
                        <c:v>274.18159756502951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Gompertz'!$E$7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Gompertz'!$E$8:$E$243</c:f>
              <c:numCache>
                <c:formatCode>0</c:formatCode>
                <c:ptCount val="236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8"/>
          <c:order val="4"/>
          <c:tx>
            <c:strRef>
              <c:f>'New_confirmed - Gompertz'!$M$7</c:f>
              <c:strCache>
                <c:ptCount val="1"/>
                <c:pt idx="0">
                  <c:v>New_positive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Gompertz'!$M$8:$M$243</c:f>
              <c:numCache>
                <c:formatCode>0</c:formatCode>
                <c:ptCount val="236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F5B-4E09-90F1-E61A18B2A20F}"/>
            </c:ext>
          </c:extLst>
        </c:ser>
        <c:ser>
          <c:idx val="10"/>
          <c:order val="6"/>
          <c:tx>
            <c:strRef>
              <c:f>'New_confirmed - Gompertz'!$P$7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Gompertz'!$P$8:$P$243</c:f>
              <c:numCache>
                <c:formatCode>0</c:formatCode>
                <c:ptCount val="236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Gompertz'!$X$7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Gompertz'!$C$8:$C$243</c:f>
              <c:numCache>
                <c:formatCode>General</c:formatCode>
                <c:ptCount val="2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Gompertz'!$X$8:$X$243</c:f>
              <c:numCache>
                <c:formatCode>0</c:formatCode>
                <c:ptCount val="236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Gompertz'!$AF$40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Gompertz'!$AG$33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Gompertz'!$AG$40</c:f>
              <c:numCache>
                <c:formatCode>0.0000</c:formatCode>
                <c:ptCount val="1"/>
                <c:pt idx="0">
                  <c:v>0.96644282959119976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Gompertz'!$AF$42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Gompertz'!$AG$33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Gompertz'!$AG$42</c:f>
              <c:numCache>
                <c:formatCode>0</c:formatCode>
                <c:ptCount val="1"/>
                <c:pt idx="0">
                  <c:v>153.33239163062572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Gompertz'!$AF$43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Gompertz'!$AG$33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Gompertz'!$AG$43</c:f>
              <c:numCache>
                <c:formatCode>0</c:formatCode>
                <c:ptCount val="1"/>
                <c:pt idx="0">
                  <c:v>779.36468043779109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Gompertz'!$AF$44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Gompertz'!$AG$33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Gompertz'!$AG$44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Gompertz'!$AF$27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Gompertz'!$AG$20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Gompertz'!$AG$27</c:f>
              <c:numCache>
                <c:formatCode>0.0000</c:formatCode>
                <c:ptCount val="1"/>
                <c:pt idx="0">
                  <c:v>0.88024612519231404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Gompertz'!$AF$29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Gompertz'!$AG$20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Gompertz'!$AG$29</c:f>
              <c:numCache>
                <c:formatCode>0</c:formatCode>
                <c:ptCount val="1"/>
                <c:pt idx="0">
                  <c:v>580.1171956532055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Gompertz'!$AF$30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Gompertz'!$AG$20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Gompertz'!$AG$30</c:f>
              <c:numCache>
                <c:formatCode>0</c:formatCode>
                <c:ptCount val="1"/>
                <c:pt idx="0">
                  <c:v>624.8058272121591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Gompertz'!$AF$31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Gompertz'!$AG$20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Gompertz'!$AG$31</c:f>
              <c:numCache>
                <c:formatCode>[$-409]mmmm\ d\,\ yyyy;@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Gompertz'!$AF$14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Gompertz'!$AG$14</c:f>
              <c:numCache>
                <c:formatCode>0.0000</c:formatCode>
                <c:ptCount val="1"/>
                <c:pt idx="0">
                  <c:v>0.95880575970792059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Gompertz'!$AF$16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Gompertz'!$AG$16</c:f>
              <c:numCache>
                <c:formatCode>0</c:formatCode>
                <c:ptCount val="1"/>
                <c:pt idx="0">
                  <c:v>1161.9751514510031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Gompertz'!$AF$17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Gompertz'!$AG$17</c:f>
              <c:numCache>
                <c:formatCode>0</c:formatCode>
                <c:ptCount val="1"/>
                <c:pt idx="0">
                  <c:v>5435.9203837300902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Gompertz'!$AF$18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Gompertz'!$AG$18</c:f>
              <c:numCache>
                <c:formatCode>[$-409]mmmm\ d\,\ yyyy;@</c:formatCode>
                <c:ptCount val="1"/>
                <c:pt idx="0">
                  <c:v>43915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20747" y="21751636"/>
          <a:ext cx="6935586" cy="6213072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31" name="Gruppo 30">
          <a:extLst>
            <a:ext uri="{FF2B5EF4-FFF2-40B4-BE49-F238E27FC236}">
              <a16:creationId xmlns:a16="http://schemas.microsoft.com/office/drawing/2014/main" id="{B57A70EB-05F2-43B2-A20E-677507A1A2BC}"/>
            </a:ext>
          </a:extLst>
        </xdr:cNvPr>
        <xdr:cNvGrpSpPr/>
      </xdr:nvGrpSpPr>
      <xdr:grpSpPr>
        <a:xfrm>
          <a:off x="23532638" y="1468582"/>
          <a:ext cx="6797040" cy="6268489"/>
          <a:chOff x="29739475" y="1440873"/>
          <a:chExt cx="6935585" cy="6296198"/>
        </a:xfrm>
      </xdr:grpSpPr>
      <xdr:graphicFrame macro="">
        <xdr:nvGraphicFramePr>
          <xdr:cNvPr id="32" name="Grafico 31">
            <a:extLst>
              <a:ext uri="{FF2B5EF4-FFF2-40B4-BE49-F238E27FC236}">
                <a16:creationId xmlns:a16="http://schemas.microsoft.com/office/drawing/2014/main" id="{BBD4254D-3BE4-4697-819B-C838F05A34E9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B8">
        <xdr:nvSpPr>
          <xdr:cNvPr id="33" name="CasellaDiTesto 32">
            <a:extLst>
              <a:ext uri="{FF2B5EF4-FFF2-40B4-BE49-F238E27FC236}">
                <a16:creationId xmlns:a16="http://schemas.microsoft.com/office/drawing/2014/main" id="{CD5A74C9-CD9C-4528-B079-1488F676FCE7}"/>
              </a:ext>
            </a:extLst>
          </xdr:cNvPr>
          <xdr:cNvSpPr txBox="1"/>
        </xdr:nvSpPr>
        <xdr:spPr>
          <a:xfrm>
            <a:off x="33049029" y="7384473"/>
            <a:ext cx="587829" cy="240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5D5262-0BAC-46B5-80DC-680C0C6DA885}" type="TxLink">
              <a:rPr lang="en-US" sz="1100" b="0" i="0" u="none" strike="noStrike">
                <a:ln>
                  <a:noFill/>
                </a:ln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>
              <a:ln>
                <a:noFill/>
              </a:ln>
            </a:endParaRPr>
          </a:p>
        </xdr:txBody>
      </xdr:sp>
      <xdr:graphicFrame macro="">
        <xdr:nvGraphicFramePr>
          <xdr:cNvPr id="35" name="Grafico 34">
            <a:extLst>
              <a:ext uri="{FF2B5EF4-FFF2-40B4-BE49-F238E27FC236}">
                <a16:creationId xmlns:a16="http://schemas.microsoft.com/office/drawing/2014/main" id="{13BD03EE-302E-450A-8189-549E378AC614}"/>
              </a:ext>
            </a:extLst>
          </xdr:cNvPr>
          <xdr:cNvGraphicFramePr>
            <a:graphicFrameLocks/>
          </xdr:cNvGraphicFramePr>
        </xdr:nvGraphicFramePr>
        <xdr:xfrm>
          <a:off x="34762790" y="6052575"/>
          <a:ext cx="1628242" cy="10235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6" name="Grafico 35">
            <a:extLst>
              <a:ext uri="{FF2B5EF4-FFF2-40B4-BE49-F238E27FC236}">
                <a16:creationId xmlns:a16="http://schemas.microsoft.com/office/drawing/2014/main" id="{C69E4C5D-8BF8-41F5-A847-FCA9A16F63C8}"/>
              </a:ext>
            </a:extLst>
          </xdr:cNvPr>
          <xdr:cNvGraphicFramePr>
            <a:graphicFrameLocks/>
          </xdr:cNvGraphicFramePr>
        </xdr:nvGraphicFramePr>
        <xdr:xfrm>
          <a:off x="33367261" y="4476502"/>
          <a:ext cx="1615067" cy="10018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37" name="Grafico 36">
            <a:extLst>
              <a:ext uri="{FF2B5EF4-FFF2-40B4-BE49-F238E27FC236}">
                <a16:creationId xmlns:a16="http://schemas.microsoft.com/office/drawing/2014/main" id="{55A99F2A-C875-4AC3-84F4-7692E0485EC1}"/>
              </a:ext>
            </a:extLst>
          </xdr:cNvPr>
          <xdr:cNvGraphicFramePr>
            <a:graphicFrameLocks/>
          </xdr:cNvGraphicFramePr>
        </xdr:nvGraphicFramePr>
        <xdr:xfrm>
          <a:off x="30792631" y="3218494"/>
          <a:ext cx="1710742" cy="9535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7</xdr:col>
      <xdr:colOff>0</xdr:colOff>
      <xdr:row>2</xdr:row>
      <xdr:rowOff>0</xdr:rowOff>
    </xdr:from>
    <xdr:ext cx="2078182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789CD785-1463-4650-8A7C-05BAC72B0D06}"/>
                </a:ext>
              </a:extLst>
            </xdr:cNvPr>
            <xdr:cNvSpPr txBox="1"/>
          </xdr:nvSpPr>
          <xdr:spPr>
            <a:xfrm>
              <a:off x="5001491" y="471055"/>
              <a:ext cx="20781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789CD785-1463-4650-8A7C-05BAC72B0D06}"/>
                </a:ext>
              </a:extLst>
            </xdr:cNvPr>
            <xdr:cNvSpPr txBox="1"/>
          </xdr:nvSpPr>
          <xdr:spPr>
            <a:xfrm>
              <a:off x="5001491" y="471055"/>
              <a:ext cx="20781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𝑦=[𝐾^(1−𝑝)−(1−𝑝) 𝑒^(− □(64&amp;(𝑡−𝑡_0)/𝑤)) ]^(1⁄(1−𝑝))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39</xdr:col>
      <xdr:colOff>304800</xdr:colOff>
      <xdr:row>10</xdr:row>
      <xdr:rowOff>166254</xdr:rowOff>
    </xdr:from>
    <xdr:ext cx="2438400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sellaDiTesto 38">
              <a:extLst>
                <a:ext uri="{FF2B5EF4-FFF2-40B4-BE49-F238E27FC236}">
                  <a16:creationId xmlns:a16="http://schemas.microsoft.com/office/drawing/2014/main" id="{E2CC21ED-1542-442F-B152-42F65CF9DC8F}"/>
                </a:ext>
              </a:extLst>
            </xdr:cNvPr>
            <xdr:cNvSpPr txBox="1"/>
          </xdr:nvSpPr>
          <xdr:spPr>
            <a:xfrm>
              <a:off x="27487418" y="2563090"/>
              <a:ext cx="2438400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9" name="CasellaDiTesto 38">
              <a:extLst>
                <a:ext uri="{FF2B5EF4-FFF2-40B4-BE49-F238E27FC236}">
                  <a16:creationId xmlns:a16="http://schemas.microsoft.com/office/drawing/2014/main" id="{E2CC21ED-1542-442F-B152-42F65CF9DC8F}"/>
                </a:ext>
              </a:extLst>
            </xdr:cNvPr>
            <xdr:cNvSpPr txBox="1"/>
          </xdr:nvSpPr>
          <xdr:spPr>
            <a:xfrm>
              <a:off x="27487418" y="2563090"/>
              <a:ext cx="2438400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𝑦=[𝐾^(1−𝑝)−(1−𝑝) 𝑒^(− □(64&amp;(𝑡−𝑡_0)/𝑤)) ]^(1⁄(1−𝑝))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739475" y="1468582"/>
          <a:ext cx="6935585" cy="6254634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3433989" y="3587230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2751391" y="2353624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376ABBCF-C63E-40D0-B5FA-C6A5AFAC0B09}"/>
                </a:ext>
              </a:extLst>
            </xdr:cNvPr>
            <xdr:cNvSpPr txBox="1"/>
          </xdr:nvSpPr>
          <xdr:spPr>
            <a:xfrm>
              <a:off x="4918364" y="471055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376ABBCF-C63E-40D0-B5FA-C6A5AFAC0B09}"/>
                </a:ext>
              </a:extLst>
            </xdr:cNvPr>
            <xdr:cNvSpPr txBox="1"/>
          </xdr:nvSpPr>
          <xdr:spPr>
            <a:xfrm>
              <a:off x="4918364" y="471055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249381</xdr:colOff>
      <xdr:row>14</xdr:row>
      <xdr:rowOff>96981</xdr:rowOff>
    </xdr:from>
    <xdr:ext cx="1745672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DEAA703C-9146-44F0-9653-ADFBBBC58BDA}"/>
                </a:ext>
              </a:extLst>
            </xdr:cNvPr>
            <xdr:cNvSpPr txBox="1"/>
          </xdr:nvSpPr>
          <xdr:spPr>
            <a:xfrm>
              <a:off x="34996581" y="3228108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𝐶𝑑𝑓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</m:t>
                        </m:r>
                      </m:sup>
                    </m:sSup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>
                <a:effectLst/>
              </a:endParaRPr>
            </a:p>
          </xdr:txBody>
        </xdr:sp>
      </mc:Choice>
      <mc:Fallback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DEAA703C-9146-44F0-9653-ADFBBBC58BDA}"/>
                </a:ext>
              </a:extLst>
            </xdr:cNvPr>
            <xdr:cNvSpPr txBox="1"/>
          </xdr:nvSpPr>
          <xdr:spPr>
            <a:xfrm>
              <a:off x="34996581" y="3228108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𝑃𝑑𝑓=𝑤^(−1) 〖𝐶𝑑𝑓〗^𝑝∙𝑒^(− □(64&amp;(𝑡−𝑡_0)/𝑤))</a:t>
              </a:r>
              <a:endParaRPr lang="it-IT">
                <a:effectLst/>
              </a:endParaRPr>
            </a:p>
          </xdr:txBody>
        </xdr:sp>
      </mc:Fallback>
    </mc:AlternateContent>
    <xdr:clientData/>
  </xdr:oneCellAnchor>
  <xdr:oneCellAnchor>
    <xdr:from>
      <xdr:col>40</xdr:col>
      <xdr:colOff>304799</xdr:colOff>
      <xdr:row>9</xdr:row>
      <xdr:rowOff>0</xdr:rowOff>
    </xdr:from>
    <xdr:ext cx="2299855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72454323-1D92-4061-BC38-89397C1D5E24}"/>
                </a:ext>
              </a:extLst>
            </xdr:cNvPr>
            <xdr:cNvSpPr txBox="1"/>
          </xdr:nvSpPr>
          <xdr:spPr>
            <a:xfrm>
              <a:off x="34442399" y="2202873"/>
              <a:ext cx="229985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p>
                            </m:sSup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>
                <a:effectLst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72454323-1D92-4061-BC38-89397C1D5E24}"/>
                </a:ext>
              </a:extLst>
            </xdr:cNvPr>
            <xdr:cNvSpPr txBox="1"/>
          </xdr:nvSpPr>
          <xdr:spPr>
            <a:xfrm>
              <a:off x="34442399" y="2202873"/>
              <a:ext cx="2299855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𝐶𝑑𝑓=[𝐾^(1−𝑝)−(1−𝑝) 𝑒^(− □(64&amp;(𝑡−𝑡_0)/𝑤)) ]^(1⁄(1−𝑝))</a:t>
              </a:r>
              <a:endParaRPr lang="it-IT">
                <a:effectLst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Gompertz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53" tableType="queryTable" totalsRowShown="0">
  <autoFilter ref="A1:O53" xr:uid="{EAFD7DE5-C4A1-4C49-95BD-BF222027DF39}"/>
  <tableColumns count="15">
    <tableColumn id="1" xr3:uid="{643499DD-A92D-42E1-8C92-5126B9AB48FF}" uniqueName="1" name="data" queryTableFieldId="1" dataDxfId="3"/>
    <tableColumn id="2" xr3:uid="{FFFA4220-F53F-4BDD-BE4D-57574B5FC724}" uniqueName="2" name="stato" queryTableFieldId="2" dataDxfId="2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1"/>
    <tableColumn id="15" xr3:uid="{76DCAC03-6858-4071-83F0-4242CF5951AF}" uniqueName="15" name="note_en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65">
  <autoFilter ref="B7:AD78" xr:uid="{B8C71372-AF1E-49D4-8457-F67D9BE771EB}"/>
  <tableColumns count="29">
    <tableColumn id="1" xr3:uid="{F109A47B-C010-45B9-B2B7-92F08B4181E1}" name="Date" dataDxfId="64"/>
    <tableColumn id="2" xr3:uid="{E6397626-D4E9-41D2-8D66-D6F816FA7AF9}" name="Day" dataDxfId="63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62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15">
      <calculatedColumnFormula array="1">(K^(1-p)-(1-p)*EXP(-(Tabella211[[#This Row],[Day]]-t0)/w))^(1/(1-p))</calculatedColumnFormula>
    </tableColumn>
    <tableColumn id="6" xr3:uid="{59DF212F-AD93-4F67-9314-22ED4BD2C67F}" name="New_cases_fit" dataDxfId="14">
      <calculatedColumnFormula>(1/w)*EXP(-(Tabella211[[#This Row],[Day]]-t0)/w)*(Tabella211[[#This Row],[Cum_fit]])^p</calculatedColumnFormula>
    </tableColumn>
    <tableColumn id="24" xr3:uid="{631432D1-6CBF-44AE-AA24-22DC16561674}" name="Colonna2" dataDxfId="61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60"/>
    <tableColumn id="10" xr3:uid="{26C08828-5C73-4184-BE03-FCB7AE457636}" name="New_positive" dataDxfId="59"/>
    <tableColumn id="29" xr3:uid="{B8AFAB82-B960-4EE1-B026-1E99DA3B9FA5}" name="New_positive_fit" dataDxfId="58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57"/>
    <tableColumn id="25" xr3:uid="{B5764F16-3F23-4441-85C0-396F3C7F466C}" name="Colonna3" dataDxfId="56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13">
      <calculatedColumnFormula>(Kr^(1-pr)-(1-pr)*EXP(-(Tabella211[[#This Row],[Day]]-t0r)/wr))^(1/(1-pr))</calculatedColumnFormula>
    </tableColumn>
    <tableColumn id="14" xr3:uid="{242586ED-2947-45C8-9CE5-E7AB9A72B118}" name="New_Recovered_fit" dataDxfId="12">
      <calculatedColumnFormula>(1/wr)*EXP(-(Tabella211[[#This Row],[Day]]-t0r)/wr)*(Tabella211[[#This Row],[Cum_R_fit]])^pr</calculatedColumnFormula>
    </tableColumn>
    <tableColumn id="26" xr3:uid="{C0BDC4F9-7346-4F1A-B352-EC468DCD9624}" name="Colonna4" dataDxfId="55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54"/>
    <tableColumn id="27" xr3:uid="{962B7882-CED2-46E8-894C-11D4E492CF90}" name="Colonna5" dataDxfId="53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11">
      <calculatedColumnFormula>(Kh^(1-ph)-(1-ph)*EXP(-(Tabella211[[#This Row],[Day]]-t0h)/wh))^(1/(1-ph))</calculatedColumnFormula>
    </tableColumn>
    <tableColumn id="20" xr3:uid="{39D1356E-7799-4ABA-8D46-4BA48A94A90A}" name="New_Deaths_fit" dataDxfId="10">
      <calculatedColumnFormula>(1/wh)*EXP(-(Tabella211[[#This Row],[Day]]-t0h)/wh)*(Tabella211[[#This Row],[Cum_D_fit]])^ph</calculatedColumnFormula>
    </tableColumn>
    <tableColumn id="28" xr3:uid="{84B03305-1467-48F7-81BE-927A7C3D8C98}" name="Colonna6" dataDxfId="52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9" totalsRowShown="0" headerRowDxfId="51" dataDxfId="50">
  <autoFilter ref="AF7:AG19" xr:uid="{407C54E5-E440-4537-8E2D-1DD13C000E48}"/>
  <tableColumns count="2">
    <tableColumn id="1" xr3:uid="{52B0120A-043A-4EF7-B804-054502154853}" name="Confirmed" dataDxfId="49"/>
    <tableColumn id="2" xr3:uid="{BBD62E85-33F5-4BF1-A3AE-7B88D2DD93AA}" name="Confirmed fit" dataDxfId="4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20:AG32" totalsRowShown="0" dataDxfId="47">
  <autoFilter ref="AF20:AG32" xr:uid="{CB9D1A18-DA45-4DE8-9D1A-421A0BAF60FC}"/>
  <tableColumns count="2">
    <tableColumn id="1" xr3:uid="{775DA299-347C-4244-9FD8-E27BF59FECEC}" name="Recovered" dataDxfId="46"/>
    <tableColumn id="2" xr3:uid="{2C633A4A-885C-4119-9E86-E6A0CC694C9C}" name="Recovered fit" dataDxfId="4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3:AG45" totalsRowShown="0" headerRowDxfId="44" dataDxfId="43">
  <autoFilter ref="AF33:AG45" xr:uid="{4866098F-838C-4EFF-B7EC-009C5776DD93}"/>
  <tableColumns count="2">
    <tableColumn id="1" xr3:uid="{80725BB4-06C2-4468-BF34-2E7CFE4745BB}" name="Deaths" dataDxfId="42"/>
    <tableColumn id="2" xr3:uid="{36C77133-0452-4171-BD17-066E8059C73B}" name="Deaths fit" dataDxfId="4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40">
  <autoFilter ref="B7:AD78" xr:uid="{18B9BA29-5254-4957-B1CE-C36E82E90972}"/>
  <tableColumns count="29">
    <tableColumn id="1" xr3:uid="{320CFB16-AFF6-4BFA-BDC8-DA7062BA9B2B}" name="Date" dataDxfId="39"/>
    <tableColumn id="2" xr3:uid="{A9C7A420-022C-4606-A5DD-BCEEC11E3690}" name="Day" dataDxfId="38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37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9">
      <calculatedColumnFormula>(Kn^(1-pn)-(1-pn)*EXP(-(Tabella2[[#This Row],[Day]]-t0n)/wn))^(1/(1-pn))</calculatedColumnFormula>
    </tableColumn>
    <tableColumn id="6" xr3:uid="{81317C98-2D23-428D-B512-65EE9F90D2C5}" name="New_cases_fit" dataDxfId="8">
      <calculatedColumnFormula>(1/wn)*EXP(-(Tabella2[[#This Row],[Day]]-t0n)/wn)*(Tabella2[[#This Row],[Cum_fit]])^pn</calculatedColumnFormula>
    </tableColumn>
    <tableColumn id="24" xr3:uid="{E19855DE-078A-43E1-B0FD-DC571168496B}" name="Colonna2" dataDxfId="36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35"/>
    <tableColumn id="10" xr3:uid="{AF8778A9-44F4-4E92-AF1C-71D0E6DD9311}" name="New_positive" dataDxfId="34"/>
    <tableColumn id="29" xr3:uid="{E9F0C073-162C-4409-91D6-E25F8BA6E7D8}" name="New_positive_fit" dataDxfId="33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32"/>
    <tableColumn id="25" xr3:uid="{94ABBBBE-8B3C-4B6A-ABCE-1319FE6754D6}" name="Colonna3" dataDxfId="31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7">
      <calculatedColumnFormula>(Kd^(1-pd)-(1-pd)*EXP(-(Tabella2[[#This Row],[Day]]-t0d)/wd))^(1/(1-pd))</calculatedColumnFormula>
    </tableColumn>
    <tableColumn id="14" xr3:uid="{B1E5A58D-5A14-46E7-9BCC-394A8142E86B}" name="New_Recovered_fit" dataDxfId="6">
      <calculatedColumnFormula>(1/wd)*EXP(-(Tabella2[[#This Row],[Day]]-t0d)/wd)*(Tabella2[[#This Row],[Cum_R_fit]])^pd</calculatedColumnFormula>
    </tableColumn>
    <tableColumn id="26" xr3:uid="{5A014E51-4816-44C8-A2D1-AFE9233ECB28}" name="Colonna4" dataDxfId="30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29"/>
    <tableColumn id="27" xr3:uid="{5FAA9F04-20D5-4AF2-A858-A7CC7E685C22}" name="Colonna5" dataDxfId="28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5">
      <calculatedColumnFormula>(Kt^(1-pt)-(1-pt)*EXP(-(Tabella2[[#This Row],[Day]]-t0t)/wt))^(1/(1-pt))</calculatedColumnFormula>
    </tableColumn>
    <tableColumn id="20" xr3:uid="{909CD4CA-9439-448B-ADE6-23709E8F3117}" name="New_Deaths_fit" dataDxfId="4">
      <calculatedColumnFormula>(1/wt)*EXP(-(Tabella2[[#This Row],[Day]]-t0t)/wt)*(Tabella2[[#This Row],[Cum_D_fit]])^pt</calculatedColumnFormula>
    </tableColumn>
    <tableColumn id="28" xr3:uid="{4ACECA7F-F765-4B32-9A87-B72CF4C593B7}" name="Colonna6" dataDxfId="27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9" totalsRowShown="0" headerRowDxfId="26" dataDxfId="25">
  <autoFilter ref="AF7:AG19" xr:uid="{1C0A8599-2DC9-45B2-A640-9B64AE029280}"/>
  <tableColumns count="2">
    <tableColumn id="1" xr3:uid="{C78B678A-DF99-4D71-9DCA-538EBE002474}" name="Confirmed" dataDxfId="24"/>
    <tableColumn id="2" xr3:uid="{FD00BEDE-26C5-4882-A08D-7A3A81D737EC}" name="New cases fit" dataDxfId="23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20:AG32" totalsRowShown="0" dataDxfId="22">
  <autoFilter ref="AF20:AG32" xr:uid="{EEF2A1A0-4A08-497E-A79F-5A35691071BA}"/>
  <tableColumns count="2">
    <tableColumn id="1" xr3:uid="{604E3049-AE60-4912-86E2-C58A4706242A}" name="Recovered" dataDxfId="21"/>
    <tableColumn id="2" xr3:uid="{109EDCEC-3FF1-4CB5-A224-FFEEA35FA41C}" name="New recovered fit" dataDxfId="20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3:AG45" totalsRowShown="0" headerRowDxfId="19" dataDxfId="18">
  <autoFilter ref="AF33:AG45" xr:uid="{61401F20-3088-4299-A30C-162117992087}"/>
  <tableColumns count="2">
    <tableColumn id="1" xr3:uid="{E0943324-D586-453F-96DB-1069E398D242}" name="Deaths" dataDxfId="17"/>
    <tableColumn id="2" xr3:uid="{66FF7AC8-7F99-4215-A97C-F9D3F4B5C74C}" name="New deaths fit" dataDxfId="1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2" dT="2020-04-14T23:13:14.57" personId="{46504131-ADD3-4530-BCC7-16E4FED1C2C4}" id="{B46C6883-5E9F-4F16-88C8-1338960F5681}">
    <text>growth scaling parameter</text>
  </threadedComment>
  <threadedComment ref="AH3" dT="2020-04-13T00:14:38.76" personId="{46504131-ADD3-4530-BCC7-16E4FED1C2C4}" id="{0E3BBDD2-49F3-4791-8649-958B5A2F428B}">
    <text>Saturation value or carrying capalcity</text>
  </threadedComment>
  <threadedComment ref="AH4" dT="2020-04-13T18:47:27.10" personId="{46504131-ADD3-4530-BCC7-16E4FED1C2C4}" id="{9A58F8C8-EC4D-4204-BDBD-1ED773C791C2}">
    <text>point of inflection</text>
  </threadedComment>
  <threadedComment ref="AH5" dT="2020-04-13T18:47:54.02" personId="{46504131-ADD3-4530-BCC7-16E4FED1C2C4}" id="{CC489CA4-0428-4260-9C71-F50F294E0276}">
    <text>slope or decay time</text>
  </threadedComment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H2" dT="2020-04-14T23:13:14.57" personId="{46504131-ADD3-4530-BCC7-16E4FED1C2C4}" id="{731BC367-5DDB-41F2-86A1-B19010B513E0}">
    <text>growth scaling parameter</text>
  </threadedComment>
  <threadedComment ref="AH3" dT="2020-04-13T00:14:38.76" personId="{46504131-ADD3-4530-BCC7-16E4FED1C2C4}" id="{AEEE38AA-B942-4FD6-BC52-1E8FEF481603}">
    <text>Saturation value or carrying capalcity</text>
  </threadedComment>
  <threadedComment ref="AH4" dT="2020-04-13T18:47:27.10" personId="{46504131-ADD3-4530-BCC7-16E4FED1C2C4}" id="{5E9FA6C5-4F16-4866-8231-7AB9C5DD30E3}">
    <text>point of inflection</text>
  </threadedComment>
  <threadedComment ref="AH5" dT="2020-04-13T18:47:54.02" personId="{46504131-ADD3-4530-BCC7-16E4FED1C2C4}" id="{F3D26369-6C46-4303-AF2F-0070D65583B7}">
    <text>slope or decay time</text>
  </threadedComment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3"/>
  <sheetViews>
    <sheetView topLeftCell="A28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103</v>
      </c>
      <c r="O48" s="17" t="s">
        <v>104</v>
      </c>
    </row>
    <row r="49" spans="1:15" x14ac:dyDescent="0.3">
      <c r="A49" s="18">
        <v>43932.708333333336</v>
      </c>
      <c r="B49" s="17" t="s">
        <v>22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7" t="s">
        <v>29</v>
      </c>
      <c r="O49" s="17" t="s">
        <v>29</v>
      </c>
    </row>
    <row r="50" spans="1:15" x14ac:dyDescent="0.3">
      <c r="A50" s="18">
        <v>43933.708333333336</v>
      </c>
      <c r="B50" s="17" t="s">
        <v>22</v>
      </c>
      <c r="C50" s="2">
        <v>27847</v>
      </c>
      <c r="D50" s="2">
        <v>3343</v>
      </c>
      <c r="E50" s="2">
        <v>31190</v>
      </c>
      <c r="F50" s="2">
        <v>71063</v>
      </c>
      <c r="G50" s="2">
        <v>102253</v>
      </c>
      <c r="H50" s="2">
        <v>1984</v>
      </c>
      <c r="I50" s="2">
        <v>4092</v>
      </c>
      <c r="J50" s="2">
        <v>34211</v>
      </c>
      <c r="K50" s="2">
        <v>19899</v>
      </c>
      <c r="L50" s="2">
        <v>156363</v>
      </c>
      <c r="M50" s="2">
        <v>1010193</v>
      </c>
      <c r="N50" s="17" t="s">
        <v>105</v>
      </c>
      <c r="O50" s="17" t="s">
        <v>106</v>
      </c>
    </row>
    <row r="51" spans="1:15" x14ac:dyDescent="0.3">
      <c r="A51" s="18">
        <v>43934.708333333336</v>
      </c>
      <c r="B51" s="17" t="s">
        <v>22</v>
      </c>
      <c r="C51" s="2">
        <v>28023</v>
      </c>
      <c r="D51" s="2">
        <v>3260</v>
      </c>
      <c r="E51" s="2">
        <v>31283</v>
      </c>
      <c r="F51" s="2">
        <v>72333</v>
      </c>
      <c r="G51" s="2">
        <v>103616</v>
      </c>
      <c r="H51" s="2">
        <v>1363</v>
      </c>
      <c r="I51" s="2">
        <v>3153</v>
      </c>
      <c r="J51" s="2">
        <v>35435</v>
      </c>
      <c r="K51" s="2">
        <v>20465</v>
      </c>
      <c r="L51" s="2">
        <v>159516</v>
      </c>
      <c r="M51" s="2">
        <v>1046910</v>
      </c>
      <c r="N51" s="17" t="s">
        <v>29</v>
      </c>
      <c r="O51" s="17" t="s">
        <v>29</v>
      </c>
    </row>
    <row r="52" spans="1:15" x14ac:dyDescent="0.3">
      <c r="A52" s="18">
        <v>43935.708333333336</v>
      </c>
      <c r="B52" s="17" t="s">
        <v>22</v>
      </c>
      <c r="C52" s="2">
        <v>28011</v>
      </c>
      <c r="D52" s="2">
        <v>3186</v>
      </c>
      <c r="E52" s="2">
        <v>31197</v>
      </c>
      <c r="F52" s="2">
        <v>73094</v>
      </c>
      <c r="G52" s="2">
        <v>104291</v>
      </c>
      <c r="H52" s="2">
        <v>675</v>
      </c>
      <c r="I52" s="2">
        <v>2972</v>
      </c>
      <c r="J52" s="2">
        <v>37130</v>
      </c>
      <c r="K52" s="2">
        <v>21067</v>
      </c>
      <c r="L52" s="2">
        <v>162488</v>
      </c>
      <c r="M52" s="2">
        <v>1073689</v>
      </c>
      <c r="N52" s="17" t="s">
        <v>29</v>
      </c>
      <c r="O52" s="17" t="s">
        <v>29</v>
      </c>
    </row>
    <row r="53" spans="1:15" x14ac:dyDescent="0.3">
      <c r="A53" s="18">
        <v>43936.708333333336</v>
      </c>
      <c r="B53" s="17" t="s">
        <v>22</v>
      </c>
      <c r="C53" s="2">
        <v>27643</v>
      </c>
      <c r="D53" s="2">
        <v>3079</v>
      </c>
      <c r="E53" s="2">
        <v>30722</v>
      </c>
      <c r="F53" s="2">
        <v>74696</v>
      </c>
      <c r="G53" s="2">
        <v>105418</v>
      </c>
      <c r="H53" s="2">
        <v>1127</v>
      </c>
      <c r="I53" s="2">
        <v>2667</v>
      </c>
      <c r="J53" s="2">
        <v>38092</v>
      </c>
      <c r="K53" s="2">
        <v>21645</v>
      </c>
      <c r="L53" s="2">
        <v>165155</v>
      </c>
      <c r="M53" s="2">
        <v>1117404</v>
      </c>
      <c r="N53" s="17" t="s">
        <v>116</v>
      </c>
      <c r="O53" s="17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1:AT286"/>
  <sheetViews>
    <sheetView tabSelected="1" topLeftCell="A13" zoomScale="55" zoomScaleNormal="55" workbookViewId="0">
      <selection activeCell="AH2" sqref="AH2:AH5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45" width="8.88671875" style="2"/>
    <col min="46" max="46" width="10.5546875" style="2" customWidth="1"/>
    <col min="47" max="16384" width="8.88671875" style="2"/>
  </cols>
  <sheetData>
    <row r="1" spans="2:46" ht="15" thickBot="1" x14ac:dyDescent="0.35"/>
    <row r="2" spans="2:46" ht="24" thickBot="1" x14ac:dyDescent="0.5">
      <c r="B2" s="117" t="s">
        <v>11</v>
      </c>
      <c r="C2" s="117"/>
      <c r="D2" s="117"/>
      <c r="E2" s="117"/>
      <c r="F2" s="117"/>
      <c r="G2" s="117"/>
      <c r="H2" s="117"/>
      <c r="AH2" s="110" t="s">
        <v>114</v>
      </c>
      <c r="AI2" s="125" t="s">
        <v>115</v>
      </c>
      <c r="AJ2" s="125"/>
      <c r="AK2" s="125"/>
      <c r="AL2" s="125"/>
      <c r="AM2" s="125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8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87" t="s">
        <v>0</v>
      </c>
      <c r="AI3" s="121" t="s">
        <v>71</v>
      </c>
      <c r="AJ3" s="121"/>
      <c r="AK3" s="121"/>
      <c r="AL3" s="121"/>
      <c r="AM3" s="121"/>
    </row>
    <row r="4" spans="2:46" ht="20.399999999999999" thickBot="1" x14ac:dyDescent="0.45">
      <c r="B4" s="119" t="s">
        <v>113</v>
      </c>
      <c r="C4" s="119"/>
      <c r="D4" s="119"/>
      <c r="E4" s="119"/>
      <c r="F4" s="119"/>
      <c r="G4" s="119"/>
      <c r="H4" s="118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86" t="s">
        <v>93</v>
      </c>
      <c r="AI4" s="121" t="s">
        <v>71</v>
      </c>
      <c r="AJ4" s="121"/>
      <c r="AK4" s="121"/>
      <c r="AL4" s="121"/>
      <c r="AM4" s="121"/>
    </row>
    <row r="5" spans="2:46" ht="18.600000000000001" thickTop="1" thickBot="1" x14ac:dyDescent="0.4">
      <c r="B5" s="120" t="s">
        <v>107</v>
      </c>
      <c r="C5" s="120"/>
      <c r="D5" s="120"/>
      <c r="E5" s="120"/>
      <c r="F5" s="120"/>
      <c r="G5" s="120"/>
      <c r="H5" s="118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86" t="s">
        <v>1</v>
      </c>
      <c r="AI5" s="121" t="s">
        <v>71</v>
      </c>
      <c r="AJ5" s="121"/>
      <c r="AK5" s="121"/>
      <c r="AL5" s="121"/>
      <c r="AM5" s="121"/>
    </row>
    <row r="6" spans="2:46" ht="19.2" thickTop="1" thickBot="1" x14ac:dyDescent="0.4">
      <c r="B6" s="27"/>
      <c r="C6" s="13"/>
      <c r="D6" s="13"/>
      <c r="E6" s="13"/>
      <c r="F6" s="13"/>
      <c r="G6" s="13"/>
      <c r="H6" s="118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99</v>
      </c>
      <c r="V7" s="8" t="s">
        <v>100</v>
      </c>
      <c r="W7" s="4" t="s">
        <v>62</v>
      </c>
      <c r="X7" s="53" t="s">
        <v>63</v>
      </c>
      <c r="Y7" s="81" t="s">
        <v>84</v>
      </c>
      <c r="Z7" s="8" t="s">
        <v>64</v>
      </c>
      <c r="AA7" s="8" t="s">
        <v>91</v>
      </c>
      <c r="AB7" s="81" t="s">
        <v>85</v>
      </c>
      <c r="AC7" s="8" t="s">
        <v>101</v>
      </c>
      <c r="AD7" s="8" t="s">
        <v>102</v>
      </c>
      <c r="AE7" s="8"/>
      <c r="AF7" s="65" t="s">
        <v>46</v>
      </c>
      <c r="AG7" s="66" t="s">
        <v>54</v>
      </c>
      <c r="AH7" s="3"/>
      <c r="AT7" s="82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126" cm="1">
        <f t="array" ref="G8">(K^(1-p)-(1-p)*EXP(-(Tabella211[[#This Row],[Day]]-t0)/w))^(1/(1-p))</f>
        <v>29.092901448867121</v>
      </c>
      <c r="H8" s="126">
        <f>(1/w)*EXP(-(Tabella211[[#This Row],[Day]]-t0)/w)*(Tabella211[[#This Row],[Cum_fit]])^p</f>
        <v>18.645364091270956</v>
      </c>
      <c r="I8" s="56">
        <f>Tabella211[[#This Row],[Cum_fit]]*NOT(ISBLANK(Tabella211[[#This Row],[Cum_confirmed]]))</f>
        <v>29.092901448867121</v>
      </c>
      <c r="J8" s="10">
        <f>Tabella211[[#This Row],[Cum_fit]]+CI</f>
        <v>2314.2980322261733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16.929691242327316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126">
        <f>(Kr^(1-pr)-(1-pr)*EXP(-(Tabella211[[#This Row],[Day]]-t0r)/wr))^(1/(1-pr))</f>
        <v>1.8979160643476127</v>
      </c>
      <c r="S8" s="126">
        <f>(1/wr)*EXP(-(Tabella211[[#This Row],[Day]]-t0r)/wr)*(Tabella211[[#This Row],[Cum_R_fit]])^pr</f>
        <v>1.6347957388225418</v>
      </c>
      <c r="T8" s="60">
        <f>Tabella211[[#This Row],[Cum_R_fit]]*NOT(ISBLANK(Tabella211[[#This Row],[Cum_recov]]))</f>
        <v>1.8979160643476127</v>
      </c>
      <c r="U8" s="10">
        <f>Tabella211[[#This Row],[Cum_R_fit]]+CIr</f>
        <v>674.7078888317003</v>
      </c>
      <c r="V8" s="10">
        <f>MAX(Tabella211[[#This Row],[Cum_R_fit]]-CIr,0)</f>
        <v>0</v>
      </c>
      <c r="W8" s="10">
        <f>'dpc-covid19-ita-andamento-naz'!K2</f>
        <v>7</v>
      </c>
      <c r="X8" s="63"/>
      <c r="Y8" s="64">
        <f>Tabella211[[#This Row],[Cum_deaths]]*NOT(ISBLANK(Tabella211[[#This Row],[Cum_deaths]]))</f>
        <v>7</v>
      </c>
      <c r="Z8" s="126">
        <f>(Kh^(1-ph)-(1-ph)*EXP(-(Tabella211[[#This Row],[Day]]-t0h)/wh))^(1/(1-ph))</f>
        <v>8.3281725870776993E-2</v>
      </c>
      <c r="AA8" s="126">
        <f>(1/wh)*EXP(-(Tabella211[[#This Row],[Day]]-t0h)/wh)*(Tabella211[[#This Row],[Cum_D_fit]])^ph</f>
        <v>8.0877110121096704E-2</v>
      </c>
      <c r="AB8" s="64">
        <f>Tabella211[[#This Row],[Cum_D_fit]]*NOT(ISBLANK(Tabella211[[#This Row],[Cum_deaths]]))</f>
        <v>8.3281725870776993E-2</v>
      </c>
      <c r="AC8" s="10">
        <f>Tabella211[[#This Row],[Cum_D_fit]]+CIh</f>
        <v>227.64131692018296</v>
      </c>
      <c r="AD8" s="10">
        <f>MAX(Tabella211[[#This Row],[Cum_D_fit]]-CIh,0)</f>
        <v>0</v>
      </c>
      <c r="AE8" s="8"/>
      <c r="AF8" s="91" t="s">
        <v>0</v>
      </c>
      <c r="AG8" s="92">
        <v>205153.3805982901</v>
      </c>
      <c r="AH8" s="3"/>
      <c r="AT8" s="97">
        <f>MAX($AG$14)</f>
        <v>0.99974848566890206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126" cm="1">
        <f t="array" ref="G9">(K^(1-p)-(1-p)*EXP(-(Tabella211[[#This Row],[Day]]-t0)/w))^(1/(1-p))</f>
        <v>53.98248270299279</v>
      </c>
      <c r="H9" s="126">
        <f>(1/w)*EXP(-(Tabella211[[#This Row],[Day]]-t0)/w)*(Tabella211[[#This Row],[Cum_fit]])^p</f>
        <v>32.172946266085056</v>
      </c>
      <c r="I9" s="56">
        <f>Tabella211[[#This Row],[Cum_fit]]*NOT(ISBLANK(Tabella211[[#This Row],[Cum_confirmed]]))</f>
        <v>53.98248270299279</v>
      </c>
      <c r="J9" s="10">
        <f>Tabella211[[#This Row],[Cum_fit]]+CI</f>
        <v>2339.1876134802992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28.865174191986323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126">
        <f>(Kr^(1-pr)-(1-pr)*EXP(-(Tabella211[[#This Row],[Day]]-t0r)/wr))^(1/(1-pr))</f>
        <v>4.2141446519813437</v>
      </c>
      <c r="S9" s="126">
        <f>(1/wr)*EXP(-(Tabella211[[#This Row],[Day]]-t0r)/wr)*(Tabella211[[#This Row],[Cum_R_fit]])^pr</f>
        <v>3.1169914912407557</v>
      </c>
      <c r="T9" s="60">
        <f>Tabella211[[#This Row],[Cum_R_fit]]*NOT(ISBLANK(Tabella211[[#This Row],[Cum_recov]]))</f>
        <v>4.2141446519813437</v>
      </c>
      <c r="U9" s="10">
        <f>Tabella211[[#This Row],[Cum_R_fit]]+CIr</f>
        <v>677.02411741933395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4">
        <f>Tabella211[[#This Row],[Cum_deaths]]*NOT(ISBLANK(Tabella211[[#This Row],[Cum_deaths]]))</f>
        <v>10</v>
      </c>
      <c r="Z9" s="50">
        <f>(Kh^(1-ph)-(1-ph)*EXP(-(Tabella211[[#This Row],[Day]]-t0h)/wh))^(1/(1-ph))</f>
        <v>0.21210224569369954</v>
      </c>
      <c r="AA9" s="126">
        <f>(1/wh)*EXP(-(Tabella211[[#This Row],[Day]]-t0h)/wh)*(Tabella211[[#This Row],[Cum_D_fit]])^ph</f>
        <v>0.19078058285797569</v>
      </c>
      <c r="AB9" s="64">
        <f>Tabella211[[#This Row],[Cum_D_fit]]*NOT(ISBLANK(Tabella211[[#This Row],[Cum_deaths]]))</f>
        <v>0.21210224569369954</v>
      </c>
      <c r="AC9" s="10">
        <f>Tabella211[[#This Row],[Cum_D_fit]]+CIh</f>
        <v>227.77013744000587</v>
      </c>
      <c r="AD9" s="10">
        <f>MAX(Tabella211[[#This Row],[Cum_D_fit]]-CIh,0)</f>
        <v>0</v>
      </c>
      <c r="AE9" s="8"/>
      <c r="AF9" s="91" t="s">
        <v>108</v>
      </c>
      <c r="AG9" s="93">
        <v>30.415970969734285</v>
      </c>
      <c r="AH9" s="3"/>
      <c r="AT9" s="98">
        <f>COUNT($AG$8,$AG$9,$AG$10,$AG$19)</f>
        <v>4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126" cm="1">
        <f t="array" ref="G10">(K^(1-p)-(1-p)*EXP(-(Tabella211[[#This Row],[Day]]-t0)/w))^(1/(1-p))</f>
        <v>95.921315913643554</v>
      </c>
      <c r="H10" s="126">
        <f>(1/w)*EXP(-(Tabella211[[#This Row],[Day]]-t0)/w)*(Tabella211[[#This Row],[Cum_fit]])^p</f>
        <v>53.165120772773747</v>
      </c>
      <c r="I10" s="56">
        <f>Tabella211[[#This Row],[Cum_fit]]*NOT(ISBLANK(Tabella211[[#This Row],[Cum_confirmed]]))</f>
        <v>95.921315913643554</v>
      </c>
      <c r="J10" s="10">
        <f>Tabella211[[#This Row],[Cum_fit]]+CI</f>
        <v>2381.1264466909497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47.313600508303551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126">
        <f>(Kr^(1-pr)-(1-pr)*EXP(-(Tabella211[[#This Row],[Day]]-t0r)/wr))^(1/(1-pr))</f>
        <v>8.4091062253007269</v>
      </c>
      <c r="S10" s="126">
        <f>(1/wr)*EXP(-(Tabella211[[#This Row],[Day]]-t0r)/wr)*(Tabella211[[#This Row],[Cum_R_fit]])^pr</f>
        <v>5.4314555283003676</v>
      </c>
      <c r="T10" s="60">
        <f>Tabella211[[#This Row],[Cum_R_fit]]*NOT(ISBLANK(Tabella211[[#This Row],[Cum_recov]]))</f>
        <v>8.4091062253007269</v>
      </c>
      <c r="U10" s="10">
        <f>Tabella211[[#This Row],[Cum_R_fit]]+CIr</f>
        <v>681.21907899265341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4">
        <f>Tabella211[[#This Row],[Cum_deaths]]*NOT(ISBLANK(Tabella211[[#This Row],[Cum_deaths]]))</f>
        <v>12</v>
      </c>
      <c r="Z10" s="50">
        <f>(Kh^(1-ph)-(1-ph)*EXP(-(Tabella211[[#This Row],[Day]]-t0h)/wh))^(1/(1-ph))</f>
        <v>0.50418994806141126</v>
      </c>
      <c r="AA10" s="126">
        <f>(1/wh)*EXP(-(Tabella211[[#This Row],[Day]]-t0h)/wh)*(Tabella211[[#This Row],[Cum_D_fit]])^ph</f>
        <v>0.42006473616982504</v>
      </c>
      <c r="AB10" s="64">
        <f>Tabella211[[#This Row],[Cum_D_fit]]*NOT(ISBLANK(Tabella211[[#This Row],[Cum_deaths]]))</f>
        <v>0.50418994806141126</v>
      </c>
      <c r="AC10" s="10">
        <f>Tabella211[[#This Row],[Cum_D_fit]]+CIh</f>
        <v>228.06222514237359</v>
      </c>
      <c r="AD10" s="10">
        <f>MAX(Tabella211[[#This Row],[Cum_D_fit]]-CIh,0)</f>
        <v>0</v>
      </c>
      <c r="AE10" s="8"/>
      <c r="AF10" s="91" t="s">
        <v>1</v>
      </c>
      <c r="AG10" s="93">
        <v>13.889990635942134</v>
      </c>
      <c r="AH10" s="3"/>
      <c r="AT10" s="98" t="b">
        <f>p&lt;=0.999999</f>
        <v>1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126" cm="1">
        <f t="array" ref="G11">(K^(1-p)-(1-p)*EXP(-(Tabella211[[#This Row],[Day]]-t0)/w))^(1/(1-p))</f>
        <v>163.71970540663932</v>
      </c>
      <c r="H11" s="126">
        <f>(1/w)*EXP(-(Tabella211[[#This Row],[Day]]-t0)/w)*(Tabella211[[#This Row],[Cum_fit]])^p</f>
        <v>84.392625703302087</v>
      </c>
      <c r="I11" s="56">
        <f>Tabella211[[#This Row],[Cum_fit]]*NOT(ISBLANK(Tabella211[[#This Row],[Cum_confirmed]]))</f>
        <v>163.71970540663932</v>
      </c>
      <c r="J11" s="10">
        <f>Tabella211[[#This Row],[Cum_fit]]+CI</f>
        <v>2448.9248361839454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74.703573344401619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126">
        <f>(Kr^(1-pr)-(1-pr)*EXP(-(Tabella211[[#This Row],[Day]]-t0r)/wr))^(1/(1-pr))</f>
        <v>15.435407319492798</v>
      </c>
      <c r="S11" s="126">
        <f>(1/wr)*EXP(-(Tabella211[[#This Row],[Day]]-t0r)/wr)*(Tabella211[[#This Row],[Cum_R_fit]])^pr</f>
        <v>8.8213021321513452</v>
      </c>
      <c r="T11" s="60">
        <f>Tabella211[[#This Row],[Cum_R_fit]]*NOT(ISBLANK(Tabella211[[#This Row],[Cum_recov]]))</f>
        <v>15.435407319492798</v>
      </c>
      <c r="U11" s="10">
        <f>Tabella211[[#This Row],[Cum_R_fit]]+CIr</f>
        <v>688.24538008684544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4">
        <f>Tabella211[[#This Row],[Cum_deaths]]*NOT(ISBLANK(Tabella211[[#This Row],[Cum_deaths]]))</f>
        <v>17</v>
      </c>
      <c r="Z11" s="50">
        <f>(Kh^(1-ph)-(1-ph)*EXP(-(Tabella211[[#This Row],[Day]]-t0h)/wh))^(1/(1-ph))</f>
        <v>1.1244001948873807</v>
      </c>
      <c r="AA11" s="126">
        <f>(1/wh)*EXP(-(Tabella211[[#This Row],[Day]]-t0h)/wh)*(Tabella211[[#This Row],[Cum_D_fit]])^ph</f>
        <v>0.86775022674912494</v>
      </c>
      <c r="AB11" s="64">
        <f>Tabella211[[#This Row],[Cum_D_fit]]*NOT(ISBLANK(Tabella211[[#This Row],[Cum_deaths]]))</f>
        <v>1.1244001948873807</v>
      </c>
      <c r="AC11" s="10">
        <f>Tabella211[[#This Row],[Cum_D_fit]]+CIh</f>
        <v>228.68243538919955</v>
      </c>
      <c r="AD11" s="10">
        <f>MAX(Tabella211[[#This Row],[Cum_D_fit]]-CIh,0)</f>
        <v>0</v>
      </c>
      <c r="AE11" s="8"/>
      <c r="AF11" s="67" t="s">
        <v>2</v>
      </c>
      <c r="AG11" s="94">
        <f>AVERAGE(Tabella211[Cum_confirmed])</f>
        <v>63598.326923076922</v>
      </c>
      <c r="AH11" s="3"/>
      <c r="AT11" s="98" t="b">
        <f>p&gt;=0</f>
        <v>1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126" cm="1">
        <f t="array" ref="G12">(K^(1-p)-(1-p)*EXP(-(Tabella211[[#This Row],[Day]]-t0)/w))^(1/(1-p))</f>
        <v>269.1797635284903</v>
      </c>
      <c r="H12" s="126">
        <f>(1/w)*EXP(-(Tabella211[[#This Row],[Day]]-t0)/w)*(Tabella211[[#This Row],[Cum_fit]])^p</f>
        <v>129.04901967932224</v>
      </c>
      <c r="I12" s="56">
        <f>Tabella211[[#This Row],[Cum_fit]]*NOT(ISBLANK(Tabella211[[#This Row],[Cum_confirmed]]))</f>
        <v>269.1797635284903</v>
      </c>
      <c r="J12" s="10">
        <f>Tabella211[[#This Row],[Cum_fit]]+CI</f>
        <v>2554.3848943057965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113.81976062045918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126">
        <f>(Kr^(1-pr)-(1-pr)*EXP(-(Tabella211[[#This Row],[Day]]-t0r)/wr))^(1/(1-pr))</f>
        <v>26.494488813819292</v>
      </c>
      <c r="S12" s="126">
        <f>(1/wr)*EXP(-(Tabella211[[#This Row],[Day]]-t0r)/wr)*(Tabella211[[#This Row],[Cum_R_fit]])^pr</f>
        <v>13.539497878713805</v>
      </c>
      <c r="T12" s="60">
        <f>Tabella211[[#This Row],[Cum_R_fit]]*NOT(ISBLANK(Tabella211[[#This Row],[Cum_recov]]))</f>
        <v>26.494488813819292</v>
      </c>
      <c r="U12" s="10">
        <f>Tabella211[[#This Row],[Cum_R_fit]]+CIr</f>
        <v>699.30446158117195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4">
        <f>Tabella211[[#This Row],[Cum_deaths]]*NOT(ISBLANK(Tabella211[[#This Row],[Cum_deaths]]))</f>
        <v>21</v>
      </c>
      <c r="Z12" s="50">
        <f>(Kh^(1-ph)-(1-ph)*EXP(-(Tabella211[[#This Row],[Day]]-t0h)/wh))^(1/(1-ph))</f>
        <v>2.3636461543306941</v>
      </c>
      <c r="AA12" s="126">
        <f>(1/wh)*EXP(-(Tabella211[[#This Row],[Day]]-t0h)/wh)*(Tabella211[[#This Row],[Cum_D_fit]])^ph</f>
        <v>1.689761180149264</v>
      </c>
      <c r="AB12" s="64">
        <f>Tabella211[[#This Row],[Cum_D_fit]]*NOT(ISBLANK(Tabella211[[#This Row],[Cum_deaths]]))</f>
        <v>2.3636461543306941</v>
      </c>
      <c r="AC12" s="10">
        <f>Tabella211[[#This Row],[Cum_D_fit]]+CIh</f>
        <v>229.92168134864286</v>
      </c>
      <c r="AD12" s="10">
        <f>MAX(Tabella211[[#This Row],[Cum_D_fit]]-CIh,0)</f>
        <v>0</v>
      </c>
      <c r="AE12" s="1"/>
      <c r="AF12" s="67" t="s">
        <v>3</v>
      </c>
      <c r="AG12" s="94">
        <f>COUNT(Tabella211[Cum_confirmed])-COUNT(AG8:AG10,p)</f>
        <v>48</v>
      </c>
      <c r="AT12" s="98">
        <f>{32767;32767;0.000001;0;FALSE;FALSE;TRUE;1;1;1;0.0001;TRUE}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126" cm="1">
        <f t="array" ref="G13">(K^(1-p)-(1-p)*EXP(-(Tabella211[[#This Row],[Day]]-t0)/w))^(1/(1-p))</f>
        <v>427.44823080808879</v>
      </c>
      <c r="H13" s="126">
        <f>(1/w)*EXP(-(Tabella211[[#This Row],[Day]]-t0)/w)*(Tabella211[[#This Row],[Cum_fit]])^p</f>
        <v>190.59885368880842</v>
      </c>
      <c r="I13" s="56">
        <f>Tabella211[[#This Row],[Cum_fit]]*NOT(ISBLANK(Tabella211[[#This Row],[Cum_confirmed]]))</f>
        <v>427.44823080808879</v>
      </c>
      <c r="J13" s="10">
        <f>Tabella211[[#This Row],[Cum_fit]]+CI</f>
        <v>2712.653361585395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167.64397229888843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126">
        <f>(Kr^(1-pr)-(1-pr)*EXP(-(Tabella211[[#This Row],[Day]]-t0r)/wr))^(1/(1-pr))</f>
        <v>43.041769078495953</v>
      </c>
      <c r="S13" s="126">
        <f>(1/wr)*EXP(-(Tabella211[[#This Row],[Day]]-t0r)/wr)*(Tabella211[[#This Row],[Cum_R_fit]])^pr</f>
        <v>19.839514445218363</v>
      </c>
      <c r="T13" s="60">
        <f>Tabella211[[#This Row],[Cum_R_fit]]*NOT(ISBLANK(Tabella211[[#This Row],[Cum_recov]]))</f>
        <v>43.041769078495953</v>
      </c>
      <c r="U13" s="10">
        <f>Tabella211[[#This Row],[Cum_R_fit]]+CIr</f>
        <v>715.85174184584855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4">
        <f>Tabella211[[#This Row],[Cum_deaths]]*NOT(ISBLANK(Tabella211[[#This Row],[Cum_deaths]]))</f>
        <v>29</v>
      </c>
      <c r="Z13" s="50">
        <f>(Kh^(1-ph)-(1-ph)*EXP(-(Tabella211[[#This Row],[Day]]-t0h)/wh))^(1/(1-ph))</f>
        <v>4.7041516701322452</v>
      </c>
      <c r="AA13" s="126">
        <f>(1/wh)*EXP(-(Tabella211[[#This Row],[Day]]-t0h)/wh)*(Tabella211[[#This Row],[Cum_D_fit]])^ph</f>
        <v>3.1153669447016239</v>
      </c>
      <c r="AB13" s="64">
        <f>Tabella211[[#This Row],[Cum_D_fit]]*NOT(ISBLANK(Tabella211[[#This Row],[Cum_deaths]]))</f>
        <v>4.7041516701322452</v>
      </c>
      <c r="AC13" s="10">
        <f>Tabella211[[#This Row],[Cum_D_fit]]+CIh</f>
        <v>232.2621868644444</v>
      </c>
      <c r="AD13" s="10">
        <f>MAX(Tabella211[[#This Row],[Cum_D_fit]]-CIh,0)</f>
        <v>0</v>
      </c>
      <c r="AE13" s="1"/>
      <c r="AF13" s="67" t="s">
        <v>4</v>
      </c>
      <c r="AG13" s="95" cm="1">
        <f t="array" ref="AG13">SQRT(SUM((Tabella211[Colonna1]-Tabella211[Colonna2])^2)/df)</f>
        <v>1136.5590503754684</v>
      </c>
      <c r="AT13" s="99">
        <f>{0;0;1;100;0;FALSE;TRUE;0.075;0;0;FALSE;30}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126" cm="1">
        <f t="array" ref="G14">(K^(1-p)-(1-p)*EXP(-(Tabella211[[#This Row],[Day]]-t0)/w))^(1/(1-p))</f>
        <v>657.18365715547645</v>
      </c>
      <c r="H14" s="126">
        <f>(1/w)*EXP(-(Tabella211[[#This Row],[Day]]-t0)/w)*(Tabella211[[#This Row],[Cum_fit]])^p</f>
        <v>272.56028132125113</v>
      </c>
      <c r="I14" s="56">
        <f>Tabella211[[#This Row],[Cum_fit]]*NOT(ISBLANK(Tabella211[[#This Row],[Cum_confirmed]]))</f>
        <v>657.18365715547645</v>
      </c>
      <c r="J14" s="10">
        <f>Tabella211[[#This Row],[Cum_fit]]+CI</f>
        <v>2942.3887879327826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239.13349779827519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126">
        <f>(Kr^(1-pr)-(1-pr)*EXP(-(Tabella211[[#This Row],[Day]]-t0r)/wr))^(1/(1-pr))</f>
        <v>66.782728356442547</v>
      </c>
      <c r="S14" s="126">
        <f>(1/wr)*EXP(-(Tabella211[[#This Row],[Day]]-t0r)/wr)*(Tabella211[[#This Row],[Cum_R_fit]])^pr</f>
        <v>27.966627837493778</v>
      </c>
      <c r="T14" s="60">
        <f>Tabella211[[#This Row],[Cum_R_fit]]*NOT(ISBLANK(Tabella211[[#This Row],[Cum_recov]]))</f>
        <v>66.782728356442547</v>
      </c>
      <c r="U14" s="10">
        <f>Tabella211[[#This Row],[Cum_R_fit]]+CIr</f>
        <v>739.59270112379522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4">
        <f>Tabella211[[#This Row],[Cum_deaths]]*NOT(ISBLANK(Tabella211[[#This Row],[Cum_deaths]]))</f>
        <v>34</v>
      </c>
      <c r="Z14" s="50">
        <f>(Kh^(1-ph)-(1-ph)*EXP(-(Tabella211[[#This Row],[Day]]-t0h)/wh))^(1/(1-ph))</f>
        <v>8.8997398300459452</v>
      </c>
      <c r="AA14" s="126">
        <f>(1/wh)*EXP(-(Tabella211[[#This Row],[Day]]-t0h)/wh)*(Tabella211[[#This Row],[Cum_D_fit]])^ph</f>
        <v>5.4601556854821514</v>
      </c>
      <c r="AB14" s="64">
        <f>Tabella211[[#This Row],[Cum_D_fit]]*NOT(ISBLANK(Tabella211[[#This Row],[Cum_deaths]]))</f>
        <v>8.8997398300459452</v>
      </c>
      <c r="AC14" s="10">
        <f>Tabella211[[#This Row],[Cum_D_fit]]+CIh</f>
        <v>236.45777502435811</v>
      </c>
      <c r="AD14" s="10">
        <f>MAX(Tabella211[[#This Row],[Cum_D_fit]]-CIh,0)</f>
        <v>0</v>
      </c>
      <c r="AE14" s="1"/>
      <c r="AF14" s="67" t="s">
        <v>109</v>
      </c>
      <c r="AG14" s="96" cm="1">
        <f t="array" ref="AG14">1-SUM((Tabella211[Colonna1]-Tabella211[Colonna2])^2)/SUM((Tabella211[Colonna1]-Mean_of_y)^2)</f>
        <v>0.99974848566890206</v>
      </c>
      <c r="AT14" s="111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126" cm="1">
        <f t="array" ref="G15">(K^(1-p)-(1-p)*EXP(-(Tabella211[[#This Row],[Day]]-t0)/w))^(1/(1-p))</f>
        <v>980.4804055042473</v>
      </c>
      <c r="H15" s="126">
        <f>(1/w)*EXP(-(Tabella211[[#This Row],[Day]]-t0)/w)*(Tabella211[[#This Row],[Cum_fit]])^p</f>
        <v>378.23991378149003</v>
      </c>
      <c r="I15" s="56">
        <f>Tabella211[[#This Row],[Cum_fit]]*NOT(ISBLANK(Tabella211[[#This Row],[Cum_confirmed]]))</f>
        <v>980.4804055042473</v>
      </c>
      <c r="J15" s="10">
        <f>Tabella211[[#This Row],[Cum_fit]]+CI</f>
        <v>3265.6855362815536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330.95825888058499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126">
        <f>(Kr^(1-pr)-(1-pr)*EXP(-(Tabella211[[#This Row],[Day]]-t0r)/wr))^(1/(1-pr))</f>
        <v>99.660763238897744</v>
      </c>
      <c r="S15" s="126">
        <f>(1/wr)*EXP(-(Tabella211[[#This Row],[Day]]-t0r)/wr)*(Tabella211[[#This Row],[Cum_R_fit]])^pr</f>
        <v>38.150203678315563</v>
      </c>
      <c r="T15" s="60">
        <f>Tabella211[[#This Row],[Cum_R_fit]]*NOT(ISBLANK(Tabella211[[#This Row],[Cum_recov]]))</f>
        <v>99.660763238897744</v>
      </c>
      <c r="U15" s="10">
        <f>Tabella211[[#This Row],[Cum_R_fit]]+CIr</f>
        <v>772.47073600625038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4">
        <f>Tabella211[[#This Row],[Cum_deaths]]*NOT(ISBLANK(Tabella211[[#This Row],[Cum_deaths]]))</f>
        <v>52</v>
      </c>
      <c r="Z15" s="50">
        <f>(Kh^(1-ph)-(1-ph)*EXP(-(Tabella211[[#This Row],[Day]]-t0h)/wh))^(1/(1-ph))</f>
        <v>16.065659649980645</v>
      </c>
      <c r="AA15" s="126">
        <f>(1/wh)*EXP(-(Tabella211[[#This Row],[Day]]-t0h)/wh)*(Tabella211[[#This Row],[Cum_D_fit]])^ph</f>
        <v>9.1314512225894653</v>
      </c>
      <c r="AB15" s="64">
        <f>Tabella211[[#This Row],[Cum_D_fit]]*NOT(ISBLANK(Tabella211[[#This Row],[Cum_deaths]]))</f>
        <v>16.065659649980645</v>
      </c>
      <c r="AC15" s="10">
        <f>Tabella211[[#This Row],[Cum_D_fit]]+CIh</f>
        <v>243.6236948442928</v>
      </c>
      <c r="AD15" s="10">
        <f>MAX(Tabella211[[#This Row],[Cum_D_fit]]-CIh,0)</f>
        <v>0</v>
      </c>
      <c r="AE15" s="1"/>
      <c r="AF15" s="67" t="s">
        <v>6</v>
      </c>
      <c r="AG15" s="96">
        <f>TINV(0.05,df)</f>
        <v>2.0106347576242314</v>
      </c>
      <c r="AT15" s="112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126" cm="1">
        <f t="array" ref="G16">(K^(1-p)-(1-p)*EXP(-(Tabella211[[#This Row],[Day]]-t0)/w))^(1/(1-p))</f>
        <v>1422.5145107340136</v>
      </c>
      <c r="H16" s="126">
        <f>(1/w)*EXP(-(Tabella211[[#This Row],[Day]]-t0)/w)*(Tabella211[[#This Row],[Cum_fit]])^p</f>
        <v>510.44667785960928</v>
      </c>
      <c r="I16" s="56">
        <f>Tabella211[[#This Row],[Cum_fit]]*NOT(ISBLANK(Tabella211[[#This Row],[Cum_confirmed]]))</f>
        <v>1422.5145107340136</v>
      </c>
      <c r="J16" s="10">
        <f>Tabella211[[#This Row],[Cum_fit]]+CI</f>
        <v>3707.7196415113199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445.22709540764384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126">
        <f>(Kr^(1-pr)-(1-pr)*EXP(-(Tabella211[[#This Row],[Day]]-t0r)/wr))^(1/(1-pr))</f>
        <v>143.83790905052291</v>
      </c>
      <c r="S16" s="126">
        <f>(1/wr)*EXP(-(Tabella211[[#This Row],[Day]]-t0r)/wr)*(Tabella211[[#This Row],[Cum_R_fit]])^pr</f>
        <v>50.59717179617401</v>
      </c>
      <c r="T16" s="60">
        <f>Tabella211[[#This Row],[Cum_R_fit]]*NOT(ISBLANK(Tabella211[[#This Row],[Cum_recov]]))</f>
        <v>143.83790905052291</v>
      </c>
      <c r="U16" s="10">
        <f>Tabella211[[#This Row],[Cum_R_fit]]+CIr</f>
        <v>816.64788181787549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4">
        <f>Tabella211[[#This Row],[Cum_deaths]]*NOT(ISBLANK(Tabella211[[#This Row],[Cum_deaths]]))</f>
        <v>79</v>
      </c>
      <c r="Z16" s="50">
        <f>(Kh^(1-ph)-(1-ph)*EXP(-(Tabella211[[#This Row],[Day]]-t0h)/wh))^(1/(1-ph))</f>
        <v>27.768442332885684</v>
      </c>
      <c r="AA16" s="126">
        <f>(1/wh)*EXP(-(Tabella211[[#This Row],[Day]]-t0h)/wh)*(Tabella211[[#This Row],[Cum_D_fit]])^ph</f>
        <v>14.622410655791434</v>
      </c>
      <c r="AB16" s="64">
        <f>Tabella211[[#This Row],[Cum_D_fit]]*NOT(ISBLANK(Tabella211[[#This Row],[Cum_deaths]]))</f>
        <v>27.768442332885684</v>
      </c>
      <c r="AC16" s="10">
        <f>Tabella211[[#This Row],[Cum_D_fit]]+CIh</f>
        <v>255.32647752719785</v>
      </c>
      <c r="AD16" s="10">
        <f>MAX(Tabella211[[#This Row],[Cum_D_fit]]-CIh,0)</f>
        <v>0</v>
      </c>
      <c r="AE16" s="1"/>
      <c r="AF16" s="67" t="s">
        <v>7</v>
      </c>
      <c r="AG16" s="94">
        <f>Critical_t*SE_of_y</f>
        <v>2285.2051307773063</v>
      </c>
      <c r="AT16" s="112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126" cm="1">
        <f t="array" ref="G17">(K^(1-p)-(1-p)*EXP(-(Tabella211[[#This Row],[Day]]-t0)/w))^(1/(1-p))</f>
        <v>2010.905952533245</v>
      </c>
      <c r="H17" s="126">
        <f>(1/w)*EXP(-(Tabella211[[#This Row],[Day]]-t0)/w)*(Tabella211[[#This Row],[Cum_fit]])^p</f>
        <v>671.21616400653943</v>
      </c>
      <c r="I17" s="56">
        <f>Tabella211[[#This Row],[Cum_fit]]*NOT(ISBLANK(Tabella211[[#This Row],[Cum_confirmed]]))</f>
        <v>2010.905952533245</v>
      </c>
      <c r="J17" s="10">
        <f>Tabella211[[#This Row],[Cum_fit]]+CI</f>
        <v>4296.1110833105513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583.23698606864286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126">
        <f>(Kr^(1-pr)-(1-pr)*EXP(-(Tabella211[[#This Row],[Day]]-t0r)/wr))^(1/(1-pr))</f>
        <v>201.66967503650656</v>
      </c>
      <c r="S17" s="126">
        <f>(1/wr)*EXP(-(Tabella211[[#This Row],[Day]]-t0r)/wr)*(Tabella211[[#This Row],[Cum_R_fit]])^pr</f>
        <v>65.486785569595938</v>
      </c>
      <c r="T17" s="60">
        <f>Tabella211[[#This Row],[Cum_R_fit]]*NOT(ISBLANK(Tabella211[[#This Row],[Cum_recov]]))</f>
        <v>201.66967503650656</v>
      </c>
      <c r="U17" s="10">
        <f>Tabella211[[#This Row],[Cum_R_fit]]+CIr</f>
        <v>874.47964780385917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4">
        <f>Tabella211[[#This Row],[Cum_deaths]]*NOT(ISBLANK(Tabella211[[#This Row],[Cum_deaths]]))</f>
        <v>107</v>
      </c>
      <c r="Z17" s="50">
        <f>(Kh^(1-ph)-(1-ph)*EXP(-(Tabella211[[#This Row],[Day]]-t0h)/wh))^(1/(1-ph))</f>
        <v>46.103110174318225</v>
      </c>
      <c r="AA17" s="126">
        <f>(1/wh)*EXP(-(Tabella211[[#This Row],[Day]]-t0h)/wh)*(Tabella211[[#This Row],[Cum_D_fit]])^ph</f>
        <v>22.492392368300699</v>
      </c>
      <c r="AB17" s="64">
        <f>Tabella211[[#This Row],[Cum_D_fit]]*NOT(ISBLANK(Tabella211[[#This Row],[Cum_deaths]]))</f>
        <v>46.103110174318225</v>
      </c>
      <c r="AC17" s="10">
        <f>Tabella211[[#This Row],[Cum_D_fit]]+CIh</f>
        <v>273.6611453686304</v>
      </c>
      <c r="AD17" s="10">
        <f>MAX(Tabella211[[#This Row],[Cum_D_fit]]-CIh,0)</f>
        <v>0</v>
      </c>
      <c r="AE17" s="1"/>
      <c r="AF17" s="67" t="s">
        <v>110</v>
      </c>
      <c r="AG17" s="33">
        <f>K</f>
        <v>205153.3805982901</v>
      </c>
      <c r="AT17" s="113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126" cm="1">
        <f t="array" ref="G18">(K^(1-p)-(1-p)*EXP(-(Tabella211[[#This Row],[Day]]-t0)/w))^(1/(1-p))</f>
        <v>2774.8236553080219</v>
      </c>
      <c r="H18" s="126">
        <f>(1/w)*EXP(-(Tabella211[[#This Row],[Day]]-t0)/w)*(Tabella211[[#This Row],[Cum_fit]])^p</f>
        <v>861.57663642170246</v>
      </c>
      <c r="I18" s="56">
        <f>Tabella211[[#This Row],[Cum_fit]]*NOT(ISBLANK(Tabella211[[#This Row],[Cum_confirmed]]))</f>
        <v>2774.8236553080219</v>
      </c>
      <c r="J18" s="10">
        <f>Tabella211[[#This Row],[Cum_fit]]+CI</f>
        <v>5060.0287860853277</v>
      </c>
      <c r="K18" s="10">
        <f>MAX(Tabella211[[#This Row],[Cum_fit]]-CI,0)</f>
        <v>489.6185245307156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745.27659431294603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126">
        <f>(Kr^(1-pr)-(1-pr)*EXP(-(Tabella211[[#This Row],[Day]]-t0r)/wr))^(1/(1-pr))</f>
        <v>275.67528959657272</v>
      </c>
      <c r="S18" s="126">
        <f>(1/wr)*EXP(-(Tabella211[[#This Row],[Day]]-t0r)/wr)*(Tabella211[[#This Row],[Cum_R_fit]])^pr</f>
        <v>82.966679238295697</v>
      </c>
      <c r="T18" s="60">
        <f>Tabella211[[#This Row],[Cum_R_fit]]*NOT(ISBLANK(Tabella211[[#This Row],[Cum_recov]]))</f>
        <v>275.67528959657272</v>
      </c>
      <c r="U18" s="10">
        <f>Tabella211[[#This Row],[Cum_R_fit]]+CIr</f>
        <v>948.48526236392536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4">
        <f>Tabella211[[#This Row],[Cum_deaths]]*NOT(ISBLANK(Tabella211[[#This Row],[Cum_deaths]]))</f>
        <v>148</v>
      </c>
      <c r="Z18" s="50">
        <f>(Kh^(1-ph)-(1-ph)*EXP(-(Tabella211[[#This Row],[Day]]-t0h)/wh))^(1/(1-ph))</f>
        <v>73.743687448522337</v>
      </c>
      <c r="AA18" s="126">
        <f>(1/wh)*EXP(-(Tabella211[[#This Row],[Day]]-t0h)/wh)*(Tabella211[[#This Row],[Cum_D_fit]])^ph</f>
        <v>33.333362870460796</v>
      </c>
      <c r="AB18" s="64">
        <f>Tabella211[[#This Row],[Cum_D_fit]]*NOT(ISBLANK(Tabella211[[#This Row],[Cum_deaths]]))</f>
        <v>73.743687448522337</v>
      </c>
      <c r="AC18" s="10">
        <f>Tabella211[[#This Row],[Cum_D_fit]]+CIh</f>
        <v>301.30172264283453</v>
      </c>
      <c r="AD18" s="10">
        <f>MAX(Tabella211[[#This Row],[Cum_D_fit]]-CIh,0)</f>
        <v>0</v>
      </c>
      <c r="AE18" s="1"/>
      <c r="AF18" s="67"/>
      <c r="AG18" s="76"/>
      <c r="AT18" s="100">
        <f>MAX($AG$27)</f>
        <v>0.99943069455436695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126" cm="1">
        <f t="array" ref="G19">(K^(1-p)-(1-p)*EXP(-(Tabella211[[#This Row],[Day]]-t0)/w))^(1/(1-p))</f>
        <v>3743.8885185972363</v>
      </c>
      <c r="H19" s="126">
        <f>(1/w)*EXP(-(Tabella211[[#This Row],[Day]]-t0)/w)*(Tabella211[[#This Row],[Cum_fit]])^p</f>
        <v>1081.3827959344978</v>
      </c>
      <c r="I19" s="56">
        <f>Tabella211[[#This Row],[Cum_fit]]*NOT(ISBLANK(Tabella211[[#This Row],[Cum_confirmed]]))</f>
        <v>3743.8885185972363</v>
      </c>
      <c r="J19" s="10">
        <f>Tabella211[[#This Row],[Cum_fit]]+CI</f>
        <v>6029.093649374543</v>
      </c>
      <c r="K19" s="10">
        <f>MAX(Tabella211[[#This Row],[Cum_fit]]-CI,0)</f>
        <v>1458.68338781993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930.50796764227312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126">
        <f>(Kr^(1-pr)-(1-pr)*EXP(-(Tabella211[[#This Row],[Day]]-t0r)/wr))^(1/(1-pr))</f>
        <v>368.50463418583792</v>
      </c>
      <c r="S19" s="126">
        <f>(1/wr)*EXP(-(Tabella211[[#This Row],[Day]]-t0r)/wr)*(Tabella211[[#This Row],[Cum_R_fit]])^pr</f>
        <v>103.15017606285157</v>
      </c>
      <c r="T19" s="60">
        <f>Tabella211[[#This Row],[Cum_R_fit]]*NOT(ISBLANK(Tabella211[[#This Row],[Cum_recov]]))</f>
        <v>368.50463418583792</v>
      </c>
      <c r="U19" s="10">
        <f>Tabella211[[#This Row],[Cum_R_fit]]+CIr</f>
        <v>1041.3146069531906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4">
        <f>Tabella211[[#This Row],[Cum_deaths]]*NOT(ISBLANK(Tabella211[[#This Row],[Cum_deaths]]))</f>
        <v>197</v>
      </c>
      <c r="Z19" s="50">
        <f>(Kh^(1-ph)-(1-ph)*EXP(-(Tabella211[[#This Row],[Day]]-t0h)/wh))^(1/(1-ph))</f>
        <v>113.95399551839357</v>
      </c>
      <c r="AA19" s="126">
        <f>(1/wh)*EXP(-(Tabella211[[#This Row],[Day]]-t0h)/wh)*(Tabella211[[#This Row],[Cum_D_fit]])^ph</f>
        <v>47.724652229373199</v>
      </c>
      <c r="AB19" s="64">
        <f>Tabella211[[#This Row],[Cum_D_fit]]*NOT(ISBLANK(Tabella211[[#This Row],[Cum_deaths]]))</f>
        <v>113.95399551839357</v>
      </c>
      <c r="AC19" s="10">
        <f>Tabella211[[#This Row],[Cum_D_fit]]+CIh</f>
        <v>341.51203071270572</v>
      </c>
      <c r="AD19" s="10">
        <f>MAX(Tabella211[[#This Row],[Cum_D_fit]]-CIh,0)</f>
        <v>0</v>
      </c>
      <c r="AE19" s="1"/>
      <c r="AF19" s="91" t="s">
        <v>114</v>
      </c>
      <c r="AG19" s="93">
        <v>0.99896027459660208</v>
      </c>
      <c r="AT19" s="101">
        <f>COUNT($AG$22,$AG$23,$AG$32)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126" cm="1">
        <f t="array" ref="G20">(K^(1-p)-(1-p)*EXP(-(Tabella211[[#This Row],[Day]]-t0)/w))^(1/(1-p))</f>
        <v>4946.9517747061527</v>
      </c>
      <c r="H20" s="126">
        <f>(1/w)*EXP(-(Tabella211[[#This Row],[Day]]-t0)/w)*(Tabella211[[#This Row],[Cum_fit]])^p</f>
        <v>1329.2347294841763</v>
      </c>
      <c r="I20" s="56">
        <f>Tabella211[[#This Row],[Cum_fit]]*NOT(ISBLANK(Tabella211[[#This Row],[Cum_confirmed]]))</f>
        <v>4946.9517747061527</v>
      </c>
      <c r="J20" s="10">
        <f>Tabella211[[#This Row],[Cum_fit]]+CI</f>
        <v>7232.156905483459</v>
      </c>
      <c r="K20" s="10">
        <f>MAX(Tabella211[[#This Row],[Cum_fit]]-CI,0)</f>
        <v>2661.7466439288464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1136.9392894556349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126">
        <f>(Kr^(1-pr)-(1-pr)*EXP(-(Tabella211[[#This Row],[Day]]-t0r)/wr))^(1/(1-pr))</f>
        <v>482.90307497146455</v>
      </c>
      <c r="S20" s="126">
        <f>(1/wr)*EXP(-(Tabella211[[#This Row],[Day]]-t0r)/wr)*(Tabella211[[#This Row],[Cum_R_fit]])^pr</f>
        <v>126.11475813518713</v>
      </c>
      <c r="T20" s="60">
        <f>Tabella211[[#This Row],[Cum_R_fit]]*NOT(ISBLANK(Tabella211[[#This Row],[Cum_recov]]))</f>
        <v>482.90307497146455</v>
      </c>
      <c r="U20" s="10">
        <f>Tabella211[[#This Row],[Cum_R_fit]]+CIr</f>
        <v>1155.7130477388173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4">
        <f>Tabella211[[#This Row],[Cum_deaths]]*NOT(ISBLANK(Tabella211[[#This Row],[Cum_deaths]]))</f>
        <v>233</v>
      </c>
      <c r="Z20" s="50">
        <f>(Kh^(1-ph)-(1-ph)*EXP(-(Tabella211[[#This Row],[Day]]-t0h)/wh))^(1/(1-ph))</f>
        <v>170.54922462091056</v>
      </c>
      <c r="AA20" s="126">
        <f>(1/wh)*EXP(-(Tabella211[[#This Row],[Day]]-t0h)/wh)*(Tabella211[[#This Row],[Cum_D_fit]])^ph</f>
        <v>66.18068189335429</v>
      </c>
      <c r="AB20" s="64">
        <f>Tabella211[[#This Row],[Cum_D_fit]]*NOT(ISBLANK(Tabella211[[#This Row],[Cum_deaths]]))</f>
        <v>170.54922462091056</v>
      </c>
      <c r="AC20" s="10">
        <f>Tabella211[[#This Row],[Cum_D_fit]]+CIh</f>
        <v>398.10725981522273</v>
      </c>
      <c r="AD20" s="10">
        <f>MAX(Tabella211[[#This Row],[Cum_D_fit]]-CIh,0)</f>
        <v>0</v>
      </c>
      <c r="AE20" s="1"/>
      <c r="AF20" s="59" t="s">
        <v>81</v>
      </c>
      <c r="AG20" s="74" t="s">
        <v>97</v>
      </c>
      <c r="AT20" s="101" t="b">
        <f>pr&lt;=0.999999</f>
        <v>1</v>
      </c>
    </row>
    <row r="21" spans="2:46" x14ac:dyDescent="0.3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126" cm="1">
        <f t="array" ref="G21">(K^(1-p)-(1-p)*EXP(-(Tabella211[[#This Row],[Day]]-t0)/w))^(1/(1-p))</f>
        <v>6410.8382262525547</v>
      </c>
      <c r="H21" s="126">
        <f>(1/w)*EXP(-(Tabella211[[#This Row],[Day]]-t0)/w)*(Tabella211[[#This Row],[Cum_fit]])^p</f>
        <v>1602.4889709225556</v>
      </c>
      <c r="I21" s="56">
        <f>Tabella211[[#This Row],[Cum_fit]]*NOT(ISBLANK(Tabella211[[#This Row],[Cum_confirmed]]))</f>
        <v>6410.8382262525547</v>
      </c>
      <c r="J21" s="10">
        <f>Tabella211[[#This Row],[Cum_fit]]+CI</f>
        <v>8696.043357029861</v>
      </c>
      <c r="K21" s="10">
        <f>MAX(Tabella211[[#This Row],[Cum_fit]]-CI,0)</f>
        <v>4125.6330954752484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1361.4895504433134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126">
        <f>(Kr^(1-pr)-(1-pr)*EXP(-(Tabella211[[#This Row],[Day]]-t0r)/wr))^(1/(1-pr))</f>
        <v>621.67529740452392</v>
      </c>
      <c r="S21" s="126">
        <f>(1/wr)*EXP(-(Tabella211[[#This Row],[Day]]-t0r)/wr)*(Tabella211[[#This Row],[Cum_R_fit]])^pr</f>
        <v>151.90158137985526</v>
      </c>
      <c r="T21" s="60">
        <f>Tabella211[[#This Row],[Cum_R_fit]]*NOT(ISBLANK(Tabella211[[#This Row],[Cum_recov]]))</f>
        <v>621.67529740452392</v>
      </c>
      <c r="U21" s="10">
        <f>Tabella211[[#This Row],[Cum_R_fit]]+CIr</f>
        <v>1294.4852701718764</v>
      </c>
      <c r="V21" s="10">
        <f>MAX(Tabella211[[#This Row],[Cum_R_fit]]-CIr,0)</f>
        <v>0</v>
      </c>
      <c r="W21" s="10">
        <f>'dpc-covid19-ita-andamento-naz'!K15</f>
        <v>366</v>
      </c>
      <c r="X21" s="26">
        <f>Tabella211[[#This Row],[Cum_deaths]]-W20</f>
        <v>133</v>
      </c>
      <c r="Y21" s="64">
        <f>Tabella211[[#This Row],[Cum_deaths]]*NOT(ISBLANK(Tabella211[[#This Row],[Cum_deaths]]))</f>
        <v>366</v>
      </c>
      <c r="Z21" s="50">
        <f>(Kh^(1-ph)-(1-ph)*EXP(-(Tabella211[[#This Row],[Day]]-t0h)/wh))^(1/(1-ph))</f>
        <v>247.80425526583869</v>
      </c>
      <c r="AA21" s="126">
        <f>(1/wh)*EXP(-(Tabella211[[#This Row],[Day]]-t0h)/wh)*(Tabella211[[#This Row],[Cum_D_fit]])^ph</f>
        <v>89.097839099386988</v>
      </c>
      <c r="AB21" s="64">
        <f>Tabella211[[#This Row],[Cum_D_fit]]*NOT(ISBLANK(Tabella211[[#This Row],[Cum_deaths]]))</f>
        <v>247.80425526583869</v>
      </c>
      <c r="AC21" s="10">
        <f>Tabella211[[#This Row],[Cum_D_fit]]+CIh</f>
        <v>475.36229046015086</v>
      </c>
      <c r="AD21" s="10">
        <f>MAX(Tabella211[[#This Row],[Cum_D_fit]]-CIh,0)</f>
        <v>20.246220071526523</v>
      </c>
      <c r="AE21" s="1"/>
      <c r="AF21" s="103" t="s">
        <v>0</v>
      </c>
      <c r="AG21" s="104">
        <f>K-Kh</f>
        <v>177293.05160542074</v>
      </c>
      <c r="AT21" s="101" t="b">
        <f>pr&gt;=0</f>
        <v>1</v>
      </c>
    </row>
    <row r="22" spans="2:46" ht="15.6" x14ac:dyDescent="0.35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126" cm="1">
        <f t="array" ref="G22">(K^(1-p)-(1-p)*EXP(-(Tabella211[[#This Row],[Day]]-t0)/w))^(1/(1-p))</f>
        <v>8159.1455035551344</v>
      </c>
      <c r="H22" s="126">
        <f>(1/w)*EXP(-(Tabella211[[#This Row],[Day]]-t0)/w)*(Tabella211[[#This Row],[Cum_fit]])^p</f>
        <v>1897.3580605344055</v>
      </c>
      <c r="I22" s="56">
        <f>Tabella211[[#This Row],[Cum_fit]]*NOT(ISBLANK(Tabella211[[#This Row],[Cum_confirmed]]))</f>
        <v>8159.1455035551344</v>
      </c>
      <c r="J22" s="10">
        <f>Tabella211[[#This Row],[Cum_fit]]+CI</f>
        <v>10444.350634332441</v>
      </c>
      <c r="K22" s="10">
        <f>MAX(Tabella211[[#This Row],[Cum_fit]]-CI,0)</f>
        <v>5873.9403727778281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1600.135031623282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126">
        <f>(Kr^(1-pr)-(1-pr)*EXP(-(Tabella211[[#This Row],[Day]]-t0r)/wr))^(1/(1-pr))</f>
        <v>787.64912378618988</v>
      </c>
      <c r="S22" s="126">
        <f>(1/wr)*EXP(-(Tabella211[[#This Row],[Day]]-t0r)/wr)*(Tabella211[[#This Row],[Cum_R_fit]])^pr</f>
        <v>180.51590376800448</v>
      </c>
      <c r="T22" s="60">
        <f>Tabella211[[#This Row],[Cum_R_fit]]*NOT(ISBLANK(Tabella211[[#This Row],[Cum_recov]]))</f>
        <v>787.64912378618988</v>
      </c>
      <c r="U22" s="10">
        <f>Tabella211[[#This Row],[Cum_R_fit]]+CIr</f>
        <v>1460.4590965535426</v>
      </c>
      <c r="V22" s="10">
        <f>MAX(Tabella211[[#This Row],[Cum_R_fit]]-CIr,0)</f>
        <v>114.83915101883724</v>
      </c>
      <c r="W22" s="10">
        <f>'dpc-covid19-ita-andamento-naz'!K16</f>
        <v>463</v>
      </c>
      <c r="X22" s="26">
        <f>Tabella211[[#This Row],[Cum_deaths]]-W21</f>
        <v>97</v>
      </c>
      <c r="Y22" s="64">
        <f>Tabella211[[#This Row],[Cum_deaths]]*NOT(ISBLANK(Tabella211[[#This Row],[Cum_deaths]]))</f>
        <v>463</v>
      </c>
      <c r="Z22" s="50">
        <f>(Kh^(1-ph)-(1-ph)*EXP(-(Tabella211[[#This Row],[Day]]-t0h)/wh))^(1/(1-ph))</f>
        <v>350.31120111612415</v>
      </c>
      <c r="AA22" s="126">
        <f>(1/wh)*EXP(-(Tabella211[[#This Row],[Day]]-t0h)/wh)*(Tabella211[[#This Row],[Cum_D_fit]])^ph</f>
        <v>116.7071251431189</v>
      </c>
      <c r="AB22" s="64">
        <f>Tabella211[[#This Row],[Cum_D_fit]]*NOT(ISBLANK(Tabella211[[#This Row],[Cum_deaths]]))</f>
        <v>350.31120111612415</v>
      </c>
      <c r="AC22" s="10">
        <f>Tabella211[[#This Row],[Cum_D_fit]]+CIh</f>
        <v>577.86923631043635</v>
      </c>
      <c r="AD22" s="10">
        <f>MAX(Tabella211[[#This Row],[Cum_D_fit]]-CIh,0)</f>
        <v>122.75316592181198</v>
      </c>
      <c r="AE22" s="1"/>
      <c r="AF22" s="103" t="s">
        <v>111</v>
      </c>
      <c r="AG22" s="105">
        <v>133.17779782392995</v>
      </c>
      <c r="AT22" s="101">
        <f>{32767;32767;0.000001;0;FALSE;FALSE;TRUE;1;1;1;0.0001;TRUE}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126" cm="1">
        <f t="array" ref="G23">(K^(1-p)-(1-p)*EXP(-(Tabella211[[#This Row],[Day]]-t0)/w))^(1/(1-p))</f>
        <v>10211.182183501624</v>
      </c>
      <c r="H23" s="126">
        <f>(1/w)*EXP(-(Tabella211[[#This Row],[Day]]-t0)/w)*(Tabella211[[#This Row],[Cum_fit]])^p</f>
        <v>2209.0859782425355</v>
      </c>
      <c r="I23" s="56">
        <f>Tabella211[[#This Row],[Cum_fit]]*NOT(ISBLANK(Tabella211[[#This Row],[Cum_confirmed]]))</f>
        <v>10211.182183501624</v>
      </c>
      <c r="J23" s="10">
        <f>Tabella211[[#This Row],[Cum_fit]]+CI</f>
        <v>12496.387314278931</v>
      </c>
      <c r="K23" s="10">
        <f>MAX(Tabella211[[#This Row],[Cum_fit]]-CI,0)</f>
        <v>7925.9770527243172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1848.1191864310317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126">
        <f>(Kr^(1-pr)-(1-pr)*EXP(-(Tabella211[[#This Row],[Day]]-t0r)/wr))^(1/(1-pr))</f>
        <v>983.64015805311999</v>
      </c>
      <c r="S23" s="126">
        <f>(1/wr)*EXP(-(Tabella211[[#This Row],[Day]]-t0r)/wr)*(Tabella211[[#This Row],[Cum_R_fit]])^pr</f>
        <v>211.92828832669068</v>
      </c>
      <c r="T23" s="60">
        <f>Tabella211[[#This Row],[Cum_R_fit]]*NOT(ISBLANK(Tabella211[[#This Row],[Cum_recov]]))</f>
        <v>983.64015805311999</v>
      </c>
      <c r="U23" s="10">
        <f>Tabella211[[#This Row],[Cum_R_fit]]+CIr</f>
        <v>1656.4501308204726</v>
      </c>
      <c r="V23" s="10">
        <f>MAX(Tabella211[[#This Row],[Cum_R_fit]]-CIr,0)</f>
        <v>310.83018528576736</v>
      </c>
      <c r="W23" s="10">
        <f>'dpc-covid19-ita-andamento-naz'!K17</f>
        <v>631</v>
      </c>
      <c r="X23" s="26">
        <f>Tabella211[[#This Row],[Cum_deaths]]-W22</f>
        <v>168</v>
      </c>
      <c r="Y23" s="64">
        <f>Tabella211[[#This Row],[Cum_deaths]]*NOT(ISBLANK(Tabella211[[#This Row],[Cum_deaths]]))</f>
        <v>631</v>
      </c>
      <c r="Z23" s="50">
        <f>(Kh^(1-ph)-(1-ph)*EXP(-(Tabella211[[#This Row],[Day]]-t0h)/wh))^(1/(1-ph))</f>
        <v>482.79501304792115</v>
      </c>
      <c r="AA23" s="126">
        <f>(1/wh)*EXP(-(Tabella211[[#This Row],[Day]]-t0h)/wh)*(Tabella211[[#This Row],[Cum_D_fit]])^ph</f>
        <v>149.03850348481308</v>
      </c>
      <c r="AB23" s="64">
        <f>Tabella211[[#This Row],[Cum_D_fit]]*NOT(ISBLANK(Tabella211[[#This Row],[Cum_deaths]]))</f>
        <v>482.79501304792115</v>
      </c>
      <c r="AC23" s="10">
        <f>Tabella211[[#This Row],[Cum_D_fit]]+CIh</f>
        <v>710.35304824223329</v>
      </c>
      <c r="AD23" s="10">
        <f>MAX(Tabella211[[#This Row],[Cum_D_fit]]-CIh,0)</f>
        <v>255.23697785360898</v>
      </c>
      <c r="AE23" s="1"/>
      <c r="AF23" s="103" t="s">
        <v>1</v>
      </c>
      <c r="AG23" s="105">
        <v>37.298876656687632</v>
      </c>
      <c r="AT23" s="102">
        <f>{0;0;1;100;0;FALSE;TRUE;0.075;0;0;FALSE;30}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126" cm="1">
        <f t="array" ref="G24">(K^(1-p)-(1-p)*EXP(-(Tabella211[[#This Row],[Day]]-t0)/w))^(1/(1-p))</f>
        <v>12581.111523541855</v>
      </c>
      <c r="H24" s="126">
        <f>(1/w)*EXP(-(Tabella211[[#This Row],[Day]]-t0)/w)*(Tabella211[[#This Row],[Cum_fit]])^p</f>
        <v>2532.1803842309614</v>
      </c>
      <c r="I24" s="56">
        <f>Tabella211[[#This Row],[Cum_fit]]*NOT(ISBLANK(Tabella211[[#This Row],[Cum_confirmed]]))</f>
        <v>12581.111523541855</v>
      </c>
      <c r="J24" s="10">
        <f>Tabella211[[#This Row],[Cum_fit]]+CI</f>
        <v>14866.316654319162</v>
      </c>
      <c r="K24" s="10">
        <f>MAX(Tabella211[[#This Row],[Cum_fit]]-CI,0)</f>
        <v>10295.906392764547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2100.2027188781808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126">
        <f>(Kr^(1-pr)-(1-pr)*EXP(-(Tabella211[[#This Row],[Day]]-t0r)/wr))^(1/(1-pr))</f>
        <v>1212.4179632964617</v>
      </c>
      <c r="S24" s="126">
        <f>(1/wr)*EXP(-(Tabella211[[#This Row],[Day]]-t0r)/wr)*(Tabella211[[#This Row],[Cum_R_fit]])^pr</f>
        <v>246.07644290972118</v>
      </c>
      <c r="T24" s="60">
        <f>Tabella211[[#This Row],[Cum_R_fit]]*NOT(ISBLANK(Tabella211[[#This Row],[Cum_recov]]))</f>
        <v>1212.4179632964617</v>
      </c>
      <c r="U24" s="10">
        <f>Tabella211[[#This Row],[Cum_R_fit]]+CIr</f>
        <v>1885.2279360638145</v>
      </c>
      <c r="V24" s="10">
        <f>MAX(Tabella211[[#This Row],[Cum_R_fit]]-CIr,0)</f>
        <v>539.60799052910909</v>
      </c>
      <c r="W24" s="10">
        <f>'dpc-covid19-ita-andamento-naz'!K18</f>
        <v>827</v>
      </c>
      <c r="X24" s="26">
        <f>Tabella211[[#This Row],[Cum_deaths]]-W23</f>
        <v>196</v>
      </c>
      <c r="Y24" s="64">
        <f>Tabella211[[#This Row],[Cum_deaths]]*NOT(ISBLANK(Tabella211[[#This Row],[Cum_deaths]]))</f>
        <v>827</v>
      </c>
      <c r="Z24" s="50">
        <f>(Kh^(1-ph)-(1-ph)*EXP(-(Tabella211[[#This Row],[Day]]-t0h)/wh))^(1/(1-ph))</f>
        <v>649.9011495466309</v>
      </c>
      <c r="AA24" s="126">
        <f>(1/wh)*EXP(-(Tabella211[[#This Row],[Day]]-t0h)/wh)*(Tabella211[[#This Row],[Cum_D_fit]])^ph</f>
        <v>185.90122244305948</v>
      </c>
      <c r="AB24" s="64">
        <f>Tabella211[[#This Row],[Cum_D_fit]]*NOT(ISBLANK(Tabella211[[#This Row],[Cum_deaths]]))</f>
        <v>649.9011495466309</v>
      </c>
      <c r="AC24" s="10">
        <f>Tabella211[[#This Row],[Cum_D_fit]]+CIh</f>
        <v>877.4591847409431</v>
      </c>
      <c r="AD24" s="10">
        <f>MAX(Tabella211[[#This Row],[Cum_D_fit]]-CIh,0)</f>
        <v>422.34311435231871</v>
      </c>
      <c r="AE24" s="1"/>
      <c r="AF24" s="106" t="s">
        <v>2</v>
      </c>
      <c r="AG24" s="107">
        <f>AVERAGE(Tabella211[Cum_recov])</f>
        <v>10674</v>
      </c>
      <c r="AT24" s="114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126" cm="1">
        <f t="array" ref="G25">(K^(1-p)-(1-p)*EXP(-(Tabella211[[#This Row],[Day]]-t0)/w))^(1/(1-p))</f>
        <v>15277.346535740866</v>
      </c>
      <c r="H25" s="126">
        <f>(1/w)*EXP(-(Tabella211[[#This Row],[Day]]-t0)/w)*(Tabella211[[#This Row],[Cum_fit]])^p</f>
        <v>2860.6791887580921</v>
      </c>
      <c r="I25" s="56">
        <f>Tabella211[[#This Row],[Cum_fit]]*NOT(ISBLANK(Tabella211[[#This Row],[Cum_confirmed]]))</f>
        <v>15277.346535740866</v>
      </c>
      <c r="J25" s="10">
        <f>Tabella211[[#This Row],[Cum_fit]]+CI</f>
        <v>17562.551666518171</v>
      </c>
      <c r="K25" s="10">
        <f>MAX(Tabella211[[#This Row],[Cum_fit]]-CI,0)</f>
        <v>12992.14140496356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2350.9294562067375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126">
        <f>(Kr^(1-pr)-(1-pr)*EXP(-(Tabella211[[#This Row],[Day]]-t0r)/wr))^(1/(1-pr))</f>
        <v>1476.6743418181275</v>
      </c>
      <c r="S25" s="126">
        <f>(1/wr)*EXP(-(Tabella211[[#This Row],[Day]]-t0r)/wr)*(Tabella211[[#This Row],[Cum_R_fit]])^pr</f>
        <v>282.86756403070621</v>
      </c>
      <c r="T25" s="60">
        <f>Tabella211[[#This Row],[Cum_R_fit]]*NOT(ISBLANK(Tabella211[[#This Row],[Cum_recov]]))</f>
        <v>1476.6743418181275</v>
      </c>
      <c r="U25" s="10">
        <f>Tabella211[[#This Row],[Cum_R_fit]]+CIr</f>
        <v>2149.4843145854802</v>
      </c>
      <c r="V25" s="10">
        <f>MAX(Tabella211[[#This Row],[Cum_R_fit]]-CIr,0)</f>
        <v>803.86436905077483</v>
      </c>
      <c r="W25" s="10">
        <f>'dpc-covid19-ita-andamento-naz'!K19</f>
        <v>1016</v>
      </c>
      <c r="X25" s="26">
        <f>Tabella211[[#This Row],[Cum_deaths]]-W24</f>
        <v>189</v>
      </c>
      <c r="Y25" s="64">
        <f>Tabella211[[#This Row],[Cum_deaths]]*NOT(ISBLANK(Tabella211[[#This Row],[Cum_deaths]]))</f>
        <v>1016</v>
      </c>
      <c r="Z25" s="50">
        <f>(Kh^(1-ph)-(1-ph)*EXP(-(Tabella211[[#This Row],[Day]]-t0h)/wh))^(1/(1-ph))</f>
        <v>855.9725127913631</v>
      </c>
      <c r="AA25" s="126">
        <f>(1/wh)*EXP(-(Tabella211[[#This Row],[Day]]-t0h)/wh)*(Tabella211[[#This Row],[Cum_D_fit]])^ph</f>
        <v>226.88216852064869</v>
      </c>
      <c r="AB25" s="64">
        <f>Tabella211[[#This Row],[Cum_D_fit]]*NOT(ISBLANK(Tabella211[[#This Row],[Cum_deaths]]))</f>
        <v>855.9725127913631</v>
      </c>
      <c r="AC25" s="10">
        <f>Tabella211[[#This Row],[Cum_D_fit]]+CIh</f>
        <v>1083.5305479856752</v>
      </c>
      <c r="AD25" s="10">
        <f>MAX(Tabella211[[#This Row],[Cum_D_fit]]-CIh,0)</f>
        <v>628.4144775970509</v>
      </c>
      <c r="AE25" s="1"/>
      <c r="AF25" s="106" t="s">
        <v>3</v>
      </c>
      <c r="AG25" s="107">
        <f>COUNT(Tabella211[Cum_recov])-COUNT(AG21:AG23,pr)</f>
        <v>48</v>
      </c>
      <c r="AT25" s="115"/>
    </row>
    <row r="26" spans="2:46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126" cm="1">
        <f t="array" ref="G26">(K^(1-p)-(1-p)*EXP(-(Tabella211[[#This Row],[Day]]-t0)/w))^(1/(1-p))</f>
        <v>18302.219185759957</v>
      </c>
      <c r="H26" s="126">
        <f>(1/w)*EXP(-(Tabella211[[#This Row],[Day]]-t0)/w)*(Tabella211[[#This Row],[Cum_fit]])^p</f>
        <v>3188.4285103669636</v>
      </c>
      <c r="I26" s="56">
        <f>Tabella211[[#This Row],[Cum_fit]]*NOT(ISBLANK(Tabella211[[#This Row],[Cum_confirmed]]))</f>
        <v>18302.219185759957</v>
      </c>
      <c r="J26" s="10">
        <f>Tabella211[[#This Row],[Cum_fit]]+CI</f>
        <v>20587.424316537265</v>
      </c>
      <c r="K26" s="10">
        <f>MAX(Tabella211[[#This Row],[Cum_fit]]-CI,0)</f>
        <v>16017.01405498265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2594.885483807424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126">
        <f>(Kr^(1-pr)-(1-pr)*EXP(-(Tabella211[[#This Row],[Day]]-t0r)/wr))^(1/(1-pr))</f>
        <v>1778.9941589790078</v>
      </c>
      <c r="S26" s="126">
        <f>(1/wr)*EXP(-(Tabella211[[#This Row],[Day]]-t0r)/wr)*(Tabella211[[#This Row],[Cum_R_fit]])^pr</f>
        <v>322.18106082019023</v>
      </c>
      <c r="T26" s="60">
        <f>Tabella211[[#This Row],[Cum_R_fit]]*NOT(ISBLANK(Tabella211[[#This Row],[Cum_recov]]))</f>
        <v>1778.9941589790078</v>
      </c>
      <c r="U26" s="10">
        <f>Tabella211[[#This Row],[Cum_R_fit]]+CIr</f>
        <v>2451.8041317463603</v>
      </c>
      <c r="V26" s="10">
        <f>MAX(Tabella211[[#This Row],[Cum_R_fit]]-CIr,0)</f>
        <v>1106.1841862116553</v>
      </c>
      <c r="W26" s="10">
        <f>'dpc-covid19-ita-andamento-naz'!K20</f>
        <v>1266</v>
      </c>
      <c r="X26" s="26">
        <f>Tabella211[[#This Row],[Cum_deaths]]-W25</f>
        <v>250</v>
      </c>
      <c r="Y26" s="64">
        <f>Tabella211[[#This Row],[Cum_deaths]]*NOT(ISBLANK(Tabella211[[#This Row],[Cum_deaths]]))</f>
        <v>1266</v>
      </c>
      <c r="Z26" s="50">
        <f>(Kh^(1-ph)-(1-ph)*EXP(-(Tabella211[[#This Row],[Day]]-t0h)/wh))^(1/(1-ph))</f>
        <v>1104.8337275623935</v>
      </c>
      <c r="AA26" s="126">
        <f>(1/wh)*EXP(-(Tabella211[[#This Row],[Day]]-t0h)/wh)*(Tabella211[[#This Row],[Cum_D_fit]])^ph</f>
        <v>271.36196573934939</v>
      </c>
      <c r="AB26" s="64">
        <f>Tabella211[[#This Row],[Cum_D_fit]]*NOT(ISBLANK(Tabella211[[#This Row],[Cum_deaths]]))</f>
        <v>1104.8337275623935</v>
      </c>
      <c r="AC26" s="10">
        <f>Tabella211[[#This Row],[Cum_D_fit]]+CIh</f>
        <v>1332.3917627567057</v>
      </c>
      <c r="AD26" s="10">
        <f>MAX(Tabella211[[#This Row],[Cum_D_fit]]-CIh,0)</f>
        <v>877.27569236808131</v>
      </c>
      <c r="AE26" s="1"/>
      <c r="AF26" s="106" t="s">
        <v>4</v>
      </c>
      <c r="AG26" s="108" cm="1">
        <f t="array" ref="AG26">SQRT(SUM((Tabella211[Colonna3]-Tabella211[Colonna4])^2)/dfr)</f>
        <v>334.62565501570549</v>
      </c>
      <c r="AT26" s="115"/>
    </row>
    <row r="27" spans="2:46" ht="16.8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126" cm="1">
        <f t="array" ref="G27">(K^(1-p)-(1-p)*EXP(-(Tabella211[[#This Row],[Day]]-t0)/w))^(1/(1-p))</f>
        <v>21651.924385201914</v>
      </c>
      <c r="H27" s="126">
        <f>(1/w)*EXP(-(Tabella211[[#This Row],[Day]]-t0)/w)*(Tabella211[[#This Row],[Cum_fit]])^p</f>
        <v>3509.3510869307825</v>
      </c>
      <c r="I27" s="56">
        <f>Tabella211[[#This Row],[Cum_fit]]*NOT(ISBLANK(Tabella211[[#This Row],[Cum_confirmed]]))</f>
        <v>21651.924385201914</v>
      </c>
      <c r="J27" s="10">
        <f>Tabella211[[#This Row],[Cum_fit]]+CI</f>
        <v>23937.129515979221</v>
      </c>
      <c r="K27" s="10">
        <f>MAX(Tabella211[[#This Row],[Cum_fit]]-CI,0)</f>
        <v>19366.719254424606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2826.9330661607682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126">
        <f>(Kr^(1-pr)-(1-pr)*EXP(-(Tabella211[[#This Row],[Day]]-t0r)/wr))^(1/(1-pr))</f>
        <v>2121.829033499404</v>
      </c>
      <c r="S27" s="126">
        <f>(1/wr)*EXP(-(Tabella211[[#This Row],[Day]]-t0r)/wr)*(Tabella211[[#This Row],[Cum_R_fit]])^pr</f>
        <v>363.87154613719514</v>
      </c>
      <c r="T27" s="60">
        <f>Tabella211[[#This Row],[Cum_R_fit]]*NOT(ISBLANK(Tabella211[[#This Row],[Cum_recov]]))</f>
        <v>2121.829033499404</v>
      </c>
      <c r="U27" s="10">
        <f>Tabella211[[#This Row],[Cum_R_fit]]+CIr</f>
        <v>2794.6390062667565</v>
      </c>
      <c r="V27" s="10">
        <f>MAX(Tabella211[[#This Row],[Cum_R_fit]]-CIr,0)</f>
        <v>1449.0190607320515</v>
      </c>
      <c r="W27" s="10">
        <f>'dpc-covid19-ita-andamento-naz'!K21</f>
        <v>1441</v>
      </c>
      <c r="X27" s="26">
        <f>Tabella211[[#This Row],[Cum_deaths]]-W26</f>
        <v>175</v>
      </c>
      <c r="Y27" s="64">
        <f>Tabella211[[#This Row],[Cum_deaths]]*NOT(ISBLANK(Tabella211[[#This Row],[Cum_deaths]]))</f>
        <v>1441</v>
      </c>
      <c r="Z27" s="50">
        <f>(Kh^(1-ph)-(1-ph)*EXP(-(Tabella211[[#This Row],[Day]]-t0h)/wh))^(1/(1-ph))</f>
        <v>1399.5994874390262</v>
      </c>
      <c r="AA27" s="126">
        <f>(1/wh)*EXP(-(Tabella211[[#This Row],[Day]]-t0h)/wh)*(Tabella211[[#This Row],[Cum_D_fit]])^ph</f>
        <v>318.5464746328189</v>
      </c>
      <c r="AB27" s="64">
        <f>Tabella211[[#This Row],[Cum_D_fit]]*NOT(ISBLANK(Tabella211[[#This Row],[Cum_deaths]]))</f>
        <v>1399.5994874390262</v>
      </c>
      <c r="AC27" s="10">
        <f>Tabella211[[#This Row],[Cum_D_fit]]+CIh</f>
        <v>1627.1575226333384</v>
      </c>
      <c r="AD27" s="10">
        <f>MAX(Tabella211[[#This Row],[Cum_D_fit]]-CIh,0)</f>
        <v>1172.041452244714</v>
      </c>
      <c r="AE27" s="1"/>
      <c r="AF27" s="106" t="s">
        <v>112</v>
      </c>
      <c r="AG27" s="109" cm="1">
        <f t="array" ref="AG27">1-SUM((Tabella211[Colonna3]-Tabella211[Colonna4])^2)/SUM((Tabella211[Colonna3]-Mean_of_yr)^2)</f>
        <v>0.99943069455436695</v>
      </c>
      <c r="AT27" s="116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126" cm="1">
        <f t="array" ref="G28">(K^(1-p)-(1-p)*EXP(-(Tabella211[[#This Row],[Day]]-t0)/w))^(1/(1-p))</f>
        <v>25316.7202770361</v>
      </c>
      <c r="H28" s="126">
        <f>(1/w)*EXP(-(Tabella211[[#This Row],[Day]]-t0)/w)*(Tabella211[[#This Row],[Cum_fit]])^p</f>
        <v>3817.6879648215645</v>
      </c>
      <c r="I28" s="56">
        <f>Tabella211[[#This Row],[Cum_fit]]*NOT(ISBLANK(Tabella211[[#This Row],[Cum_confirmed]]))</f>
        <v>25316.7202770361</v>
      </c>
      <c r="J28" s="10">
        <f>Tabella211[[#This Row],[Cum_fit]]+CI</f>
        <v>27601.925407813407</v>
      </c>
      <c r="K28" s="10">
        <f>MAX(Tabella211[[#This Row],[Cum_fit]]-CI,0)</f>
        <v>23031.515146258793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3042.4061269107647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126">
        <f>(Kr^(1-pr)-(1-pr)*EXP(-(Tabella211[[#This Row],[Day]]-t0r)/wr))^(1/(1-pr))</f>
        <v>2507.4741099410676</v>
      </c>
      <c r="S28" s="126">
        <f>(1/wr)*EXP(-(Tabella211[[#This Row],[Day]]-t0r)/wr)*(Tabella211[[#This Row],[Cum_R_fit]])^pr</f>
        <v>407.77199408397024</v>
      </c>
      <c r="T28" s="60">
        <f>Tabella211[[#This Row],[Cum_R_fit]]*NOT(ISBLANK(Tabella211[[#This Row],[Cum_recov]]))</f>
        <v>2507.4741099410676</v>
      </c>
      <c r="U28" s="10">
        <f>Tabella211[[#This Row],[Cum_R_fit]]+CIr</f>
        <v>3180.2840827084201</v>
      </c>
      <c r="V28" s="10">
        <f>MAX(Tabella211[[#This Row],[Cum_R_fit]]-CIr,0)</f>
        <v>1834.6641371737151</v>
      </c>
      <c r="W28" s="10">
        <f>'dpc-covid19-ita-andamento-naz'!K22</f>
        <v>1809</v>
      </c>
      <c r="X28" s="26">
        <f>Tabella211[[#This Row],[Cum_deaths]]-W27</f>
        <v>368</v>
      </c>
      <c r="Y28" s="64">
        <f>Tabella211[[#This Row],[Cum_deaths]]*NOT(ISBLANK(Tabella211[[#This Row],[Cum_deaths]]))</f>
        <v>1809</v>
      </c>
      <c r="Z28" s="50">
        <f>(Kh^(1-ph)-(1-ph)*EXP(-(Tabella211[[#This Row],[Day]]-t0h)/wh))^(1/(1-ph))</f>
        <v>1742.5205414371424</v>
      </c>
      <c r="AA28" s="126">
        <f>(1/wh)*EXP(-(Tabella211[[#This Row],[Day]]-t0h)/wh)*(Tabella211[[#This Row],[Cum_D_fit]])^ph</f>
        <v>367.50984382682964</v>
      </c>
      <c r="AB28" s="64">
        <f>Tabella211[[#This Row],[Cum_D_fit]]*NOT(ISBLANK(Tabella211[[#This Row],[Cum_deaths]]))</f>
        <v>1742.5205414371424</v>
      </c>
      <c r="AC28" s="10">
        <f>Tabella211[[#This Row],[Cum_D_fit]]+CIh</f>
        <v>1970.0785766314546</v>
      </c>
      <c r="AD28" s="10">
        <f>MAX(Tabella211[[#This Row],[Cum_D_fit]]-CIh,0)</f>
        <v>1514.9625062428302</v>
      </c>
      <c r="AE28" s="1"/>
      <c r="AF28" s="106" t="s">
        <v>6</v>
      </c>
      <c r="AG28" s="109">
        <f>TINV(0.05,dfr)</f>
        <v>2.0106347576242314</v>
      </c>
      <c r="AT28" s="83">
        <f>MAX($AG$40)</f>
        <v>0.99984162157560508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126" cm="1">
        <f t="array" ref="G29">(K^(1-p)-(1-p)*EXP(-(Tabella211[[#This Row],[Day]]-t0)/w))^(1/(1-p))</f>
        <v>29281.351457698394</v>
      </c>
      <c r="H29" s="126">
        <f>(1/w)*EXP(-(Tabella211[[#This Row],[Day]]-t0)/w)*(Tabella211[[#This Row],[Cum_fit]])^p</f>
        <v>4108.2010284564303</v>
      </c>
      <c r="I29" s="56">
        <f>Tabella211[[#This Row],[Cum_fit]]*NOT(ISBLANK(Tabella211[[#This Row],[Cum_confirmed]]))</f>
        <v>29281.351457698394</v>
      </c>
      <c r="J29" s="10">
        <f>Tabella211[[#This Row],[Cum_fit]]+CI</f>
        <v>31566.556588475702</v>
      </c>
      <c r="K29" s="10">
        <f>MAX(Tabella211[[#This Row],[Cum_fit]]-CI,0)</f>
        <v>26996.146326921087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3237.2595924581938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126">
        <f>(Kr^(1-pr)-(1-pr)*EXP(-(Tabella211[[#This Row],[Day]]-t0r)/wr))^(1/(1-pr))</f>
        <v>2938.0480346982158</v>
      </c>
      <c r="S29" s="126">
        <f>(1/wr)*EXP(-(Tabella211[[#This Row],[Day]]-t0r)/wr)*(Tabella211[[#This Row],[Cum_R_fit]])^pr</f>
        <v>453.69697590526408</v>
      </c>
      <c r="T29" s="60">
        <f>Tabella211[[#This Row],[Cum_R_fit]]*NOT(ISBLANK(Tabella211[[#This Row],[Cum_recov]]))</f>
        <v>2938.0480346982158</v>
      </c>
      <c r="U29" s="10">
        <f>Tabella211[[#This Row],[Cum_R_fit]]+CIr</f>
        <v>3610.8580074655683</v>
      </c>
      <c r="V29" s="10">
        <f>MAX(Tabella211[[#This Row],[Cum_R_fit]]-CIr,0)</f>
        <v>2265.2380619308633</v>
      </c>
      <c r="W29" s="10">
        <f>'dpc-covid19-ita-andamento-naz'!K23</f>
        <v>2158</v>
      </c>
      <c r="X29" s="26">
        <f>Tabella211[[#This Row],[Cum_deaths]]-W28</f>
        <v>349</v>
      </c>
      <c r="Y29" s="64">
        <f>Tabella211[[#This Row],[Cum_deaths]]*NOT(ISBLANK(Tabella211[[#This Row],[Cum_deaths]]))</f>
        <v>2158</v>
      </c>
      <c r="Z29" s="50">
        <f>(Kh^(1-ph)-(1-ph)*EXP(-(Tabella211[[#This Row],[Day]]-t0h)/wh))^(1/(1-ph))</f>
        <v>2134.8765842348575</v>
      </c>
      <c r="AA29" s="126">
        <f>(1/wh)*EXP(-(Tabella211[[#This Row],[Day]]-t0h)/wh)*(Tabella211[[#This Row],[Cum_D_fit]])^ph</f>
        <v>417.24446009297264</v>
      </c>
      <c r="AB29" s="64">
        <f>Tabella211[[#This Row],[Cum_D_fit]]*NOT(ISBLANK(Tabella211[[#This Row],[Cum_deaths]]))</f>
        <v>2134.8765842348575</v>
      </c>
      <c r="AC29" s="10">
        <f>Tabella211[[#This Row],[Cum_D_fit]]+CIh</f>
        <v>2362.4346194291697</v>
      </c>
      <c r="AD29" s="10">
        <f>MAX(Tabella211[[#This Row],[Cum_D_fit]]-CIh,0)</f>
        <v>1907.3185490405453</v>
      </c>
      <c r="AE29" s="1"/>
      <c r="AF29" s="106" t="s">
        <v>7</v>
      </c>
      <c r="AG29" s="107">
        <f>Critical_tr*SE_of_yr</f>
        <v>672.80997276735263</v>
      </c>
      <c r="AT29" s="84">
        <f>COUNT($AG$34,$AG$35,$AG$36,$AG$45)</f>
        <v>4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126" cm="1">
        <f t="array" ref="G30">(K^(1-p)-(1-p)*EXP(-(Tabella211[[#This Row],[Day]]-t0)/w))^(1/(1-p))</f>
        <v>33525.651844542735</v>
      </c>
      <c r="H30" s="126">
        <f>(1/w)*EXP(-(Tabella211[[#This Row],[Day]]-t0)/w)*(Tabella211[[#This Row],[Cum_fit]])^p</f>
        <v>4376.3289277673803</v>
      </c>
      <c r="I30" s="56">
        <f>Tabella211[[#This Row],[Cum_fit]]*NOT(ISBLANK(Tabella211[[#This Row],[Cum_confirmed]]))</f>
        <v>33525.651844542735</v>
      </c>
      <c r="J30" s="10">
        <f>Tabella211[[#This Row],[Cum_fit]]+CI</f>
        <v>35810.856975320043</v>
      </c>
      <c r="K30" s="10">
        <f>MAX(Tabella211[[#This Row],[Cum_fit]]-CI,0)</f>
        <v>31240.446713765428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3408.1700075316617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126">
        <f>(Kr^(1-pr)-(1-pr)*EXP(-(Tabella211[[#This Row],[Day]]-t0r)/wr))^(1/(1-pr))</f>
        <v>3415.4761751750848</v>
      </c>
      <c r="S30" s="126">
        <f>(1/wr)*EXP(-(Tabella211[[#This Row],[Day]]-t0r)/wr)*(Tabella211[[#This Row],[Cum_R_fit]])^pr</f>
        <v>501.44589894788464</v>
      </c>
      <c r="T30" s="60">
        <f>Tabella211[[#This Row],[Cum_R_fit]]*NOT(ISBLANK(Tabella211[[#This Row],[Cum_recov]]))</f>
        <v>3415.4761751750848</v>
      </c>
      <c r="U30" s="10">
        <f>Tabella211[[#This Row],[Cum_R_fit]]+CIr</f>
        <v>4088.2861479424373</v>
      </c>
      <c r="V30" s="10">
        <f>MAX(Tabella211[[#This Row],[Cum_R_fit]]-CIr,0)</f>
        <v>2742.6662024077323</v>
      </c>
      <c r="W30" s="10">
        <f>'dpc-covid19-ita-andamento-naz'!K24</f>
        <v>2503</v>
      </c>
      <c r="X30" s="26">
        <f>Tabella211[[#This Row],[Cum_deaths]]-W29</f>
        <v>345</v>
      </c>
      <c r="Y30" s="64">
        <f>Tabella211[[#This Row],[Cum_deaths]]*NOT(ISBLANK(Tabella211[[#This Row],[Cum_deaths]]))</f>
        <v>2503</v>
      </c>
      <c r="Z30" s="50">
        <f>(Kh^(1-ph)-(1-ph)*EXP(-(Tabella211[[#This Row],[Day]]-t0h)/wh))^(1/(1-ph))</f>
        <v>2576.9205446267115</v>
      </c>
      <c r="AA30" s="126">
        <f>(1/wh)*EXP(-(Tabella211[[#This Row],[Day]]-t0h)/wh)*(Tabella211[[#This Row],[Cum_D_fit]])^ph</f>
        <v>466.71302128783401</v>
      </c>
      <c r="AB30" s="64">
        <f>Tabella211[[#This Row],[Cum_D_fit]]*NOT(ISBLANK(Tabella211[[#This Row],[Cum_deaths]]))</f>
        <v>2576.9205446267115</v>
      </c>
      <c r="AC30" s="10">
        <f>Tabella211[[#This Row],[Cum_D_fit]]+CIh</f>
        <v>2804.4785798210237</v>
      </c>
      <c r="AD30" s="10">
        <f>MAX(Tabella211[[#This Row],[Cum_D_fit]]-CIh,0)</f>
        <v>2349.3625094323993</v>
      </c>
      <c r="AE30" s="1"/>
      <c r="AF30" s="88" t="s">
        <v>110</v>
      </c>
      <c r="AG30" s="107">
        <f>Kr</f>
        <v>177293.05160542074</v>
      </c>
      <c r="AT30" s="84" t="b">
        <f>ph&lt;=0.999999</f>
        <v>1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126" cm="1">
        <f t="array" ref="G31">(K^(1-p)-(1-p)*EXP(-(Tabella211[[#This Row],[Day]]-t0)/w))^(1/(1-p))</f>
        <v>38025.278839930754</v>
      </c>
      <c r="H31" s="126">
        <f>(1/w)*EXP(-(Tabella211[[#This Row],[Day]]-t0)/w)*(Tabella211[[#This Row],[Cum_fit]])^p</f>
        <v>4618.2936403374979</v>
      </c>
      <c r="I31" s="56">
        <f>Tabella211[[#This Row],[Cum_fit]]*NOT(ISBLANK(Tabella211[[#This Row],[Cum_confirmed]]))</f>
        <v>38025.278839930754</v>
      </c>
      <c r="J31" s="10">
        <f>Tabella211[[#This Row],[Cum_fit]]+CI</f>
        <v>40310.483970708061</v>
      </c>
      <c r="K31" s="10">
        <f>MAX(Tabella211[[#This Row],[Cum_fit]]-CI,0)</f>
        <v>35740.073709153447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3552.5890480000667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126">
        <f>(Kr^(1-pr)-(1-pr)*EXP(-(Tabella211[[#This Row],[Day]]-t0r)/wr))^(1/(1-pr))</f>
        <v>3941.4770526811781</v>
      </c>
      <c r="S31" s="126">
        <f>(1/wr)*EXP(-(Tabella211[[#This Row],[Day]]-t0r)/wr)*(Tabella211[[#This Row],[Cum_R_fit]])^pr</f>
        <v>550.80618561163601</v>
      </c>
      <c r="T31" s="60">
        <f>Tabella211[[#This Row],[Cum_R_fit]]*NOT(ISBLANK(Tabella211[[#This Row],[Cum_recov]]))</f>
        <v>3941.4770526811781</v>
      </c>
      <c r="U31" s="10">
        <f>Tabella211[[#This Row],[Cum_R_fit]]+CIr</f>
        <v>4614.2870254485306</v>
      </c>
      <c r="V31" s="10">
        <f>MAX(Tabella211[[#This Row],[Cum_R_fit]]-CIr,0)</f>
        <v>3268.6670799138255</v>
      </c>
      <c r="W31" s="10">
        <f>'dpc-covid19-ita-andamento-naz'!K25</f>
        <v>2978</v>
      </c>
      <c r="X31" s="26">
        <f>Tabella211[[#This Row],[Cum_deaths]]-W30</f>
        <v>475</v>
      </c>
      <c r="Y31" s="64">
        <f>Tabella211[[#This Row],[Cum_deaths]]*NOT(ISBLANK(Tabella211[[#This Row],[Cum_deaths]]))</f>
        <v>2978</v>
      </c>
      <c r="Z31" s="50">
        <f>(Kh^(1-ph)-(1-ph)*EXP(-(Tabella211[[#This Row],[Day]]-t0h)/wh))^(1/(1-ph))</f>
        <v>3067.874175373689</v>
      </c>
      <c r="AA31" s="126">
        <f>(1/wh)*EXP(-(Tabella211[[#This Row],[Day]]-t0h)/wh)*(Tabella211[[#This Row],[Cum_D_fit]])^ph</f>
        <v>514.89840672579533</v>
      </c>
      <c r="AB31" s="64">
        <f>Tabella211[[#This Row],[Cum_D_fit]]*NOT(ISBLANK(Tabella211[[#This Row],[Cum_deaths]]))</f>
        <v>3067.874175373689</v>
      </c>
      <c r="AC31" s="10">
        <f>Tabella211[[#This Row],[Cum_D_fit]]+CIh</f>
        <v>3295.4322105680012</v>
      </c>
      <c r="AD31" s="10">
        <f>MAX(Tabella211[[#This Row],[Cum_D_fit]]-CIh,0)</f>
        <v>2840.3161401793768</v>
      </c>
      <c r="AE31" s="1"/>
      <c r="AF31" s="88"/>
      <c r="AG31" s="89"/>
      <c r="AT31" s="84" t="b">
        <f>ph&gt;=0</f>
        <v>1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126" cm="1">
        <f t="array" ref="G32">(K^(1-p)-(1-p)*EXP(-(Tabella211[[#This Row],[Day]]-t0)/w))^(1/(1-p))</f>
        <v>42752.529735357864</v>
      </c>
      <c r="H32" s="126">
        <f>(1/w)*EXP(-(Tabella211[[#This Row],[Day]]-t0)/w)*(Tabella211[[#This Row],[Cum_fit]])^p</f>
        <v>4831.1588739863364</v>
      </c>
      <c r="I32" s="56">
        <f>Tabella211[[#This Row],[Cum_fit]]*NOT(ISBLANK(Tabella211[[#This Row],[Cum_confirmed]]))</f>
        <v>42752.529735357864</v>
      </c>
      <c r="J32" s="10">
        <f>Tabella211[[#This Row],[Cum_fit]]+CI</f>
        <v>45037.734866135172</v>
      </c>
      <c r="K32" s="10">
        <f>MAX(Tabella211[[#This Row],[Cum_fit]]-CI,0)</f>
        <v>40467.324604580557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3668.7546658054498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126">
        <f>(Kr^(1-pr)-(1-pr)*EXP(-(Tabella211[[#This Row],[Day]]-t0r)/wr))^(1/(1-pr))</f>
        <v>4517.5519023434545</v>
      </c>
      <c r="S32" s="126">
        <f>(1/wr)*EXP(-(Tabella211[[#This Row],[Day]]-t0r)/wr)*(Tabella211[[#This Row],[Cum_R_fit]])^pr</f>
        <v>601.55634075941271</v>
      </c>
      <c r="T32" s="60">
        <f>Tabella211[[#This Row],[Cum_R_fit]]*NOT(ISBLANK(Tabella211[[#This Row],[Cum_recov]]))</f>
        <v>4517.5519023434545</v>
      </c>
      <c r="U32" s="10">
        <f>Tabella211[[#This Row],[Cum_R_fit]]+CIr</f>
        <v>5190.361875110807</v>
      </c>
      <c r="V32" s="10">
        <f>MAX(Tabella211[[#This Row],[Cum_R_fit]]-CIr,0)</f>
        <v>3844.7419295761019</v>
      </c>
      <c r="W32" s="10">
        <f>'dpc-covid19-ita-andamento-naz'!K26</f>
        <v>3405</v>
      </c>
      <c r="X32" s="26">
        <f>Tabella211[[#This Row],[Cum_deaths]]-W31</f>
        <v>427</v>
      </c>
      <c r="Y32" s="64">
        <f>Tabella211[[#This Row],[Cum_deaths]]*NOT(ISBLANK(Tabella211[[#This Row],[Cum_deaths]]))</f>
        <v>3405</v>
      </c>
      <c r="Z32" s="50">
        <f>(Kh^(1-ph)-(1-ph)*EXP(-(Tabella211[[#This Row],[Day]]-t0h)/wh))^(1/(1-ph))</f>
        <v>3605.9709209272405</v>
      </c>
      <c r="AA32" s="126">
        <f>(1/wh)*EXP(-(Tabella211[[#This Row],[Day]]-t0h)/wh)*(Tabella211[[#This Row],[Cum_D_fit]])^ph</f>
        <v>560.84786742147367</v>
      </c>
      <c r="AB32" s="64">
        <f>Tabella211[[#This Row],[Cum_D_fit]]*NOT(ISBLANK(Tabella211[[#This Row],[Cum_deaths]]))</f>
        <v>3605.9709209272405</v>
      </c>
      <c r="AC32" s="10">
        <f>Tabella211[[#This Row],[Cum_D_fit]]+CIh</f>
        <v>3833.5289561215527</v>
      </c>
      <c r="AD32" s="10">
        <f>MAX(Tabella211[[#This Row],[Cum_D_fit]]-CIh,0)</f>
        <v>3378.4128857329283</v>
      </c>
      <c r="AE32" s="1"/>
      <c r="AF32" s="103" t="s">
        <v>114</v>
      </c>
      <c r="AG32" s="105">
        <v>0.84263401125243209</v>
      </c>
      <c r="AT32" s="84">
        <f>{32767;32767;0.000001;0;FALSE;FALSE;TRUE;1;1;1;0.0001;TRUE}</f>
        <v>32767</v>
      </c>
    </row>
    <row r="33" spans="2:46" ht="15" thickBot="1" x14ac:dyDescent="0.35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126" cm="1">
        <f t="array" ref="G33">(K^(1-p)-(1-p)*EXP(-(Tabella211[[#This Row],[Day]]-t0)/w))^(1/(1-p))</f>
        <v>47677.194108563177</v>
      </c>
      <c r="H33" s="126">
        <f>(1/w)*EXP(-(Tabella211[[#This Row],[Day]]-t0)/w)*(Tabella211[[#This Row],[Cum_fit]])^p</f>
        <v>5012.8445600823879</v>
      </c>
      <c r="I33" s="56">
        <f>Tabella211[[#This Row],[Cum_fit]]*NOT(ISBLANK(Tabella211[[#This Row],[Cum_confirmed]]))</f>
        <v>47677.194108563177</v>
      </c>
      <c r="J33" s="10">
        <f>Tabella211[[#This Row],[Cum_fit]]+CI</f>
        <v>49962.399239340484</v>
      </c>
      <c r="K33" s="10">
        <f>MAX(Tabella211[[#This Row],[Cum_fit]]-CI,0)</f>
        <v>45391.98897778587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3755.666578802181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126">
        <f>(Kr^(1-pr)-(1-pr)*EXP(-(Tabella211[[#This Row],[Day]]-t0r)/wr))^(1/(1-pr))</f>
        <v>5144.977227200834</v>
      </c>
      <c r="S33" s="126">
        <f>(1/wr)*EXP(-(Tabella211[[#This Row],[Day]]-t0r)/wr)*(Tabella211[[#This Row],[Cum_R_fit]])^pr</f>
        <v>653.46886669009575</v>
      </c>
      <c r="T33" s="60">
        <f>Tabella211[[#This Row],[Cum_R_fit]]*NOT(ISBLANK(Tabella211[[#This Row],[Cum_recov]]))</f>
        <v>5144.977227200834</v>
      </c>
      <c r="U33" s="10">
        <f>Tabella211[[#This Row],[Cum_R_fit]]+CIr</f>
        <v>5817.7871999681865</v>
      </c>
      <c r="V33" s="10">
        <f>MAX(Tabella211[[#This Row],[Cum_R_fit]]-CIr,0)</f>
        <v>4472.1672544334815</v>
      </c>
      <c r="W33" s="10">
        <f>'dpc-covid19-ita-andamento-naz'!K27</f>
        <v>4032</v>
      </c>
      <c r="X33" s="26">
        <f>Tabella211[[#This Row],[Cum_deaths]]-W32</f>
        <v>627</v>
      </c>
      <c r="Y33" s="64">
        <f>Tabella211[[#This Row],[Cum_deaths]]*NOT(ISBLANK(Tabella211[[#This Row],[Cum_deaths]]))</f>
        <v>4032</v>
      </c>
      <c r="Z33" s="50">
        <f>(Kh^(1-ph)-(1-ph)*EXP(-(Tabella211[[#This Row],[Day]]-t0h)/wh))^(1/(1-ph))</f>
        <v>4188.5390802059183</v>
      </c>
      <c r="AA33" s="126">
        <f>(1/wh)*EXP(-(Tabella211[[#This Row],[Day]]-t0h)/wh)*(Tabella211[[#This Row],[Cum_D_fit]])^ph</f>
        <v>603.70911459011154</v>
      </c>
      <c r="AB33" s="64">
        <f>Tabella211[[#This Row],[Cum_D_fit]]*NOT(ISBLANK(Tabella211[[#This Row],[Cum_deaths]]))</f>
        <v>4188.5390802059183</v>
      </c>
      <c r="AC33" s="10">
        <f>Tabella211[[#This Row],[Cum_D_fit]]+CIh</f>
        <v>4416.09711540023</v>
      </c>
      <c r="AD33" s="10">
        <f>MAX(Tabella211[[#This Row],[Cum_D_fit]]-CIh,0)</f>
        <v>3960.9810450116061</v>
      </c>
      <c r="AE33" s="1"/>
      <c r="AF33" s="23" t="s">
        <v>53</v>
      </c>
      <c r="AG33" s="68" t="s">
        <v>55</v>
      </c>
      <c r="AT33" s="85">
        <f>{0;0;1;100;0;FALSE;TRUE;0.075;0;0;FALSE;30}</f>
        <v>0</v>
      </c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126" cm="1">
        <f t="array" ref="G34">(K^(1-p)-(1-p)*EXP(-(Tabella211[[#This Row],[Day]]-t0)/w))^(1/(1-p))</f>
        <v>52767.40132828791</v>
      </c>
      <c r="H34" s="126">
        <f>(1/w)*EXP(-(Tabella211[[#This Row],[Day]]-t0)/w)*(Tabella211[[#This Row],[Cum_fit]])^p</f>
        <v>5162.1037483613136</v>
      </c>
      <c r="I34" s="56">
        <f>Tabella211[[#This Row],[Cum_fit]]*NOT(ISBLANK(Tabella211[[#This Row],[Cum_confirmed]]))</f>
        <v>52767.40132828791</v>
      </c>
      <c r="J34" s="10">
        <f>Tabella211[[#This Row],[Cum_fit]]+CI</f>
        <v>55052.606459065217</v>
      </c>
      <c r="K34" s="10">
        <f>MAX(Tabella211[[#This Row],[Cum_fit]]-CI,0)</f>
        <v>50482.196197510602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3813.0337766127927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126">
        <f>(Kr^(1-pr)-(1-pr)*EXP(-(Tabella211[[#This Row],[Day]]-t0r)/wr))^(1/(1-pr))</f>
        <v>5824.8001776514993</v>
      </c>
      <c r="S34" s="126">
        <f>(1/wr)*EXP(-(Tabella211[[#This Row],[Day]]-t0r)/wr)*(Tabella211[[#This Row],[Cum_R_fit]])^pr</f>
        <v>706.31299440669306</v>
      </c>
      <c r="T34" s="60">
        <f>Tabella211[[#This Row],[Cum_R_fit]]*NOT(ISBLANK(Tabella211[[#This Row],[Cum_recov]]))</f>
        <v>5824.8001776514993</v>
      </c>
      <c r="U34" s="10">
        <f>Tabella211[[#This Row],[Cum_R_fit]]+CIr</f>
        <v>6497.6101504188518</v>
      </c>
      <c r="V34" s="10">
        <f>MAX(Tabella211[[#This Row],[Cum_R_fit]]-CIr,0)</f>
        <v>5151.9902048841468</v>
      </c>
      <c r="W34" s="10">
        <f>'dpc-covid19-ita-andamento-naz'!K28</f>
        <v>4825</v>
      </c>
      <c r="X34" s="26">
        <f>Tabella211[[#This Row],[Cum_deaths]]-W33</f>
        <v>793</v>
      </c>
      <c r="Y34" s="64">
        <f>Tabella211[[#This Row],[Cum_deaths]]*NOT(ISBLANK(Tabella211[[#This Row],[Cum_deaths]]))</f>
        <v>4825</v>
      </c>
      <c r="Z34" s="50">
        <f>(Kh^(1-ph)-(1-ph)*EXP(-(Tabella211[[#This Row],[Day]]-t0h)/wh))^(1/(1-ph))</f>
        <v>4812.1164094358919</v>
      </c>
      <c r="AA34" s="126">
        <f>(1/wh)*EXP(-(Tabella211[[#This Row],[Day]]-t0h)/wh)*(Tabella211[[#This Row],[Cum_D_fit]])^ph</f>
        <v>642.75697734182779</v>
      </c>
      <c r="AB34" s="64">
        <f>Tabella211[[#This Row],[Cum_D_fit]]*NOT(ISBLANK(Tabella211[[#This Row],[Cum_deaths]]))</f>
        <v>4812.1164094358919</v>
      </c>
      <c r="AC34" s="10">
        <f>Tabella211[[#This Row],[Cum_D_fit]]+CIh</f>
        <v>5039.6744446302037</v>
      </c>
      <c r="AD34" s="10">
        <f>MAX(Tabella211[[#This Row],[Cum_D_fit]]-CIh,0)</f>
        <v>4584.5583742415802</v>
      </c>
      <c r="AE34" s="1"/>
      <c r="AF34" s="69" t="s">
        <v>0</v>
      </c>
      <c r="AG34" s="90">
        <v>27860.328992869359</v>
      </c>
    </row>
    <row r="35" spans="2:46" ht="15.6" x14ac:dyDescent="0.35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126" cm="1">
        <f t="array" ref="G35">(K^(1-p)-(1-p)*EXP(-(Tabella211[[#This Row],[Day]]-t0)/w))^(1/(1-p))</f>
        <v>57990.429231404189</v>
      </c>
      <c r="H35" s="126">
        <f>(1/w)*EXP(-(Tabella211[[#This Row],[Day]]-t0)/w)*(Tabella211[[#This Row],[Cum_fit]])^p</f>
        <v>5278.46934790663</v>
      </c>
      <c r="I35" s="56">
        <f>Tabella211[[#This Row],[Cum_fit]]*NOT(ISBLANK(Tabella211[[#This Row],[Cum_confirmed]]))</f>
        <v>57990.429231404189</v>
      </c>
      <c r="J35" s="10">
        <f>Tabella211[[#This Row],[Cum_fit]]+CI</f>
        <v>60275.634362181496</v>
      </c>
      <c r="K35" s="10">
        <f>MAX(Tabella211[[#This Row],[Cum_fit]]-CI,0)</f>
        <v>55705.224100626881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3841.2018423108229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126">
        <f>(Kr^(1-pr)-(1-pr)*EXP(-(Tabella211[[#This Row],[Day]]-t0r)/wr))^(1/(1-pr))</f>
        <v>6557.8365605309446</v>
      </c>
      <c r="S35" s="126">
        <f>(1/wr)*EXP(-(Tabella211[[#This Row],[Day]]-t0r)/wr)*(Tabella211[[#This Row],[Cum_R_fit]])^pr</f>
        <v>759.85720848615381</v>
      </c>
      <c r="T35" s="60">
        <f>Tabella211[[#This Row],[Cum_R_fit]]*NOT(ISBLANK(Tabella211[[#This Row],[Cum_recov]]))</f>
        <v>6557.8365605309446</v>
      </c>
      <c r="U35" s="10">
        <f>Tabella211[[#This Row],[Cum_R_fit]]+CIr</f>
        <v>7230.6465332982971</v>
      </c>
      <c r="V35" s="10">
        <f>MAX(Tabella211[[#This Row],[Cum_R_fit]]-CIr,0)</f>
        <v>5885.026587763592</v>
      </c>
      <c r="W35" s="10">
        <f>'dpc-covid19-ita-andamento-naz'!K29</f>
        <v>5476</v>
      </c>
      <c r="X35" s="26">
        <f>Tabella211[[#This Row],[Cum_deaths]]-W34</f>
        <v>651</v>
      </c>
      <c r="Y35" s="64">
        <f>Tabella211[[#This Row],[Cum_deaths]]*NOT(ISBLANK(Tabella211[[#This Row],[Cum_deaths]]))</f>
        <v>5476</v>
      </c>
      <c r="Z35" s="50">
        <f>(Kh^(1-ph)-(1-ph)*EXP(-(Tabella211[[#This Row],[Day]]-t0h)/wh))^(1/(1-ph))</f>
        <v>5472.5864915667798</v>
      </c>
      <c r="AA35" s="126">
        <f>(1/wh)*EXP(-(Tabella211[[#This Row],[Day]]-t0h)/wh)*(Tabella211[[#This Row],[Cum_D_fit]])^ph</f>
        <v>677.41029710965358</v>
      </c>
      <c r="AB35" s="64">
        <f>Tabella211[[#This Row],[Cum_D_fit]]*NOT(ISBLANK(Tabella211[[#This Row],[Cum_deaths]]))</f>
        <v>5472.5864915667798</v>
      </c>
      <c r="AC35" s="10">
        <f>Tabella211[[#This Row],[Cum_D_fit]]+CIh</f>
        <v>5700.1445267610916</v>
      </c>
      <c r="AD35" s="10">
        <f>MAX(Tabella211[[#This Row],[Cum_D_fit]]-CIh,0)</f>
        <v>5245.0284563724681</v>
      </c>
      <c r="AF35" s="69" t="s">
        <v>86</v>
      </c>
      <c r="AG35" s="70">
        <v>33.489988631215851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126" cm="1">
        <f t="array" ref="G36">(K^(1-p)-(1-p)*EXP(-(Tabella211[[#This Row],[Day]]-t0)/w))^(1/(1-p))</f>
        <v>63313.447711714347</v>
      </c>
      <c r="H36" s="126">
        <f>(1/w)*EXP(-(Tabella211[[#This Row],[Day]]-t0)/w)*(Tabella211[[#This Row],[Cum_fit]])^p</f>
        <v>5362.1784997632221</v>
      </c>
      <c r="I36" s="56">
        <f>Tabella211[[#This Row],[Cum_fit]]*NOT(ISBLANK(Tabella211[[#This Row],[Cum_confirmed]]))</f>
        <v>63313.447711714347</v>
      </c>
      <c r="J36" s="10">
        <f>Tabella211[[#This Row],[Cum_fit]]+CI</f>
        <v>65598.652842491647</v>
      </c>
      <c r="K36" s="10">
        <f>MAX(Tabella211[[#This Row],[Cum_fit]]-CI,0)</f>
        <v>61028.24258093704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3841.0674079720748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126">
        <f>(Kr^(1-pr)-(1-pr)*EXP(-(Tabella211[[#This Row],[Day]]-t0r)/wr))^(1/(1-pr))</f>
        <v>7344.6712632510998</v>
      </c>
      <c r="S36" s="126">
        <f>(1/wr)*EXP(-(Tabella211[[#This Row],[Day]]-t0r)/wr)*(Tabella211[[#This Row],[Cum_R_fit]])^pr</f>
        <v>813.87155037313676</v>
      </c>
      <c r="T36" s="60">
        <f>Tabella211[[#This Row],[Cum_R_fit]]*NOT(ISBLANK(Tabella211[[#This Row],[Cum_recov]]))</f>
        <v>7344.6712632510998</v>
      </c>
      <c r="U36" s="10">
        <f>Tabella211[[#This Row],[Cum_R_fit]]+CIr</f>
        <v>8017.4812360184524</v>
      </c>
      <c r="V36" s="10">
        <f>MAX(Tabella211[[#This Row],[Cum_R_fit]]-CIr,0)</f>
        <v>6671.8612904837473</v>
      </c>
      <c r="W36" s="10">
        <f>'dpc-covid19-ita-andamento-naz'!K30</f>
        <v>6077</v>
      </c>
      <c r="X36" s="26">
        <f>Tabella211[[#This Row],[Cum_deaths]]-W35</f>
        <v>601</v>
      </c>
      <c r="Y36" s="64">
        <f>Tabella211[[#This Row],[Cum_deaths]]*NOT(ISBLANK(Tabella211[[#This Row],[Cum_deaths]]))</f>
        <v>6077</v>
      </c>
      <c r="Z36" s="50">
        <f>(Kh^(1-ph)-(1-ph)*EXP(-(Tabella211[[#This Row],[Day]]-t0h)/wh))^(1/(1-ph))</f>
        <v>6165.3272913600395</v>
      </c>
      <c r="AA36" s="126">
        <f>(1/wh)*EXP(-(Tabella211[[#This Row],[Day]]-t0h)/wh)*(Tabella211[[#This Row],[Cum_D_fit]])^ph</f>
        <v>707.23954141801096</v>
      </c>
      <c r="AB36" s="64">
        <f>Tabella211[[#This Row],[Cum_D_fit]]*NOT(ISBLANK(Tabella211[[#This Row],[Cum_deaths]]))</f>
        <v>6165.3272913600395</v>
      </c>
      <c r="AC36" s="10">
        <f>Tabella211[[#This Row],[Cum_D_fit]]+CIh</f>
        <v>6392.8853265543512</v>
      </c>
      <c r="AD36" s="10">
        <f>MAX(Tabella211[[#This Row],[Cum_D_fit]]-CIh,0)</f>
        <v>5937.7692561657277</v>
      </c>
      <c r="AF36" s="69" t="s">
        <v>1</v>
      </c>
      <c r="AG36" s="70">
        <v>13.154878533760064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126" cm="1">
        <f t="array" ref="G37">(K^(1-p)-(1-p)*EXP(-(Tabella211[[#This Row],[Day]]-t0)/w))^(1/(1-p))</f>
        <v>68704.178648976085</v>
      </c>
      <c r="H37" s="126">
        <f>(1/w)*EXP(-(Tabella211[[#This Row],[Day]]-t0)/w)*(Tabella211[[#This Row],[Cum_fit]])^p</f>
        <v>5414.0820865722981</v>
      </c>
      <c r="I37" s="56">
        <f>Tabella211[[#This Row],[Cum_fit]]*NOT(ISBLANK(Tabella211[[#This Row],[Cum_confirmed]]))</f>
        <v>68704.178648976085</v>
      </c>
      <c r="J37" s="10">
        <f>Tabella211[[#This Row],[Cum_fit]]+CI</f>
        <v>70989.383779753392</v>
      </c>
      <c r="K37" s="10">
        <f>MAX(Tabella211[[#This Row],[Cum_fit]]-CI,0)</f>
        <v>66418.973518198778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3813.9861826319407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126">
        <f>(Kr^(1-pr)-(1-pr)*EXP(-(Tabella211[[#This Row],[Day]]-t0r)/wr))^(1/(1-pr))</f>
        <v>8185.6608665796948</v>
      </c>
      <c r="S37" s="126">
        <f>(1/wr)*EXP(-(Tabella211[[#This Row],[Day]]-t0r)/wr)*(Tabella211[[#This Row],[Cum_R_fit]])^pr</f>
        <v>868.12969140624432</v>
      </c>
      <c r="T37" s="60">
        <f>Tabella211[[#This Row],[Cum_R_fit]]*NOT(ISBLANK(Tabella211[[#This Row],[Cum_recov]]))</f>
        <v>8185.6608665796948</v>
      </c>
      <c r="U37" s="10">
        <f>Tabella211[[#This Row],[Cum_R_fit]]+CIr</f>
        <v>8858.4708393470482</v>
      </c>
      <c r="V37" s="10">
        <f>MAX(Tabella211[[#This Row],[Cum_R_fit]]-CIr,0)</f>
        <v>7512.8508938123423</v>
      </c>
      <c r="W37" s="10">
        <f>'dpc-covid19-ita-andamento-naz'!K31</f>
        <v>6820</v>
      </c>
      <c r="X37" s="26">
        <f>Tabella211[[#This Row],[Cum_deaths]]-W36</f>
        <v>743</v>
      </c>
      <c r="Y37" s="64">
        <f>Tabella211[[#This Row],[Cum_deaths]]*NOT(ISBLANK(Tabella211[[#This Row],[Cum_deaths]]))</f>
        <v>6820</v>
      </c>
      <c r="Z37" s="50">
        <f>(Kh^(1-ph)-(1-ph)*EXP(-(Tabella211[[#This Row],[Day]]-t0h)/wh))^(1/(1-ph))</f>
        <v>6885.3631133985109</v>
      </c>
      <c r="AA37" s="126">
        <f>(1/wh)*EXP(-(Tabella211[[#This Row],[Day]]-t0h)/wh)*(Tabella211[[#This Row],[Cum_D_fit]])^ph</f>
        <v>731.96621253411342</v>
      </c>
      <c r="AB37" s="64">
        <f>Tabella211[[#This Row],[Cum_D_fit]]*NOT(ISBLANK(Tabella211[[#This Row],[Cum_deaths]]))</f>
        <v>6885.3631133985109</v>
      </c>
      <c r="AC37" s="10">
        <f>Tabella211[[#This Row],[Cum_D_fit]]+CIh</f>
        <v>7112.9211485928226</v>
      </c>
      <c r="AD37" s="10">
        <f>MAX(Tabella211[[#This Row],[Cum_D_fit]]-CIh,0)</f>
        <v>6657.8050782041992</v>
      </c>
      <c r="AF37" s="71" t="s">
        <v>2</v>
      </c>
      <c r="AG37" s="35">
        <f>AVERAGE(Tabella211[Cum_deaths])</f>
        <v>7320.25</v>
      </c>
    </row>
    <row r="38" spans="2:46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126" cm="1">
        <f t="array" ref="G38">(K^(1-p)-(1-p)*EXP(-(Tabella211[[#This Row],[Day]]-t0)/w))^(1/(1-p))</f>
        <v>74131.460781856833</v>
      </c>
      <c r="H38" s="126">
        <f>(1/w)*EXP(-(Tabella211[[#This Row],[Day]]-t0)/w)*(Tabella211[[#This Row],[Cum_fit]])^p</f>
        <v>5435.5461649926592</v>
      </c>
      <c r="I38" s="56">
        <f>Tabella211[[#This Row],[Cum_fit]]*NOT(ISBLANK(Tabella211[[#This Row],[Cum_confirmed]]))</f>
        <v>74131.460781856833</v>
      </c>
      <c r="J38" s="10">
        <f>Tabella211[[#This Row],[Cum_fit]]+CI</f>
        <v>76416.66591263414</v>
      </c>
      <c r="K38" s="10">
        <f>MAX(Tabella211[[#This Row],[Cum_fit]]-CI,0)</f>
        <v>71846.255651079526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3761.6798987891289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126">
        <f>(Kr^(1-pr)-(1-pr)*EXP(-(Tabella211[[#This Row],[Day]]-t0r)/wr))^(1/(1-pr))</f>
        <v>9080.9382137809152</v>
      </c>
      <c r="S38" s="126">
        <f>(1/wr)*EXP(-(Tabella211[[#This Row],[Day]]-t0r)/wr)*(Tabella211[[#This Row],[Cum_R_fit]])^pr</f>
        <v>922.41077239370554</v>
      </c>
      <c r="T38" s="60">
        <f>Tabella211[[#This Row],[Cum_R_fit]]*NOT(ISBLANK(Tabella211[[#This Row],[Cum_recov]]))</f>
        <v>9080.9382137809152</v>
      </c>
      <c r="U38" s="10">
        <f>Tabella211[[#This Row],[Cum_R_fit]]+CIr</f>
        <v>9753.7481865482678</v>
      </c>
      <c r="V38" s="10">
        <f>MAX(Tabella211[[#This Row],[Cum_R_fit]]-CIr,0)</f>
        <v>8408.1282410135627</v>
      </c>
      <c r="W38" s="10">
        <f>'dpc-covid19-ita-andamento-naz'!K32</f>
        <v>7503</v>
      </c>
      <c r="X38" s="26">
        <f>Tabella211[[#This Row],[Cum_deaths]]-W37</f>
        <v>683</v>
      </c>
      <c r="Y38" s="64">
        <f>Tabella211[[#This Row],[Cum_deaths]]*NOT(ISBLANK(Tabella211[[#This Row],[Cum_deaths]]))</f>
        <v>7503</v>
      </c>
      <c r="Z38" s="50">
        <f>(Kh^(1-ph)-(1-ph)*EXP(-(Tabella211[[#This Row],[Day]]-t0h)/wh))^(1/(1-ph))</f>
        <v>7627.5124576785456</v>
      </c>
      <c r="AA38" s="126">
        <f>(1/wh)*EXP(-(Tabella211[[#This Row],[Day]]-t0h)/wh)*(Tabella211[[#This Row],[Cum_D_fit]])^ph</f>
        <v>751.45549380982436</v>
      </c>
      <c r="AB38" s="64">
        <f>Tabella211[[#This Row],[Cum_D_fit]]*NOT(ISBLANK(Tabella211[[#This Row],[Cum_deaths]]))</f>
        <v>7627.5124576785456</v>
      </c>
      <c r="AC38" s="10">
        <f>Tabella211[[#This Row],[Cum_D_fit]]+CIh</f>
        <v>7855.0704928728574</v>
      </c>
      <c r="AD38" s="10">
        <f>MAX(Tabella211[[#This Row],[Cum_D_fit]]-CIh,0)</f>
        <v>7399.9544224842339</v>
      </c>
      <c r="AF38" s="71" t="s">
        <v>3</v>
      </c>
      <c r="AG38" s="35">
        <f>COUNT(Tabella211[Cum_deaths])-COUNT(AG34:AG36,ph)</f>
        <v>48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126" cm="1">
        <f t="array" ref="G39">(K^(1-p)-(1-p)*EXP(-(Tabella211[[#This Row],[Day]]-t0)/w))^(1/(1-p))</f>
        <v>79565.714435012909</v>
      </c>
      <c r="H39" s="126">
        <f>(1/w)*EXP(-(Tabella211[[#This Row],[Day]]-t0)/w)*(Tabella211[[#This Row],[Cum_fit]])^p</f>
        <v>5428.3511164309921</v>
      </c>
      <c r="I39" s="56">
        <f>Tabella211[[#This Row],[Cum_fit]]*NOT(ISBLANK(Tabella211[[#This Row],[Cum_confirmed]]))</f>
        <v>79565.714435012909</v>
      </c>
      <c r="J39" s="10">
        <f>Tabella211[[#This Row],[Cum_fit]]+CI</f>
        <v>81850.919565790216</v>
      </c>
      <c r="K39" s="10">
        <f>MAX(Tabella211[[#This Row],[Cum_fit]]-CI,0)</f>
        <v>77280.509304235602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3686.1463645638992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126">
        <f>(Kr^(1-pr)-(1-pr)*EXP(-(Tabella211[[#This Row],[Day]]-t0r)/wr))^(1/(1-pr))</f>
        <v>10030.418703026955</v>
      </c>
      <c r="S39" s="126">
        <f>(1/wr)*EXP(-(Tabella211[[#This Row],[Day]]-t0r)/wr)*(Tabella211[[#This Row],[Cum_R_fit]])^pr</f>
        <v>976.50101115284031</v>
      </c>
      <c r="T39" s="60">
        <f>Tabella211[[#This Row],[Cum_R_fit]]*NOT(ISBLANK(Tabella211[[#This Row],[Cum_recov]]))</f>
        <v>10030.418703026955</v>
      </c>
      <c r="U39" s="10">
        <f>Tabella211[[#This Row],[Cum_R_fit]]+CIr</f>
        <v>10703.228675794307</v>
      </c>
      <c r="V39" s="10">
        <f>MAX(Tabella211[[#This Row],[Cum_R_fit]]-CIr,0)</f>
        <v>9357.6087302596025</v>
      </c>
      <c r="W39" s="10">
        <f>'dpc-covid19-ita-andamento-naz'!K33</f>
        <v>8165</v>
      </c>
      <c r="X39" s="26">
        <f>Tabella211[[#This Row],[Cum_deaths]]-W38</f>
        <v>662</v>
      </c>
      <c r="Y39" s="64">
        <f>Tabella211[[#This Row],[Cum_deaths]]*NOT(ISBLANK(Tabella211[[#This Row],[Cum_deaths]]))</f>
        <v>8165</v>
      </c>
      <c r="Z39" s="50">
        <f>(Kh^(1-ph)-(1-ph)*EXP(-(Tabella211[[#This Row],[Day]]-t0h)/wh))^(1/(1-ph))</f>
        <v>8386.5258078288516</v>
      </c>
      <c r="AA39" s="126">
        <f>(1/wh)*EXP(-(Tabella211[[#This Row],[Day]]-t0h)/wh)*(Tabella211[[#This Row],[Cum_D_fit]])^ph</f>
        <v>765.70374071425306</v>
      </c>
      <c r="AB39" s="64">
        <f>Tabella211[[#This Row],[Cum_D_fit]]*NOT(ISBLANK(Tabella211[[#This Row],[Cum_deaths]]))</f>
        <v>8386.5258078288516</v>
      </c>
      <c r="AC39" s="10">
        <f>Tabella211[[#This Row],[Cum_D_fit]]+CIh</f>
        <v>8614.0838430231634</v>
      </c>
      <c r="AD39" s="10">
        <f>MAX(Tabella211[[#This Row],[Cum_D_fit]]-CIh,0)</f>
        <v>8158.9677726345399</v>
      </c>
      <c r="AF39" s="71" t="s">
        <v>4</v>
      </c>
      <c r="AG39" s="72" cm="1">
        <f t="array" ref="AG39">SQRT(SUM((Tabella211[Colonna5]-Tabella211[Colonna6])^2)/dfh)</f>
        <v>113.17721149076078</v>
      </c>
    </row>
    <row r="40" spans="2:46" ht="16.2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126" cm="1">
        <f t="array" ref="G40">(K^(1-p)-(1-p)*EXP(-(Tabella211[[#This Row],[Day]]-t0)/w))^(1/(1-p))</f>
        <v>84979.306253203031</v>
      </c>
      <c r="H40" s="126">
        <f>(1/w)*EXP(-(Tabella211[[#This Row],[Day]]-t0)/w)*(Tabella211[[#This Row],[Cum_fit]])^p</f>
        <v>5394.5931948337584</v>
      </c>
      <c r="I40" s="56">
        <f>Tabella211[[#This Row],[Cum_fit]]*NOT(ISBLANK(Tabella211[[#This Row],[Cum_confirmed]]))</f>
        <v>84979.306253203031</v>
      </c>
      <c r="J40" s="10">
        <f>Tabella211[[#This Row],[Cum_fit]]+CI</f>
        <v>87264.511383980338</v>
      </c>
      <c r="K40" s="10">
        <f>MAX(Tabella211[[#This Row],[Cum_fit]]-CI,0)</f>
        <v>82694.101122425724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3589.5756889937202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126">
        <f>(Kr^(1-pr)-(1-pr)*EXP(-(Tabella211[[#This Row],[Day]]-t0r)/wr))^(1/(1-pr))</f>
        <v>11033.808073351453</v>
      </c>
      <c r="S40" s="126">
        <f>(1/wr)*EXP(-(Tabella211[[#This Row],[Day]]-t0r)/wr)*(Tabella211[[#This Row],[Cum_R_fit]])^pr</f>
        <v>1030.1950831900908</v>
      </c>
      <c r="T40" s="60">
        <f>Tabella211[[#This Row],[Cum_R_fit]]*NOT(ISBLANK(Tabella211[[#This Row],[Cum_recov]]))</f>
        <v>11033.808073351453</v>
      </c>
      <c r="U40" s="10">
        <f>Tabella211[[#This Row],[Cum_R_fit]]+CIr</f>
        <v>11706.618046118805</v>
      </c>
      <c r="V40" s="10">
        <f>MAX(Tabella211[[#This Row],[Cum_R_fit]]-CIr,0)</f>
        <v>10360.9981005841</v>
      </c>
      <c r="W40" s="10">
        <f>'dpc-covid19-ita-andamento-naz'!K34</f>
        <v>9134</v>
      </c>
      <c r="X40" s="26">
        <f>Tabella211[[#This Row],[Cum_deaths]]-W39</f>
        <v>969</v>
      </c>
      <c r="Y40" s="64">
        <f>Tabella211[[#This Row],[Cum_deaths]]*NOT(ISBLANK(Tabella211[[#This Row],[Cum_deaths]]))</f>
        <v>9134</v>
      </c>
      <c r="Z40" s="50">
        <f>(Kh^(1-ph)-(1-ph)*EXP(-(Tabella211[[#This Row],[Day]]-t0h)/wh))^(1/(1-ph))</f>
        <v>9157.2090054616601</v>
      </c>
      <c r="AA40" s="126">
        <f>(1/wh)*EXP(-(Tabella211[[#This Row],[Day]]-t0h)/wh)*(Tabella211[[#This Row],[Cum_D_fit]])^ph</f>
        <v>774.82242264994784</v>
      </c>
      <c r="AB40" s="64">
        <f>Tabella211[[#This Row],[Cum_D_fit]]*NOT(ISBLANK(Tabella211[[#This Row],[Cum_deaths]]))</f>
        <v>9157.2090054616601</v>
      </c>
      <c r="AC40" s="10">
        <f>Tabella211[[#This Row],[Cum_D_fit]]+CIh</f>
        <v>9384.7670406559719</v>
      </c>
      <c r="AD40" s="10">
        <f>MAX(Tabella211[[#This Row],[Cum_D_fit]]-CIh,0)</f>
        <v>8929.6509702673484</v>
      </c>
      <c r="AF40" s="71" t="s">
        <v>87</v>
      </c>
      <c r="AG40" s="73" cm="1">
        <f t="array" ref="AG40">1-SUM((Tabella211[Colonna5]-Tabella211[Colonna6])^2)/SUM((Tabella211[Colonna5]-Mean_of_yh)^2)</f>
        <v>0.99984162157560508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126" cm="1">
        <f t="array" ref="G41">(K^(1-p)-(1-p)*EXP(-(Tabella211[[#This Row],[Day]]-t0)/w))^(1/(1-p))</f>
        <v>90346.81820593767</v>
      </c>
      <c r="H41" s="126">
        <f>(1/w)*EXP(-(Tabella211[[#This Row],[Day]]-t0)/w)*(Tabella211[[#This Row],[Cum_fit]])^p</f>
        <v>5336.5920199631682</v>
      </c>
      <c r="I41" s="56">
        <f>Tabella211[[#This Row],[Cum_fit]]*NOT(ISBLANK(Tabella211[[#This Row],[Cum_confirmed]]))</f>
        <v>90346.81820593767</v>
      </c>
      <c r="J41" s="10">
        <f>Tabella211[[#This Row],[Cum_fit]]+CI</f>
        <v>92632.023336714978</v>
      </c>
      <c r="K41" s="10">
        <f>MAX(Tabella211[[#This Row],[Cum_fit]]-CI,0)</f>
        <v>88061.613075160363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3474.2747365971932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126">
        <f>(Kr^(1-pr)-(1-pr)*EXP(-(Tabella211[[#This Row],[Day]]-t0r)/wr))^(1/(1-pr))</f>
        <v>12090.611461157037</v>
      </c>
      <c r="S41" s="126">
        <f>(1/wr)*EXP(-(Tabella211[[#This Row],[Day]]-t0r)/wr)*(Tabella211[[#This Row],[Cum_R_fit]])^pr</f>
        <v>1083.2972837067366</v>
      </c>
      <c r="T41" s="60">
        <f>Tabella211[[#This Row],[Cum_R_fit]]*NOT(ISBLANK(Tabella211[[#This Row],[Cum_recov]]))</f>
        <v>12090.611461157037</v>
      </c>
      <c r="U41" s="10">
        <f>Tabella211[[#This Row],[Cum_R_fit]]+CIr</f>
        <v>12763.42143392439</v>
      </c>
      <c r="V41" s="10">
        <f>MAX(Tabella211[[#This Row],[Cum_R_fit]]-CIr,0)</f>
        <v>11417.801488389685</v>
      </c>
      <c r="W41" s="10">
        <f>'dpc-covid19-ita-andamento-naz'!K35</f>
        <v>10023</v>
      </c>
      <c r="X41" s="26">
        <f>Tabella211[[#This Row],[Cum_deaths]]-W40</f>
        <v>889</v>
      </c>
      <c r="Y41" s="64">
        <f>Tabella211[[#This Row],[Cum_deaths]]*NOT(ISBLANK(Tabella211[[#This Row],[Cum_deaths]]))</f>
        <v>10023</v>
      </c>
      <c r="Z41" s="50">
        <f>(Kh^(1-ph)-(1-ph)*EXP(-(Tabella211[[#This Row],[Day]]-t0h)/wh))^(1/(1-ph))</f>
        <v>9934.5294175921608</v>
      </c>
      <c r="AA41" s="126">
        <f>(1/wh)*EXP(-(Tabella211[[#This Row],[Day]]-t0h)/wh)*(Tabella211[[#This Row],[Cum_D_fit]])^ph</f>
        <v>779.01999965923881</v>
      </c>
      <c r="AB41" s="64">
        <f>Tabella211[[#This Row],[Cum_D_fit]]*NOT(ISBLANK(Tabella211[[#This Row],[Cum_deaths]]))</f>
        <v>9934.5294175921608</v>
      </c>
      <c r="AC41" s="10">
        <f>Tabella211[[#This Row],[Cum_D_fit]]+CIh</f>
        <v>10162.087452786473</v>
      </c>
      <c r="AD41" s="10">
        <f>MAX(Tabella211[[#This Row],[Cum_D_fit]]-CIh,0)</f>
        <v>9706.9713823978491</v>
      </c>
      <c r="AF41" s="71" t="s">
        <v>6</v>
      </c>
      <c r="AG41" s="73">
        <f>TINV(0.05,dfh)</f>
        <v>2.0106347576242314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126" cm="1">
        <f t="array" ref="G42">(K^(1-p)-(1-p)*EXP(-(Tabella211[[#This Row],[Day]]-t0)/w))^(1/(1-p))</f>
        <v>95645.228135460246</v>
      </c>
      <c r="H42" s="126">
        <f>(1/w)*EXP(-(Tabella211[[#This Row],[Day]]-t0)/w)*(Tabella211[[#This Row],[Cum_fit]])^p</f>
        <v>5256.8065021586217</v>
      </c>
      <c r="I42" s="56">
        <f>Tabella211[[#This Row],[Cum_fit]]*NOT(ISBLANK(Tabella211[[#This Row],[Cum_confirmed]]))</f>
        <v>95645.228135460246</v>
      </c>
      <c r="J42" s="10">
        <f>Tabella211[[#This Row],[Cum_fit]]+CI</f>
        <v>97930.433266237553</v>
      </c>
      <c r="K42" s="10">
        <f>MAX(Tabella211[[#This Row],[Cum_fit]]-CI,0)</f>
        <v>93360.023004682938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3342.6010025517821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126">
        <f>(Kr^(1-pr)-(1-pr)*EXP(-(Tabella211[[#This Row],[Day]]-t0r)/wr))^(1/(1-pr))</f>
        <v>13200.143513693851</v>
      </c>
      <c r="S42" s="126">
        <f>(1/wr)*EXP(-(Tabella211[[#This Row],[Day]]-t0r)/wr)*(Tabella211[[#This Row],[Cum_R_fit]])^pr</f>
        <v>1135.6224814515394</v>
      </c>
      <c r="T42" s="60">
        <f>Tabella211[[#This Row],[Cum_R_fit]]*NOT(ISBLANK(Tabella211[[#This Row],[Cum_recov]]))</f>
        <v>13200.143513693851</v>
      </c>
      <c r="U42" s="10">
        <f>Tabella211[[#This Row],[Cum_R_fit]]+CIr</f>
        <v>13872.953486461203</v>
      </c>
      <c r="V42" s="10">
        <f>MAX(Tabella211[[#This Row],[Cum_R_fit]]-CIr,0)</f>
        <v>12527.333540926498</v>
      </c>
      <c r="W42" s="10">
        <f>'dpc-covid19-ita-andamento-naz'!K36</f>
        <v>10779</v>
      </c>
      <c r="X42" s="26">
        <f>Tabella211[[#This Row],[Cum_deaths]]-W41</f>
        <v>756</v>
      </c>
      <c r="Y42" s="64">
        <f>Tabella211[[#This Row],[Cum_deaths]]*NOT(ISBLANK(Tabella211[[#This Row],[Cum_deaths]]))</f>
        <v>10779</v>
      </c>
      <c r="Z42" s="50">
        <f>(Kh^(1-ph)-(1-ph)*EXP(-(Tabella211[[#This Row],[Day]]-t0h)/wh))^(1/(1-ph))</f>
        <v>10713.703492885392</v>
      </c>
      <c r="AA42" s="126">
        <f>(1/wh)*EXP(-(Tabella211[[#This Row],[Day]]-t0h)/wh)*(Tabella211[[#This Row],[Cum_D_fit]])^ph</f>
        <v>778.58301815529956</v>
      </c>
      <c r="AB42" s="64">
        <f>Tabella211[[#This Row],[Cum_D_fit]]*NOT(ISBLANK(Tabella211[[#This Row],[Cum_deaths]]))</f>
        <v>10713.703492885392</v>
      </c>
      <c r="AC42" s="10">
        <f>Tabella211[[#This Row],[Cum_D_fit]]+CIh</f>
        <v>10941.261528079704</v>
      </c>
      <c r="AD42" s="10">
        <f>MAX(Tabella211[[#This Row],[Cum_D_fit]]-CIh,0)</f>
        <v>10486.14545769108</v>
      </c>
      <c r="AF42" s="71" t="s">
        <v>7</v>
      </c>
      <c r="AG42" s="35">
        <f>Critical_th*SE_of_yh</f>
        <v>227.55803519431217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126" cm="1">
        <f t="array" ref="G43">(K^(1-p)-(1-p)*EXP(-(Tabella211[[#This Row],[Day]]-t0)/w))^(1/(1-p))</f>
        <v>100854.01112386584</v>
      </c>
      <c r="H43" s="126">
        <f>(1/w)*EXP(-(Tabella211[[#This Row],[Day]]-t0)/w)*(Tabella211[[#This Row],[Cum_fit]])^p</f>
        <v>5157.760742401998</v>
      </c>
      <c r="I43" s="56">
        <f>Tabella211[[#This Row],[Cum_fit]]*NOT(ISBLANK(Tabella211[[#This Row],[Cum_confirmed]]))</f>
        <v>100854.01112386584</v>
      </c>
      <c r="J43" s="10">
        <f>Tabella211[[#This Row],[Cum_fit]]+CI</f>
        <v>103139.21625464315</v>
      </c>
      <c r="K43" s="10">
        <f>MAX(Tabella211[[#This Row],[Cum_fit]]-CI,0)</f>
        <v>98568.805993088536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3196.9063960267617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126">
        <f>(Kr^(1-pr)-(1-pr)*EXP(-(Tabella211[[#This Row],[Day]]-t0r)/wr))^(1/(1-pr))</f>
        <v>14361.539357366646</v>
      </c>
      <c r="S43" s="126">
        <f>(1/wr)*EXP(-(Tabella211[[#This Row],[Day]]-t0r)/wr)*(Tabella211[[#This Row],[Cum_R_fit]])^pr</f>
        <v>1186.9968766861871</v>
      </c>
      <c r="T43" s="60">
        <f>Tabella211[[#This Row],[Cum_R_fit]]*NOT(ISBLANK(Tabella211[[#This Row],[Cum_recov]]))</f>
        <v>14361.539357366646</v>
      </c>
      <c r="U43" s="10">
        <f>Tabella211[[#This Row],[Cum_R_fit]]+CIr</f>
        <v>15034.349330133999</v>
      </c>
      <c r="V43" s="10">
        <f>MAX(Tabella211[[#This Row],[Cum_R_fit]]-CIr,0)</f>
        <v>13688.729384599294</v>
      </c>
      <c r="W43" s="10">
        <f>'dpc-covid19-ita-andamento-naz'!K37</f>
        <v>11591</v>
      </c>
      <c r="X43" s="26">
        <f>Tabella211[[#This Row],[Cum_deaths]]-W42</f>
        <v>812</v>
      </c>
      <c r="Y43" s="64">
        <f>Tabella211[[#This Row],[Cum_deaths]]*NOT(ISBLANK(Tabella211[[#This Row],[Cum_deaths]]))</f>
        <v>11591</v>
      </c>
      <c r="Z43" s="50">
        <f>(Kh^(1-ph)-(1-ph)*EXP(-(Tabella211[[#This Row],[Day]]-t0h)/wh))^(1/(1-ph))</f>
        <v>11490.265468636178</v>
      </c>
      <c r="AA43" s="126">
        <f>(1/wh)*EXP(-(Tabella211[[#This Row],[Day]]-t0h)/wh)*(Tabella211[[#This Row],[Cum_D_fit]])^ph</f>
        <v>773.85746968904925</v>
      </c>
      <c r="AB43" s="64">
        <f>Tabella211[[#This Row],[Cum_D_fit]]*NOT(ISBLANK(Tabella211[[#This Row],[Cum_deaths]]))</f>
        <v>11490.265468636178</v>
      </c>
      <c r="AC43" s="10">
        <f>Tabella211[[#This Row],[Cum_D_fit]]+CIh</f>
        <v>11717.82350383049</v>
      </c>
      <c r="AD43" s="10">
        <f>MAX(Tabella211[[#This Row],[Cum_D_fit]]-CIh,0)</f>
        <v>11262.707433441867</v>
      </c>
      <c r="AF43" s="34" t="s">
        <v>110</v>
      </c>
      <c r="AG43" s="35">
        <f>Kh</f>
        <v>27860.328992869359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126" cm="1">
        <f t="array" ref="G44">(K^(1-p)-(1-p)*EXP(-(Tabella211[[#This Row],[Day]]-t0)/w))^(1/(1-p))</f>
        <v>105955.17208943631</v>
      </c>
      <c r="H44" s="126">
        <f>(1/w)*EXP(-(Tabella211[[#This Row],[Day]]-t0)/w)*(Tabella211[[#This Row],[Cum_fit]])^p</f>
        <v>5041.9806577364943</v>
      </c>
      <c r="I44" s="56">
        <f>Tabella211[[#This Row],[Cum_fit]]*NOT(ISBLANK(Tabella211[[#This Row],[Cum_confirmed]]))</f>
        <v>105955.17208943631</v>
      </c>
      <c r="J44" s="10">
        <f>Tabella211[[#This Row],[Cum_fit]]+CI</f>
        <v>108240.37722021362</v>
      </c>
      <c r="K44" s="10">
        <f>MAX(Tabella211[[#This Row],[Cum_fit]]-CI,0)</f>
        <v>103669.966958659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3039.4908743507112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126">
        <f>(Kr^(1-pr)-(1-pr)*EXP(-(Tabella211[[#This Row],[Day]]-t0r)/wr))^(1/(1-pr))</f>
        <v>15573.766231647858</v>
      </c>
      <c r="S44" s="126">
        <f>(1/wr)*EXP(-(Tabella211[[#This Row],[Day]]-t0r)/wr)*(Tabella211[[#This Row],[Cum_R_fit]])^pr</f>
        <v>1237.2585767596856</v>
      </c>
      <c r="T44" s="60">
        <f>Tabella211[[#This Row],[Cum_R_fit]]*NOT(ISBLANK(Tabella211[[#This Row],[Cum_recov]]))</f>
        <v>15573.766231647858</v>
      </c>
      <c r="U44" s="10">
        <f>Tabella211[[#This Row],[Cum_R_fit]]+CIr</f>
        <v>16246.576204415211</v>
      </c>
      <c r="V44" s="10">
        <f>MAX(Tabella211[[#This Row],[Cum_R_fit]]-CIr,0)</f>
        <v>14900.956258880506</v>
      </c>
      <c r="W44" s="10">
        <f>'dpc-covid19-ita-andamento-naz'!K38</f>
        <v>12428</v>
      </c>
      <c r="X44" s="26">
        <f>Tabella211[[#This Row],[Cum_deaths]]-W43</f>
        <v>837</v>
      </c>
      <c r="Y44" s="64">
        <f>Tabella211[[#This Row],[Cum_deaths]]*NOT(ISBLANK(Tabella211[[#This Row],[Cum_deaths]]))</f>
        <v>12428</v>
      </c>
      <c r="Z44" s="50">
        <f>(Kh^(1-ph)-(1-ph)*EXP(-(Tabella211[[#This Row],[Day]]-t0h)/wh))^(1/(1-ph))</f>
        <v>12260.117909031951</v>
      </c>
      <c r="AA44" s="126">
        <f>(1/wh)*EXP(-(Tabella211[[#This Row],[Day]]-t0h)/wh)*(Tabella211[[#This Row],[Cum_D_fit]])^ph</f>
        <v>765.23120662609756</v>
      </c>
      <c r="AB44" s="64">
        <f>Tabella211[[#This Row],[Cum_D_fit]]*NOT(ISBLANK(Tabella211[[#This Row],[Cum_deaths]]))</f>
        <v>12260.117909031951</v>
      </c>
      <c r="AC44" s="10">
        <f>Tabella211[[#This Row],[Cum_D_fit]]+CIh</f>
        <v>12487.675944226263</v>
      </c>
      <c r="AD44" s="10">
        <f>MAX(Tabella211[[#This Row],[Cum_D_fit]]-CIh,0)</f>
        <v>12032.559873837639</v>
      </c>
      <c r="AF44" s="34"/>
      <c r="AG44" s="75"/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126" cm="1">
        <f t="array" ref="G45">(K^(1-p)-(1-p)*EXP(-(Tabella211[[#This Row],[Day]]-t0)/w))^(1/(1-p))</f>
        <v>110933.22044078723</v>
      </c>
      <c r="H45" s="126">
        <f>(1/w)*EXP(-(Tabella211[[#This Row],[Day]]-t0)/w)*(Tabella211[[#This Row],[Cum_fit]])^p</f>
        <v>4911.9414457360481</v>
      </c>
      <c r="I45" s="56">
        <f>Tabella211[[#This Row],[Cum_fit]]*NOT(ISBLANK(Tabella211[[#This Row],[Cum_confirmed]]))</f>
        <v>110933.22044078723</v>
      </c>
      <c r="J45" s="10">
        <f>Tabella211[[#This Row],[Cum_fit]]+CI</f>
        <v>113218.42557156454</v>
      </c>
      <c r="K45" s="10">
        <f>MAX(Tabella211[[#This Row],[Cum_fit]]-CI,0)</f>
        <v>108648.01531000993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2872.5654717160401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126">
        <f>(Kr^(1-pr)-(1-pr)*EXP(-(Tabella211[[#This Row],[Day]]-t0r)/wr))^(1/(1-pr))</f>
        <v>16835.635613299255</v>
      </c>
      <c r="S45" s="126">
        <f>(1/wr)*EXP(-(Tabella211[[#This Row],[Day]]-t0r)/wr)*(Tabella211[[#This Row],[Cum_R_fit]])^pr</f>
        <v>1286.2580035767676</v>
      </c>
      <c r="T45" s="60">
        <f>Tabella211[[#This Row],[Cum_R_fit]]*NOT(ISBLANK(Tabella211[[#This Row],[Cum_recov]]))</f>
        <v>16835.635613299255</v>
      </c>
      <c r="U45" s="10">
        <f>Tabella211[[#This Row],[Cum_R_fit]]+CIr</f>
        <v>17508.445586066609</v>
      </c>
      <c r="V45" s="10">
        <f>MAX(Tabella211[[#This Row],[Cum_R_fit]]-CIr,0)</f>
        <v>16162.825640531903</v>
      </c>
      <c r="W45" s="10">
        <f>'dpc-covid19-ita-andamento-naz'!K39</f>
        <v>13155</v>
      </c>
      <c r="X45" s="26">
        <f>Tabella211[[#This Row],[Cum_deaths]]-W44</f>
        <v>727</v>
      </c>
      <c r="Y45" s="64">
        <f>Tabella211[[#This Row],[Cum_deaths]]*NOT(ISBLANK(Tabella211[[#This Row],[Cum_deaths]]))</f>
        <v>13155</v>
      </c>
      <c r="Z45" s="50">
        <f>(Kh^(1-ph)-(1-ph)*EXP(-(Tabella211[[#This Row],[Day]]-t0h)/wh))^(1/(1-ph))</f>
        <v>13019.565428423748</v>
      </c>
      <c r="AA45" s="126">
        <f>(1/wh)*EXP(-(Tabella211[[#This Row],[Day]]-t0h)/wh)*(Tabella211[[#This Row],[Cum_D_fit]])^ph</f>
        <v>753.1179704432401</v>
      </c>
      <c r="AB45" s="64">
        <f>Tabella211[[#This Row],[Cum_D_fit]]*NOT(ISBLANK(Tabella211[[#This Row],[Cum_deaths]]))</f>
        <v>13019.565428423748</v>
      </c>
      <c r="AC45" s="10">
        <f>Tabella211[[#This Row],[Cum_D_fit]]+CIh</f>
        <v>13247.12346361806</v>
      </c>
      <c r="AD45" s="10">
        <f>MAX(Tabella211[[#This Row],[Cum_D_fit]]-CIh,0)</f>
        <v>12792.007393229436</v>
      </c>
      <c r="AF45" s="69" t="s">
        <v>114</v>
      </c>
      <c r="AG45" s="70">
        <v>0.99932744290408682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126" cm="1">
        <f t="array" ref="G46">(K^(1-p)-(1-p)*EXP(-(Tabella211[[#This Row],[Day]]-t0)/w))^(1/(1-p))</f>
        <v>115775.09747739782</v>
      </c>
      <c r="H46" s="126">
        <f>(1/w)*EXP(-(Tabella211[[#This Row],[Day]]-t0)/w)*(Tabella211[[#This Row],[Cum_fit]])^p</f>
        <v>4770.0255182388237</v>
      </c>
      <c r="I46" s="56">
        <f>Tabella211[[#This Row],[Cum_fit]]*NOT(ISBLANK(Tabella211[[#This Row],[Cum_confirmed]]))</f>
        <v>115775.09747739782</v>
      </c>
      <c r="J46" s="10">
        <f>Tabella211[[#This Row],[Cum_fit]]+CI</f>
        <v>118060.30260817513</v>
      </c>
      <c r="K46" s="10">
        <f>MAX(Tabella211[[#This Row],[Cum_fit]]-CI,0)</f>
        <v>113489.89234662052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2698.2239941939124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126">
        <f>(Kr^(1-pr)-(1-pr)*EXP(-(Tabella211[[#This Row],[Day]]-t0r)/wr))^(1/(1-pr))</f>
        <v>18145.815670125416</v>
      </c>
      <c r="S46" s="126">
        <f>(1/wr)*EXP(-(Tabella211[[#This Row],[Day]]-t0r)/wr)*(Tabella211[[#This Row],[Cum_R_fit]])^pr</f>
        <v>1333.8581476601678</v>
      </c>
      <c r="T46" s="60">
        <f>Tabella211[[#This Row],[Cum_R_fit]]*NOT(ISBLANK(Tabella211[[#This Row],[Cum_recov]]))</f>
        <v>18145.815670125416</v>
      </c>
      <c r="U46" s="10">
        <f>Tabella211[[#This Row],[Cum_R_fit]]+CIr</f>
        <v>18818.62564289277</v>
      </c>
      <c r="V46" s="10">
        <f>MAX(Tabella211[[#This Row],[Cum_R_fit]]-CIr,0)</f>
        <v>17473.005697358061</v>
      </c>
      <c r="W46" s="10">
        <f>'dpc-covid19-ita-andamento-naz'!K40</f>
        <v>13915</v>
      </c>
      <c r="X46" s="26">
        <f>Tabella211[[#This Row],[Cum_deaths]]-W45</f>
        <v>760</v>
      </c>
      <c r="Y46" s="64">
        <f>Tabella211[[#This Row],[Cum_deaths]]*NOT(ISBLANK(Tabella211[[#This Row],[Cum_deaths]]))</f>
        <v>13915</v>
      </c>
      <c r="Z46" s="50">
        <f>(Kh^(1-ph)-(1-ph)*EXP(-(Tabella211[[#This Row],[Day]]-t0h)/wh))^(1/(1-ph))</f>
        <v>13765.333400370127</v>
      </c>
      <c r="AA46" s="126">
        <f>(1/wh)*EXP(-(Tabella211[[#This Row],[Day]]-t0h)/wh)*(Tabella211[[#This Row],[Cum_D_fit]])^ph</f>
        <v>737.94337638474371</v>
      </c>
      <c r="AB46" s="64">
        <f>Tabella211[[#This Row],[Cum_D_fit]]*NOT(ISBLANK(Tabella211[[#This Row],[Cum_deaths]]))</f>
        <v>13765.333400370127</v>
      </c>
      <c r="AC46" s="10">
        <f>Tabella211[[#This Row],[Cum_D_fit]]+CIh</f>
        <v>13992.891435564439</v>
      </c>
      <c r="AD46" s="10">
        <f>MAX(Tabella211[[#This Row],[Cum_D_fit]]-CIh,0)</f>
        <v>13537.775365175816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126" cm="1">
        <f t="array" ref="G47">(K^(1-p)-(1-p)*EXP(-(Tabella211[[#This Row],[Day]]-t0)/w))^(1/(1-p))</f>
        <v>120470.06667170112</v>
      </c>
      <c r="H47" s="126">
        <f>(1/w)*EXP(-(Tabella211[[#This Row],[Day]]-t0)/w)*(Tabella211[[#This Row],[Cum_fit]])^p</f>
        <v>4618.4901902511037</v>
      </c>
      <c r="I47" s="56">
        <f>Tabella211[[#This Row],[Cum_fit]]*NOT(ISBLANK(Tabella211[[#This Row],[Cum_confirmed]]))</f>
        <v>120470.06667170112</v>
      </c>
      <c r="J47" s="10">
        <f>Tabella211[[#This Row],[Cum_fit]]+CI</f>
        <v>122755.27180247843</v>
      </c>
      <c r="K47" s="10">
        <f>MAX(Tabella211[[#This Row],[Cum_fit]]-CI,0)</f>
        <v>118184.86154092381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2518.4224864490534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126">
        <f>(Kr^(1-pr)-(1-pr)*EXP(-(Tabella211[[#This Row],[Day]]-t0r)/wr))^(1/(1-pr))</f>
        <v>19502.843898256684</v>
      </c>
      <c r="S47" s="126">
        <f>(1/wr)*EXP(-(Tabella211[[#This Row],[Day]]-t0r)/wr)*(Tabella211[[#This Row],[Cum_R_fit]])^pr</f>
        <v>1379.9346836090353</v>
      </c>
      <c r="T47" s="60">
        <f>Tabella211[[#This Row],[Cum_R_fit]]*NOT(ISBLANK(Tabella211[[#This Row],[Cum_recov]]))</f>
        <v>19502.843898256684</v>
      </c>
      <c r="U47" s="10">
        <f>Tabella211[[#This Row],[Cum_R_fit]]+CIr</f>
        <v>20175.653871024038</v>
      </c>
      <c r="V47" s="10">
        <f>MAX(Tabella211[[#This Row],[Cum_R_fit]]-CIr,0)</f>
        <v>18830.03392548933</v>
      </c>
      <c r="W47" s="10">
        <f>'dpc-covid19-ita-andamento-naz'!K41</f>
        <v>14681</v>
      </c>
      <c r="X47" s="26">
        <f>Tabella211[[#This Row],[Cum_deaths]]-W46</f>
        <v>766</v>
      </c>
      <c r="Y47" s="64">
        <f>Tabella211[[#This Row],[Cum_deaths]]*NOT(ISBLANK(Tabella211[[#This Row],[Cum_deaths]]))</f>
        <v>14681</v>
      </c>
      <c r="Z47" s="50">
        <f>(Kh^(1-ph)-(1-ph)*EXP(-(Tabella211[[#This Row],[Day]]-t0h)/wh))^(1/(1-ph))</f>
        <v>14494.573705073237</v>
      </c>
      <c r="AA47" s="126">
        <f>(1/wh)*EXP(-(Tabella211[[#This Row],[Day]]-t0h)/wh)*(Tabella211[[#This Row],[Cum_D_fit]])^ph</f>
        <v>720.13302019301511</v>
      </c>
      <c r="AB47" s="64">
        <f>Tabella211[[#This Row],[Cum_D_fit]]*NOT(ISBLANK(Tabella211[[#This Row],[Cum_deaths]]))</f>
        <v>14494.573705073237</v>
      </c>
      <c r="AC47" s="10">
        <f>Tabella211[[#This Row],[Cum_D_fit]]+CIh</f>
        <v>14722.131740267549</v>
      </c>
      <c r="AD47" s="10">
        <f>MAX(Tabella211[[#This Row],[Cum_D_fit]]-CIh,0)</f>
        <v>14267.015669878925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126" cm="1">
        <f t="array" ref="G48">(K^(1-p)-(1-p)*EXP(-(Tabella211[[#This Row],[Day]]-t0)/w))^(1/(1-p))</f>
        <v>125009.5761338607</v>
      </c>
      <c r="H48" s="126">
        <f>(1/w)*EXP(-(Tabella211[[#This Row],[Day]]-t0)/w)*(Tabella211[[#This Row],[Cum_fit]])^p</f>
        <v>4459.4441861900268</v>
      </c>
      <c r="I48" s="56">
        <f>Tabella211[[#This Row],[Cum_fit]]*NOT(ISBLANK(Tabella211[[#This Row],[Cum_confirmed]]))</f>
        <v>125009.5761338607</v>
      </c>
      <c r="J48" s="10">
        <f>Tabella211[[#This Row],[Cum_fit]]+CI</f>
        <v>127294.781264638</v>
      </c>
      <c r="K48" s="10">
        <f>MAX(Tabella211[[#This Row],[Cum_fit]]-CI,0)</f>
        <v>122724.37100308339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2334.9654934458381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126">
        <f>(Kr^(1-pr)-(1-pr)*EXP(-(Tabella211[[#This Row],[Day]]-t0r)/wr))^(1/(1-pr))</f>
        <v>20905.139811704536</v>
      </c>
      <c r="S48" s="126">
        <f>(1/wr)*EXP(-(Tabella211[[#This Row],[Day]]-t0r)/wr)*(Tabella211[[#This Row],[Cum_R_fit]])^pr</f>
        <v>1424.3759616015193</v>
      </c>
      <c r="T48" s="60">
        <f>Tabella211[[#This Row],[Cum_R_fit]]*NOT(ISBLANK(Tabella211[[#This Row],[Cum_recov]]))</f>
        <v>20905.139811704536</v>
      </c>
      <c r="U48" s="10">
        <f>Tabella211[[#This Row],[Cum_R_fit]]+CIr</f>
        <v>21577.94978447189</v>
      </c>
      <c r="V48" s="10">
        <f>MAX(Tabella211[[#This Row],[Cum_R_fit]]-CIr,0)</f>
        <v>20232.329838937181</v>
      </c>
      <c r="W48" s="10">
        <f>'dpc-covid19-ita-andamento-naz'!K42</f>
        <v>15362</v>
      </c>
      <c r="X48" s="26">
        <f>Tabella211[[#This Row],[Cum_deaths]]-W47</f>
        <v>681</v>
      </c>
      <c r="Y48" s="64">
        <f>Tabella211[[#This Row],[Cum_deaths]]*NOT(ISBLANK(Tabella211[[#This Row],[Cum_deaths]]))</f>
        <v>15362</v>
      </c>
      <c r="Z48" s="50">
        <f>(Kh^(1-ph)-(1-ph)*EXP(-(Tabella211[[#This Row],[Day]]-t0h)/wh))^(1/(1-ph))</f>
        <v>15204.859659548063</v>
      </c>
      <c r="AA48" s="126">
        <f>(1/wh)*EXP(-(Tabella211[[#This Row],[Day]]-t0h)/wh)*(Tabella211[[#This Row],[Cum_D_fit]])^ph</f>
        <v>700.10273114266931</v>
      </c>
      <c r="AB48" s="64">
        <f>Tabella211[[#This Row],[Cum_D_fit]]*NOT(ISBLANK(Tabella211[[#This Row],[Cum_deaths]]))</f>
        <v>15204.859659548063</v>
      </c>
      <c r="AC48" s="10">
        <f>Tabella211[[#This Row],[Cum_D_fit]]+CIh</f>
        <v>15432.417694742375</v>
      </c>
      <c r="AD48" s="10">
        <f>MAX(Tabella211[[#This Row],[Cum_D_fit]]-CIh,0)</f>
        <v>14977.301624353751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126" cm="1">
        <f t="array" ref="G49">(K^(1-p)-(1-p)*EXP(-(Tabella211[[#This Row],[Day]]-t0)/w))^(1/(1-p))</f>
        <v>129387.10155140562</v>
      </c>
      <c r="H49" s="126">
        <f>(1/w)*EXP(-(Tabella211[[#This Row],[Day]]-t0)/w)*(Tabella211[[#This Row],[Cum_fit]])^p</f>
        <v>4294.8319014268318</v>
      </c>
      <c r="I49" s="56">
        <f>Tabella211[[#This Row],[Cum_fit]]*NOT(ISBLANK(Tabella211[[#This Row],[Cum_confirmed]]))</f>
        <v>129387.10155140562</v>
      </c>
      <c r="J49" s="10">
        <f>Tabella211[[#This Row],[Cum_fit]]+CI</f>
        <v>131672.30668218291</v>
      </c>
      <c r="K49" s="10">
        <f>MAX(Tabella211[[#This Row],[Cum_fit]]-CI,0)</f>
        <v>127101.89642062831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2149.498122501233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126">
        <f>(Kr^(1-pr)-(1-pr)*EXP(-(Tabella211[[#This Row],[Day]]-t0r)/wr))^(1/(1-pr))</f>
        <v>22351.017567413535</v>
      </c>
      <c r="S49" s="126">
        <f>(1/wr)*EXP(-(Tabella211[[#This Row],[Day]]-t0r)/wr)*(Tabella211[[#This Row],[Cum_R_fit]])^pr</f>
        <v>1467.0828892280674</v>
      </c>
      <c r="T49" s="60">
        <f>Tabella211[[#This Row],[Cum_R_fit]]*NOT(ISBLANK(Tabella211[[#This Row],[Cum_recov]]))</f>
        <v>22351.017567413535</v>
      </c>
      <c r="U49" s="10">
        <f>Tabella211[[#This Row],[Cum_R_fit]]+CIr</f>
        <v>23023.82754018089</v>
      </c>
      <c r="V49" s="10">
        <f>MAX(Tabella211[[#This Row],[Cum_R_fit]]-CIr,0)</f>
        <v>21678.207594646181</v>
      </c>
      <c r="W49" s="10">
        <f>'dpc-covid19-ita-andamento-naz'!K43</f>
        <v>15887</v>
      </c>
      <c r="X49" s="26">
        <f>Tabella211[[#This Row],[Cum_deaths]]-W48</f>
        <v>525</v>
      </c>
      <c r="Y49" s="64">
        <f>Tabella211[[#This Row],[Cum_deaths]]*NOT(ISBLANK(Tabella211[[#This Row],[Cum_deaths]]))</f>
        <v>15887</v>
      </c>
      <c r="Z49" s="50">
        <f>(Kh^(1-ph)-(1-ph)*EXP(-(Tabella211[[#This Row],[Day]]-t0h)/wh))^(1/(1-ph))</f>
        <v>15894.172243512125</v>
      </c>
      <c r="AA49" s="126">
        <f>(1/wh)*EXP(-(Tabella211[[#This Row],[Day]]-t0h)/wh)*(Tabella211[[#This Row],[Cum_D_fit]])^ph</f>
        <v>678.25088969753142</v>
      </c>
      <c r="AB49" s="64">
        <f>Tabella211[[#This Row],[Cum_D_fit]]*NOT(ISBLANK(Tabella211[[#This Row],[Cum_deaths]]))</f>
        <v>15894.172243512125</v>
      </c>
      <c r="AC49" s="10">
        <f>Tabella211[[#This Row],[Cum_D_fit]]+CIh</f>
        <v>16121.730278706436</v>
      </c>
      <c r="AD49" s="10">
        <f>MAX(Tabella211[[#This Row],[Cum_D_fit]]-CIh,0)</f>
        <v>15666.614208317813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126" cm="1">
        <f t="array" ref="G50">(K^(1-p)-(1-p)*EXP(-(Tabella211[[#This Row],[Day]]-t0)/w))^(1/(1-p))</f>
        <v>133597.97680725256</v>
      </c>
      <c r="H50" s="126">
        <f>(1/w)*EXP(-(Tabella211[[#This Row],[Day]]-t0)/w)*(Tabella211[[#This Row],[Cum_fit]])^p</f>
        <v>4126.4243118687209</v>
      </c>
      <c r="I50" s="56">
        <f>Tabella211[[#This Row],[Cum_fit]]*NOT(ISBLANK(Tabella211[[#This Row],[Cum_confirmed]]))</f>
        <v>133597.97680725256</v>
      </c>
      <c r="J50" s="10">
        <f>Tabella211[[#This Row],[Cum_fit]]+CI</f>
        <v>135883.18193802985</v>
      </c>
      <c r="K50" s="10">
        <f>MAX(Tabella211[[#This Row],[Cum_fit]]-CI,0)</f>
        <v>131312.77167647527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1963.5029400778301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126">
        <f>(Kr^(1-pr)-(1-pr)*EXP(-(Tabella211[[#This Row],[Day]]-t0r)/wr))^(1/(1-pr))</f>
        <v>23838.698423072325</v>
      </c>
      <c r="S50" s="126">
        <f>(1/wr)*EXP(-(Tabella211[[#This Row],[Day]]-t0r)/wr)*(Tabella211[[#This Row],[Cum_R_fit]])^pr</f>
        <v>1507.9687174176274</v>
      </c>
      <c r="T50" s="60">
        <f>Tabella211[[#This Row],[Cum_R_fit]]*NOT(ISBLANK(Tabella211[[#This Row],[Cum_recov]]))</f>
        <v>23838.698423072325</v>
      </c>
      <c r="U50" s="10">
        <f>Tabella211[[#This Row],[Cum_R_fit]]+CIr</f>
        <v>24511.508395839679</v>
      </c>
      <c r="V50" s="10">
        <f>MAX(Tabella211[[#This Row],[Cum_R_fit]]-CIr,0)</f>
        <v>23165.88845030497</v>
      </c>
      <c r="W50" s="10">
        <f>'dpc-covid19-ita-andamento-naz'!K44</f>
        <v>16523</v>
      </c>
      <c r="X50" s="26">
        <f>Tabella211[[#This Row],[Cum_deaths]]-W49</f>
        <v>636</v>
      </c>
      <c r="Y50" s="64">
        <f>Tabella211[[#This Row],[Cum_deaths]]*NOT(ISBLANK(Tabella211[[#This Row],[Cum_deaths]]))</f>
        <v>16523</v>
      </c>
      <c r="Z50" s="50">
        <f>(Kh^(1-ph)-(1-ph)*EXP(-(Tabella211[[#This Row],[Day]]-t0h)/wh))^(1/(1-ph))</f>
        <v>16560.87961280641</v>
      </c>
      <c r="AA50" s="126">
        <f>(1/wh)*EXP(-(Tabella211[[#This Row],[Day]]-t0h)/wh)*(Tabella211[[#This Row],[Cum_D_fit]])^ph</f>
        <v>654.95265437326339</v>
      </c>
      <c r="AB50" s="64">
        <f>Tabella211[[#This Row],[Cum_D_fit]]*NOT(ISBLANK(Tabella211[[#This Row],[Cum_deaths]]))</f>
        <v>16560.87961280641</v>
      </c>
      <c r="AC50" s="10">
        <f>Tabella211[[#This Row],[Cum_D_fit]]+CIh</f>
        <v>16788.437648000723</v>
      </c>
      <c r="AD50" s="10">
        <f>MAX(Tabella211[[#This Row],[Cum_D_fit]]-CIh,0)</f>
        <v>16333.321577612098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126" cm="1">
        <f t="array" ref="G51">(K^(1-p)-(1-p)*EXP(-(Tabella211[[#This Row],[Day]]-t0)/w))^(1/(1-p))</f>
        <v>137639.21837380814</v>
      </c>
      <c r="H51" s="126">
        <f>(1/w)*EXP(-(Tabella211[[#This Row],[Day]]-t0)/w)*(Tabella211[[#This Row],[Cum_fit]])^p</f>
        <v>3955.8154384545392</v>
      </c>
      <c r="I51" s="56">
        <f>Tabella211[[#This Row],[Cum_fit]]*NOT(ISBLANK(Tabella211[[#This Row],[Cum_confirmed]]))</f>
        <v>137639.21837380814</v>
      </c>
      <c r="J51" s="10">
        <f>Tabella211[[#This Row],[Cum_fit]]+CI</f>
        <v>139924.42350458543</v>
      </c>
      <c r="K51" s="10">
        <f>MAX(Tabella211[[#This Row],[Cum_fit]]-CI,0)</f>
        <v>135354.01324303084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1778.3007986797625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126">
        <f>(Kr^(1-pr)-(1-pr)*EXP(-(Tabella211[[#This Row],[Day]]-t0r)/wr))^(1/(1-pr))</f>
        <v>25366.322938389865</v>
      </c>
      <c r="S51" s="126">
        <f>(1/wr)*EXP(-(Tabella211[[#This Row],[Day]]-t0r)/wr)*(Tabella211[[#This Row],[Cum_R_fit]])^pr</f>
        <v>1546.9587435694928</v>
      </c>
      <c r="T51" s="60">
        <f>Tabella211[[#This Row],[Cum_R_fit]]*NOT(ISBLANK(Tabella211[[#This Row],[Cum_recov]]))</f>
        <v>25366.322938389865</v>
      </c>
      <c r="U51" s="10">
        <f>Tabella211[[#This Row],[Cum_R_fit]]+CIr</f>
        <v>26039.132911157219</v>
      </c>
      <c r="V51" s="10">
        <f>MAX(Tabella211[[#This Row],[Cum_R_fit]]-CIr,0)</f>
        <v>24693.512965622511</v>
      </c>
      <c r="W51" s="10">
        <f>'dpc-covid19-ita-andamento-naz'!K45</f>
        <v>17127</v>
      </c>
      <c r="X51" s="26">
        <f>Tabella211[[#This Row],[Cum_deaths]]-W50</f>
        <v>604</v>
      </c>
      <c r="Y51" s="64">
        <f>Tabella211[[#This Row],[Cum_deaths]]*NOT(ISBLANK(Tabella211[[#This Row],[Cum_deaths]]))</f>
        <v>17127</v>
      </c>
      <c r="Z51" s="50">
        <f>(Kh^(1-ph)-(1-ph)*EXP(-(Tabella211[[#This Row],[Day]]-t0h)/wh))^(1/(1-ph))</f>
        <v>17203.711711531476</v>
      </c>
      <c r="AA51" s="126">
        <f>(1/wh)*EXP(-(Tabella211[[#This Row],[Day]]-t0h)/wh)*(Tabella211[[#This Row],[Cum_D_fit]])^ph</f>
        <v>630.55589620528417</v>
      </c>
      <c r="AB51" s="64">
        <f>Tabella211[[#This Row],[Cum_D_fit]]*NOT(ISBLANK(Tabella211[[#This Row],[Cum_deaths]]))</f>
        <v>17203.711711531476</v>
      </c>
      <c r="AC51" s="10">
        <f>Tabella211[[#This Row],[Cum_D_fit]]+CIh</f>
        <v>17431.269746725789</v>
      </c>
      <c r="AD51" s="10">
        <f>MAX(Tabella211[[#This Row],[Cum_D_fit]]-CIh,0)</f>
        <v>16976.153676337162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126" cm="1">
        <f t="array" ref="G52">(K^(1-p)-(1-p)*EXP(-(Tabella211[[#This Row],[Day]]-t0)/w))^(1/(1-p))</f>
        <v>141509.3485141178</v>
      </c>
      <c r="H52" s="126">
        <f>(1/w)*EXP(-(Tabella211[[#This Row],[Day]]-t0)/w)*(Tabella211[[#This Row],[Cum_fit]])^p</f>
        <v>3784.4233300986725</v>
      </c>
      <c r="I52" s="56">
        <f>Tabella211[[#This Row],[Cum_fit]]*NOT(ISBLANK(Tabella211[[#This Row],[Cum_confirmed]]))</f>
        <v>141509.3485141178</v>
      </c>
      <c r="J52" s="10">
        <f>Tabella211[[#This Row],[Cum_fit]]+CI</f>
        <v>143794.55364489509</v>
      </c>
      <c r="K52" s="10">
        <f>MAX(Tabella211[[#This Row],[Cum_fit]]-CI,0)</f>
        <v>139224.1433833405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1595.054770379295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126">
        <f>(Kr^(1-pr)-(1-pr)*EXP(-(Tabella211[[#This Row],[Day]]-t0r)/wr))^(1/(1-pr))</f>
        <v>26931.96284329459</v>
      </c>
      <c r="S52" s="126">
        <f>(1/wr)*EXP(-(Tabella211[[#This Row],[Day]]-t0r)/wr)*(Tabella211[[#This Row],[Cum_R_fit]])^pr</f>
        <v>1583.9899442628964</v>
      </c>
      <c r="T52" s="60">
        <f>Tabella211[[#This Row],[Cum_R_fit]]*NOT(ISBLANK(Tabella211[[#This Row],[Cum_recov]]))</f>
        <v>26931.96284329459</v>
      </c>
      <c r="U52" s="10">
        <f>Tabella211[[#This Row],[Cum_R_fit]]+CIr</f>
        <v>27604.772816061944</v>
      </c>
      <c r="V52" s="10">
        <f>MAX(Tabella211[[#This Row],[Cum_R_fit]]-CIr,0)</f>
        <v>26259.152870527236</v>
      </c>
      <c r="W52" s="10">
        <f>'dpc-covid19-ita-andamento-naz'!K46</f>
        <v>17669</v>
      </c>
      <c r="X52" s="26">
        <f>Tabella211[[#This Row],[Cum_deaths]]-W51</f>
        <v>542</v>
      </c>
      <c r="Y52" s="64">
        <f>Tabella211[[#This Row],[Cum_deaths]]*NOT(ISBLANK(Tabella211[[#This Row],[Cum_deaths]]))</f>
        <v>17669</v>
      </c>
      <c r="Z52" s="50">
        <f>(Kh^(1-ph)-(1-ph)*EXP(-(Tabella211[[#This Row],[Day]]-t0h)/wh))^(1/(1-ph))</f>
        <v>17821.731579080708</v>
      </c>
      <c r="AA52" s="126">
        <f>(1/wh)*EXP(-(Tabella211[[#This Row],[Day]]-t0h)/wh)*(Tabella211[[#This Row],[Cum_D_fit]])^ph</f>
        <v>605.37861545648082</v>
      </c>
      <c r="AB52" s="64">
        <f>Tabella211[[#This Row],[Cum_D_fit]]*NOT(ISBLANK(Tabella211[[#This Row],[Cum_deaths]]))</f>
        <v>17821.731579080708</v>
      </c>
      <c r="AC52" s="10">
        <f>Tabella211[[#This Row],[Cum_D_fit]]+CIh</f>
        <v>18049.289614275021</v>
      </c>
      <c r="AD52" s="10">
        <f>MAX(Tabella211[[#This Row],[Cum_D_fit]]-CIh,0)</f>
        <v>17594.173543886394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126" cm="1">
        <f t="array" ref="G53">(K^(1-p)-(1-p)*EXP(-(Tabella211[[#This Row],[Day]]-t0)/w))^(1/(1-p))</f>
        <v>145208.22132438462</v>
      </c>
      <c r="H53" s="126">
        <f>(1/w)*EXP(-(Tabella211[[#This Row],[Day]]-t0)/w)*(Tabella211[[#This Row],[Cum_fit]])^p</f>
        <v>3613.4946132470682</v>
      </c>
      <c r="I53" s="56">
        <f>Tabella211[[#This Row],[Cum_fit]]*NOT(ISBLANK(Tabella211[[#This Row],[Cum_confirmed]]))</f>
        <v>145208.22132438462</v>
      </c>
      <c r="J53" s="10">
        <f>Tabella211[[#This Row],[Cum_fit]]+CI</f>
        <v>147493.42645516191</v>
      </c>
      <c r="K53" s="10">
        <f>MAX(Tabella211[[#This Row],[Cum_fit]]-CI,0)</f>
        <v>142923.01619360733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1414.7764553602819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126">
        <f>(Kr^(1-pr)-(1-pr)*EXP(-(Tabella211[[#This Row],[Day]]-t0r)/wr))^(1/(1-pr))</f>
        <v>28533.632508486615</v>
      </c>
      <c r="S53" s="126">
        <f>(1/wr)*EXP(-(Tabella211[[#This Row],[Day]]-t0r)/wr)*(Tabella211[[#This Row],[Cum_R_fit]])^pr</f>
        <v>1619.0105491125669</v>
      </c>
      <c r="T53" s="60">
        <f>Tabella211[[#This Row],[Cum_R_fit]]*NOT(ISBLANK(Tabella211[[#This Row],[Cum_recov]]))</f>
        <v>28533.632508486615</v>
      </c>
      <c r="U53" s="10">
        <f>Tabella211[[#This Row],[Cum_R_fit]]+CIr</f>
        <v>29206.442481253969</v>
      </c>
      <c r="V53" s="10">
        <f>MAX(Tabella211[[#This Row],[Cum_R_fit]]-CIr,0)</f>
        <v>27860.82253571926</v>
      </c>
      <c r="W53" s="10">
        <f>'dpc-covid19-ita-andamento-naz'!K47</f>
        <v>18279</v>
      </c>
      <c r="X53" s="26">
        <f>Tabella211[[#This Row],[Cum_deaths]]-W52</f>
        <v>610</v>
      </c>
      <c r="Y53" s="64">
        <f>Tabella211[[#This Row],[Cum_deaths]]*NOT(ISBLANK(Tabella211[[#This Row],[Cum_deaths]]))</f>
        <v>18279</v>
      </c>
      <c r="Z53" s="50">
        <f>(Kh^(1-ph)-(1-ph)*EXP(-(Tabella211[[#This Row],[Day]]-t0h)/wh))^(1/(1-ph))</f>
        <v>18414.304718329804</v>
      </c>
      <c r="AA53" s="126">
        <f>(1/wh)*EXP(-(Tabella211[[#This Row],[Day]]-t0h)/wh)*(Tabella211[[#This Row],[Cum_D_fit]])^ph</f>
        <v>579.70760877421935</v>
      </c>
      <c r="AB53" s="64">
        <f>Tabella211[[#This Row],[Cum_D_fit]]*NOT(ISBLANK(Tabella211[[#This Row],[Cum_deaths]]))</f>
        <v>18414.304718329804</v>
      </c>
      <c r="AC53" s="10">
        <f>Tabella211[[#This Row],[Cum_D_fit]]+CIh</f>
        <v>18641.862753524118</v>
      </c>
      <c r="AD53" s="10">
        <f>MAX(Tabella211[[#This Row],[Cum_D_fit]]-CIh,0)</f>
        <v>18186.74668313549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126" cm="1">
        <f t="array" ref="G54">(K^(1-p)-(1-p)*EXP(-(Tabella211[[#This Row],[Day]]-t0)/w))^(1/(1-p))</f>
        <v>148736.85475062169</v>
      </c>
      <c r="H54" s="126">
        <f>(1/w)*EXP(-(Tabella211[[#This Row],[Day]]-t0)/w)*(Tabella211[[#This Row],[Cum_fit]])^p</f>
        <v>3444.1117572461817</v>
      </c>
      <c r="I54" s="56">
        <f>Tabella211[[#This Row],[Cum_fit]]*NOT(ISBLANK(Tabella211[[#This Row],[Cum_confirmed]]))</f>
        <v>148736.85475062169</v>
      </c>
      <c r="J54" s="10">
        <f>Tabella211[[#This Row],[Cum_fit]]+CI</f>
        <v>151022.05988139898</v>
      </c>
      <c r="K54" s="10">
        <f>MAX(Tabella211[[#This Row],[Cum_fit]]-CI,0)</f>
        <v>146451.64961984439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1238.3340294429065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126">
        <f>(Kr^(1-pr)-(1-pr)*EXP(-(Tabella211[[#This Row],[Day]]-t0r)/wr))^(1/(1-pr))</f>
        <v>30169.299964923208</v>
      </c>
      <c r="S54" s="126">
        <f>(1/wr)*EXP(-(Tabella211[[#This Row],[Day]]-t0r)/wr)*(Tabella211[[#This Row],[Cum_R_fit]])^pr</f>
        <v>1651.979566495781</v>
      </c>
      <c r="T54" s="60">
        <f>Tabella211[[#This Row],[Cum_R_fit]]*NOT(ISBLANK(Tabella211[[#This Row],[Cum_recov]]))</f>
        <v>30169.299964923208</v>
      </c>
      <c r="U54" s="10">
        <f>Tabella211[[#This Row],[Cum_R_fit]]+CIr</f>
        <v>30842.109937690562</v>
      </c>
      <c r="V54" s="10">
        <f>MAX(Tabella211[[#This Row],[Cum_R_fit]]-CIr,0)</f>
        <v>29496.489992155854</v>
      </c>
      <c r="W54" s="10">
        <f>'dpc-covid19-ita-andamento-naz'!K48</f>
        <v>18849</v>
      </c>
      <c r="X54" s="26">
        <f>Tabella211[[#This Row],[Cum_deaths]]-W53</f>
        <v>570</v>
      </c>
      <c r="Y54" s="64">
        <f>Tabella211[[#This Row],[Cum_deaths]]*NOT(ISBLANK(Tabella211[[#This Row],[Cum_deaths]]))</f>
        <v>18849</v>
      </c>
      <c r="Z54" s="50">
        <f>(Kh^(1-ph)-(1-ph)*EXP(-(Tabella211[[#This Row],[Day]]-t0h)/wh))^(1/(1-ph))</f>
        <v>18981.067661690206</v>
      </c>
      <c r="AA54" s="126">
        <f>(1/wh)*EXP(-(Tabella211[[#This Row],[Day]]-t0h)/wh)*(Tabella211[[#This Row],[Cum_D_fit]])^ph</f>
        <v>553.79816130749418</v>
      </c>
      <c r="AB54" s="64">
        <f>Tabella211[[#This Row],[Cum_D_fit]]*NOT(ISBLANK(Tabella211[[#This Row],[Cum_deaths]]))</f>
        <v>18981.067661690206</v>
      </c>
      <c r="AC54" s="10">
        <f>Tabella211[[#This Row],[Cum_D_fit]]+CIh</f>
        <v>19208.625696884519</v>
      </c>
      <c r="AD54" s="10">
        <f>MAX(Tabella211[[#This Row],[Cum_D_fit]]-CIh,0)</f>
        <v>18753.509626495892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Tabella211[[#This Row],[Cum_confirmed]]*NOT(ISBLANK(Tabella211[[#This Row],[Cum_confirmed]]))</f>
        <v>152271</v>
      </c>
      <c r="G55" s="126" cm="1">
        <f t="array" ref="G55">(K^(1-p)-(1-p)*EXP(-(Tabella211[[#This Row],[Day]]-t0)/w))^(1/(1-p))</f>
        <v>152097.27091429106</v>
      </c>
      <c r="H55" s="126">
        <f>(1/w)*EXP(-(Tabella211[[#This Row],[Day]]-t0)/w)*(Tabella211[[#This Row],[Cum_fit]])^p</f>
        <v>3277.2023129882023</v>
      </c>
      <c r="I55" s="56">
        <f>Tabella211[[#This Row],[Cum_fit]]*NOT(ISBLANK(Tabella211[[#This Row],[Cum_confirmed]]))</f>
        <v>152097.27091429106</v>
      </c>
      <c r="J55" s="10">
        <f>Tabella211[[#This Row],[Cum_fit]]+CI</f>
        <v>154382.47604506835</v>
      </c>
      <c r="K55" s="10">
        <f>MAX(Tabella211[[#This Row],[Cum_fit]]-CI,0)</f>
        <v>149812.06578351377</v>
      </c>
      <c r="L55" s="54">
        <f>'dpc-covid19-ita-andamento-naz'!G49</f>
        <v>100269</v>
      </c>
      <c r="M55" s="54">
        <f>'dpc-covid19-ita-andamento-naz'!H49</f>
        <v>1996</v>
      </c>
      <c r="N55" s="54">
        <f>Tabella211[[#This Row],[New_cases_fit]]-Tabella211[[#This Row],[New_Recovered_fit]]-Tabella211[[#This Row],[New_Deaths_fit]]</f>
        <v>1066.4614886526824</v>
      </c>
      <c r="O55" s="10">
        <f>'dpc-covid19-ita-andamento-naz'!J49</f>
        <v>32534</v>
      </c>
      <c r="P55" s="48">
        <f>Tabella211[[#This Row],[Cum_recov]]-O54</f>
        <v>2079</v>
      </c>
      <c r="Q55" s="60">
        <f>Tabella211[[#This Row],[Cum_recov]]*NOT(ISBLANK(Tabella211[[#This Row],[Cum_recov]]))</f>
        <v>32534</v>
      </c>
      <c r="R55" s="126">
        <f>(Kr^(1-pr)-(1-pr)*EXP(-(Tabella211[[#This Row],[Day]]-t0r)/wr))^(1/(1-pr))</f>
        <v>31836.897429113233</v>
      </c>
      <c r="S55" s="126">
        <f>(1/wr)*EXP(-(Tabella211[[#This Row],[Day]]-t0r)/wr)*(Tabella211[[#This Row],[Cum_R_fit]])^pr</f>
        <v>1682.8662710149499</v>
      </c>
      <c r="T55" s="60">
        <f>Tabella211[[#This Row],[Cum_R_fit]]*NOT(ISBLANK(Tabella211[[#This Row],[Cum_recov]]))</f>
        <v>31836.897429113233</v>
      </c>
      <c r="U55" s="10">
        <f>Tabella211[[#This Row],[Cum_R_fit]]+CIr</f>
        <v>32509.707401880587</v>
      </c>
      <c r="V55" s="10">
        <f>MAX(Tabella211[[#This Row],[Cum_R_fit]]-CIr,0)</f>
        <v>31164.087456345878</v>
      </c>
      <c r="W55" s="10">
        <f>'dpc-covid19-ita-andamento-naz'!K49</f>
        <v>19468</v>
      </c>
      <c r="X55" s="26">
        <f>Tabella211[[#This Row],[Cum_deaths]]-W54</f>
        <v>619</v>
      </c>
      <c r="Y55" s="64">
        <f>Tabella211[[#This Row],[Cum_deaths]]*NOT(ISBLANK(Tabella211[[#This Row],[Cum_deaths]]))</f>
        <v>19468</v>
      </c>
      <c r="Z55" s="50">
        <f>(Kh^(1-ph)-(1-ph)*EXP(-(Tabella211[[#This Row],[Day]]-t0h)/wh))^(1/(1-ph))</f>
        <v>19521.896653304895</v>
      </c>
      <c r="AA55" s="126">
        <f>(1/wh)*EXP(-(Tabella211[[#This Row],[Day]]-t0h)/wh)*(Tabella211[[#This Row],[Cum_D_fit]])^ph</f>
        <v>527.87455332056993</v>
      </c>
      <c r="AB55" s="64">
        <f>Tabella211[[#This Row],[Cum_D_fit]]*NOT(ISBLANK(Tabella211[[#This Row],[Cum_deaths]]))</f>
        <v>19521.896653304895</v>
      </c>
      <c r="AC55" s="10">
        <f>Tabella211[[#This Row],[Cum_D_fit]]+CIh</f>
        <v>19749.454688499209</v>
      </c>
      <c r="AD55" s="10">
        <f>MAX(Tabella211[[#This Row],[Cum_D_fit]]-CIh,0)</f>
        <v>19294.338618110582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Tabella211[[#This Row],[Cum_confirmed]]*NOT(ISBLANK(Tabella211[[#This Row],[Cum_confirmed]]))</f>
        <v>156363</v>
      </c>
      <c r="G56" s="126" cm="1">
        <f t="array" ref="G56">(K^(1-p)-(1-p)*EXP(-(Tabella211[[#This Row],[Day]]-t0)/w))^(1/(1-p))</f>
        <v>155292.34639512718</v>
      </c>
      <c r="H56" s="126">
        <f>(1/w)*EXP(-(Tabella211[[#This Row],[Day]]-t0)/w)*(Tabella211[[#This Row],[Cum_fit]])^p</f>
        <v>3113.549491108377</v>
      </c>
      <c r="I56" s="56">
        <f>Tabella211[[#This Row],[Cum_fit]]*NOT(ISBLANK(Tabella211[[#This Row],[Cum_confirmed]]))</f>
        <v>155292.34639512718</v>
      </c>
      <c r="J56" s="10">
        <f>Tabella211[[#This Row],[Cum_fit]]+CI</f>
        <v>157577.55152590448</v>
      </c>
      <c r="K56" s="10">
        <f>MAX(Tabella211[[#This Row],[Cum_fit]]-CI,0)</f>
        <v>153007.14126434989</v>
      </c>
      <c r="L56" s="54">
        <f>'dpc-covid19-ita-andamento-naz'!G50</f>
        <v>102253</v>
      </c>
      <c r="M56" s="54">
        <f>'dpc-covid19-ita-andamento-naz'!H50</f>
        <v>1984</v>
      </c>
      <c r="N56" s="54">
        <f>Tabella211[[#This Row],[New_cases_fit]]-Tabella211[[#This Row],[New_Recovered_fit]]-Tabella211[[#This Row],[New_Deaths_fit]]</f>
        <v>899.76863813501404</v>
      </c>
      <c r="O56" s="10">
        <f>'dpc-covid19-ita-andamento-naz'!J50</f>
        <v>34211</v>
      </c>
      <c r="P56" s="48">
        <f>Tabella211[[#This Row],[Cum_recov]]-O55</f>
        <v>1677</v>
      </c>
      <c r="Q56" s="60">
        <f>Tabella211[[#This Row],[Cum_recov]]*NOT(ISBLANK(Tabella211[[#This Row],[Cum_recov]]))</f>
        <v>34211</v>
      </c>
      <c r="R56" s="126">
        <f>(Kr^(1-pr)-(1-pr)*EXP(-(Tabella211[[#This Row],[Day]]-t0r)/wr))^(1/(1-pr))</f>
        <v>33534.331300527927</v>
      </c>
      <c r="S56" s="126">
        <f>(1/wr)*EXP(-(Tabella211[[#This Row],[Day]]-t0r)/wr)*(Tabella211[[#This Row],[Cum_R_fit]])^pr</f>
        <v>1711.6496616964155</v>
      </c>
      <c r="T56" s="60">
        <f>Tabella211[[#This Row],[Cum_R_fit]]*NOT(ISBLANK(Tabella211[[#This Row],[Cum_recov]]))</f>
        <v>33534.331300527927</v>
      </c>
      <c r="U56" s="10">
        <f>Tabella211[[#This Row],[Cum_R_fit]]+CIr</f>
        <v>34207.141273295281</v>
      </c>
      <c r="V56" s="10">
        <f>MAX(Tabella211[[#This Row],[Cum_R_fit]]-CIr,0)</f>
        <v>32861.521327760573</v>
      </c>
      <c r="W56" s="10">
        <f>'dpc-covid19-ita-andamento-naz'!K50</f>
        <v>19899</v>
      </c>
      <c r="X56" s="26">
        <f>Tabella211[[#This Row],[Cum_deaths]]-W55</f>
        <v>431</v>
      </c>
      <c r="Y56" s="64">
        <f>Tabella211[[#This Row],[Cum_deaths]]*NOT(ISBLANK(Tabella211[[#This Row],[Cum_deaths]]))</f>
        <v>19899</v>
      </c>
      <c r="Z56" s="50">
        <f>(Kh^(1-ph)-(1-ph)*EXP(-(Tabella211[[#This Row],[Day]]-t0h)/wh))^(1/(1-ph))</f>
        <v>20036.877165000209</v>
      </c>
      <c r="AA56" s="126">
        <f>(1/wh)*EXP(-(Tabella211[[#This Row],[Day]]-t0h)/wh)*(Tabella211[[#This Row],[Cum_D_fit]])^ph</f>
        <v>502.1311912769475</v>
      </c>
      <c r="AB56" s="64">
        <f>Tabella211[[#This Row],[Cum_D_fit]]*NOT(ISBLANK(Tabella211[[#This Row],[Cum_deaths]]))</f>
        <v>20036.877165000209</v>
      </c>
      <c r="AC56" s="10">
        <f>Tabella211[[#This Row],[Cum_D_fit]]+CIh</f>
        <v>20264.435200194523</v>
      </c>
      <c r="AD56" s="10">
        <f>MAX(Tabella211[[#This Row],[Cum_D_fit]]-CIh,0)</f>
        <v>19809.319129805895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Tabella211[[#This Row],[Cum_confirmed]]*NOT(ISBLANK(Tabella211[[#This Row],[Cum_confirmed]]))</f>
        <v>159516</v>
      </c>
      <c r="G57" s="126" cm="1">
        <f t="array" ref="G57">(K^(1-p)-(1-p)*EXP(-(Tabella211[[#This Row],[Day]]-t0)/w))^(1/(1-p))</f>
        <v>158325.67353678378</v>
      </c>
      <c r="H57" s="126">
        <f>(1/w)*EXP(-(Tabella211[[#This Row],[Day]]-t0)/w)*(Tabella211[[#This Row],[Cum_fit]])^p</f>
        <v>2953.8035504287691</v>
      </c>
      <c r="I57" s="56">
        <f>Tabella211[[#This Row],[Cum_fit]]*NOT(ISBLANK(Tabella211[[#This Row],[Cum_confirmed]]))</f>
        <v>158325.67353678378</v>
      </c>
      <c r="J57" s="10">
        <f>Tabella211[[#This Row],[Cum_fit]]+CI</f>
        <v>160610.87866756108</v>
      </c>
      <c r="K57" s="10">
        <f>MAX(Tabella211[[#This Row],[Cum_fit]]-CI,0)</f>
        <v>156040.46840600649</v>
      </c>
      <c r="L57" s="54">
        <f>'dpc-covid19-ita-andamento-naz'!G51</f>
        <v>103616</v>
      </c>
      <c r="M57" s="54">
        <f>'dpc-covid19-ita-andamento-naz'!H51</f>
        <v>1363</v>
      </c>
      <c r="N57" s="54">
        <f>Tabella211[[#This Row],[New_cases_fit]]-Tabella211[[#This Row],[New_Recovered_fit]]-Tabella211[[#This Row],[New_Deaths_fit]]</f>
        <v>738.7514547292285</v>
      </c>
      <c r="O57" s="10">
        <f>'dpc-covid19-ita-andamento-naz'!J51</f>
        <v>35435</v>
      </c>
      <c r="P57" s="48">
        <f>Tabella211[[#This Row],[Cum_recov]]-O56</f>
        <v>1224</v>
      </c>
      <c r="Q57" s="60">
        <f>Tabella211[[#This Row],[Cum_recov]]*NOT(ISBLANK(Tabella211[[#This Row],[Cum_recov]]))</f>
        <v>35435</v>
      </c>
      <c r="R57" s="126">
        <f>(Kr^(1-pr)-(1-pr)*EXP(-(Tabella211[[#This Row],[Day]]-t0r)/wr))^(1/(1-pr))</f>
        <v>35259.491606008734</v>
      </c>
      <c r="S57" s="126">
        <f>(1/wr)*EXP(-(Tabella211[[#This Row],[Day]]-t0r)/wr)*(Tabella211[[#This Row],[Cum_R_fit]])^pr</f>
        <v>1738.3178990741235</v>
      </c>
      <c r="T57" s="60">
        <f>Tabella211[[#This Row],[Cum_R_fit]]*NOT(ISBLANK(Tabella211[[#This Row],[Cum_recov]]))</f>
        <v>35259.491606008734</v>
      </c>
      <c r="U57" s="10">
        <f>Tabella211[[#This Row],[Cum_R_fit]]+CIr</f>
        <v>35932.301578776089</v>
      </c>
      <c r="V57" s="10">
        <f>MAX(Tabella211[[#This Row],[Cum_R_fit]]-CIr,0)</f>
        <v>34586.68163324138</v>
      </c>
      <c r="W57" s="10">
        <f>'dpc-covid19-ita-andamento-naz'!K51</f>
        <v>20465</v>
      </c>
      <c r="X57" s="26">
        <f>Tabella211[[#This Row],[Cum_deaths]]-W56</f>
        <v>566</v>
      </c>
      <c r="Y57" s="64">
        <f>Tabella211[[#This Row],[Cum_deaths]]*NOT(ISBLANK(Tabella211[[#This Row],[Cum_deaths]]))</f>
        <v>20465</v>
      </c>
      <c r="Z57" s="50">
        <f>(Kh^(1-ph)-(1-ph)*EXP(-(Tabella211[[#This Row],[Day]]-t0h)/wh))^(1/(1-ph))</f>
        <v>20526.274785033507</v>
      </c>
      <c r="AA57" s="126">
        <f>(1/wh)*EXP(-(Tabella211[[#This Row],[Day]]-t0h)/wh)*(Tabella211[[#This Row],[Cum_D_fit]])^ph</f>
        <v>476.7341966254171</v>
      </c>
      <c r="AB57" s="64">
        <f>Tabella211[[#This Row],[Cum_D_fit]]*NOT(ISBLANK(Tabella211[[#This Row],[Cum_deaths]]))</f>
        <v>20526.274785033507</v>
      </c>
      <c r="AC57" s="10">
        <f>Tabella211[[#This Row],[Cum_D_fit]]+CIh</f>
        <v>20753.832820227821</v>
      </c>
      <c r="AD57" s="10">
        <f>MAX(Tabella211[[#This Row],[Cum_D_fit]]-CIh,0)</f>
        <v>20298.716749839194</v>
      </c>
    </row>
    <row r="58" spans="2:30" x14ac:dyDescent="0.3">
      <c r="B58" s="9">
        <v>43935</v>
      </c>
      <c r="C58" s="4">
        <f t="shared" si="0"/>
        <v>50</v>
      </c>
      <c r="D58" s="10">
        <f>'dpc-covid19-ita-andamento-naz'!L52</f>
        <v>162488</v>
      </c>
      <c r="E58" s="30">
        <f>'dpc-covid19-ita-andamento-naz'!I52</f>
        <v>2972</v>
      </c>
      <c r="F58" s="56">
        <f>Tabella211[[#This Row],[Cum_confirmed]]*NOT(ISBLANK(Tabella211[[#This Row],[Cum_confirmed]]))</f>
        <v>162488</v>
      </c>
      <c r="G58" s="126" cm="1">
        <f t="array" ref="G58">(K^(1-p)-(1-p)*EXP(-(Tabella211[[#This Row],[Day]]-t0)/w))^(1/(1-p))</f>
        <v>161201.43336256844</v>
      </c>
      <c r="H58" s="126">
        <f>(1/w)*EXP(-(Tabella211[[#This Row],[Day]]-t0)/w)*(Tabella211[[#This Row],[Cum_fit]])^p</f>
        <v>2798.493564328433</v>
      </c>
      <c r="I58" s="56">
        <f>Tabella211[[#This Row],[Cum_fit]]*NOT(ISBLANK(Tabella211[[#This Row],[Cum_confirmed]]))</f>
        <v>161201.43336256844</v>
      </c>
      <c r="J58" s="10">
        <f>Tabella211[[#This Row],[Cum_fit]]+CI</f>
        <v>163486.63849334573</v>
      </c>
      <c r="K58" s="10">
        <f>MAX(Tabella211[[#This Row],[Cum_fit]]-CI,0)</f>
        <v>158916.22823179114</v>
      </c>
      <c r="L58" s="54">
        <f>'dpc-covid19-ita-andamento-naz'!G52</f>
        <v>104291</v>
      </c>
      <c r="M58" s="54">
        <f>'dpc-covid19-ita-andamento-naz'!H52</f>
        <v>675</v>
      </c>
      <c r="N58" s="54">
        <f>Tabella211[[#This Row],[New_cases_fit]]-Tabella211[[#This Row],[New_Recovered_fit]]-Tabella211[[#This Row],[New_Deaths_fit]]</f>
        <v>583.80252621485238</v>
      </c>
      <c r="O58" s="10">
        <f>'dpc-covid19-ita-andamento-naz'!J52</f>
        <v>37130</v>
      </c>
      <c r="P58" s="48">
        <f>Tabella211[[#This Row],[Cum_recov]]-O57</f>
        <v>1695</v>
      </c>
      <c r="Q58" s="60">
        <f>Tabella211[[#This Row],[Cum_recov]]*NOT(ISBLANK(Tabella211[[#This Row],[Cum_recov]]))</f>
        <v>37130</v>
      </c>
      <c r="R58" s="126">
        <f>(Kr^(1-pr)-(1-pr)*EXP(-(Tabella211[[#This Row],[Day]]-t0r)/wr))^(1/(1-pr))</f>
        <v>37010.260873785002</v>
      </c>
      <c r="S58" s="126">
        <f>(1/wr)*EXP(-(Tabella211[[#This Row],[Day]]-t0r)/wr)*(Tabella211[[#This Row],[Cum_R_fit]])^pr</f>
        <v>1762.8677284774128</v>
      </c>
      <c r="T58" s="60">
        <f>Tabella211[[#This Row],[Cum_R_fit]]*NOT(ISBLANK(Tabella211[[#This Row],[Cum_recov]]))</f>
        <v>37010.260873785002</v>
      </c>
      <c r="U58" s="10">
        <f>Tabella211[[#This Row],[Cum_R_fit]]+CIr</f>
        <v>37683.070846552357</v>
      </c>
      <c r="V58" s="10">
        <f>MAX(Tabella211[[#This Row],[Cum_R_fit]]-CIr,0)</f>
        <v>36337.450901017648</v>
      </c>
      <c r="W58" s="10">
        <f>'dpc-covid19-ita-andamento-naz'!K52</f>
        <v>21067</v>
      </c>
      <c r="X58" s="26">
        <f>Tabella211[[#This Row],[Cum_deaths]]-W57</f>
        <v>602</v>
      </c>
      <c r="Y58" s="64">
        <f>Tabella211[[#This Row],[Cum_deaths]]*NOT(ISBLANK(Tabella211[[#This Row],[Cum_deaths]]))</f>
        <v>21067</v>
      </c>
      <c r="Z58" s="50">
        <f>(Kh^(1-ph)-(1-ph)*EXP(-(Tabella211[[#This Row],[Day]]-t0h)/wh))^(1/(1-ph))</f>
        <v>20990.507864058425</v>
      </c>
      <c r="AA58" s="126">
        <f>(1/wh)*EXP(-(Tabella211[[#This Row],[Day]]-t0h)/wh)*(Tabella211[[#This Row],[Cum_D_fit]])^ph</f>
        <v>451.82330963616783</v>
      </c>
      <c r="AB58" s="64">
        <f>Tabella211[[#This Row],[Cum_D_fit]]*NOT(ISBLANK(Tabella211[[#This Row],[Cum_deaths]]))</f>
        <v>20990.507864058425</v>
      </c>
      <c r="AC58" s="10">
        <f>Tabella211[[#This Row],[Cum_D_fit]]+CIh</f>
        <v>21218.065899252739</v>
      </c>
      <c r="AD58" s="10">
        <f>MAX(Tabella211[[#This Row],[Cum_D_fit]]-CIh,0)</f>
        <v>20762.949828864112</v>
      </c>
    </row>
    <row r="59" spans="2:30" x14ac:dyDescent="0.3">
      <c r="B59" s="9">
        <v>43936</v>
      </c>
      <c r="C59" s="4">
        <f t="shared" si="0"/>
        <v>51</v>
      </c>
      <c r="D59" s="10">
        <f>'dpc-covid19-ita-andamento-naz'!L53</f>
        <v>165155</v>
      </c>
      <c r="E59" s="30">
        <f>'dpc-covid19-ita-andamento-naz'!I53</f>
        <v>2667</v>
      </c>
      <c r="F59" s="56">
        <f>Tabella211[[#This Row],[Cum_confirmed]]*NOT(ISBLANK(Tabella211[[#This Row],[Cum_confirmed]]))</f>
        <v>165155</v>
      </c>
      <c r="G59" s="126" cm="1">
        <f t="array" ref="G59">(K^(1-p)-(1-p)*EXP(-(Tabella211[[#This Row],[Day]]-t0)/w))^(1/(1-p))</f>
        <v>163924.28029909465</v>
      </c>
      <c r="H59" s="126">
        <f>(1/w)*EXP(-(Tabella211[[#This Row],[Day]]-t0)/w)*(Tabella211[[#This Row],[Cum_fit]])^p</f>
        <v>2648.0392202184166</v>
      </c>
      <c r="I59" s="56">
        <f>Tabella211[[#This Row],[Cum_fit]]*NOT(ISBLANK(Tabella211[[#This Row],[Cum_confirmed]]))</f>
        <v>163924.28029909465</v>
      </c>
      <c r="J59" s="10">
        <f>Tabella211[[#This Row],[Cum_fit]]+CI</f>
        <v>166209.48542987194</v>
      </c>
      <c r="K59" s="10">
        <f>MAX(Tabella211[[#This Row],[Cum_fit]]-CI,0)</f>
        <v>161639.07516831736</v>
      </c>
      <c r="L59" s="54">
        <f>'dpc-covid19-ita-andamento-naz'!G53</f>
        <v>105418</v>
      </c>
      <c r="M59" s="54">
        <f>'dpc-covid19-ita-andamento-naz'!H53</f>
        <v>1127</v>
      </c>
      <c r="N59" s="54">
        <f>Tabella211[[#This Row],[New_cases_fit]]-Tabella211[[#This Row],[New_Recovered_fit]]-Tabella211[[#This Row],[New_Deaths_fit]]</f>
        <v>435.2213349794909</v>
      </c>
      <c r="O59" s="10">
        <f>'dpc-covid19-ita-andamento-naz'!J53</f>
        <v>38092</v>
      </c>
      <c r="P59" s="48">
        <f>Tabella211[[#This Row],[Cum_recov]]-O58</f>
        <v>962</v>
      </c>
      <c r="Q59" s="60">
        <f>Tabella211[[#This Row],[Cum_recov]]*NOT(ISBLANK(Tabella211[[#This Row],[Cum_recov]]))</f>
        <v>38092</v>
      </c>
      <c r="R59" s="126">
        <f>(Kr^(1-pr)-(1-pr)*EXP(-(Tabella211[[#This Row],[Day]]-t0r)/wr))^(1/(1-pr))</f>
        <v>38784.522426630247</v>
      </c>
      <c r="S59" s="126">
        <f>(1/wr)*EXP(-(Tabella211[[#This Row],[Day]]-t0r)/wr)*(Tabella211[[#This Row],[Cum_R_fit]])^pr</f>
        <v>1785.3038960432705</v>
      </c>
      <c r="T59" s="60">
        <f>Tabella211[[#This Row],[Cum_R_fit]]*NOT(ISBLANK(Tabella211[[#This Row],[Cum_recov]]))</f>
        <v>38784.522426630247</v>
      </c>
      <c r="U59" s="10">
        <f>Tabella211[[#This Row],[Cum_R_fit]]+CIr</f>
        <v>39457.332399397601</v>
      </c>
      <c r="V59" s="10">
        <f>MAX(Tabella211[[#This Row],[Cum_R_fit]]-CIr,0)</f>
        <v>38111.712453862892</v>
      </c>
      <c r="W59" s="10">
        <f>'dpc-covid19-ita-andamento-naz'!K53</f>
        <v>21645</v>
      </c>
      <c r="X59" s="26">
        <f>Tabella211[[#This Row],[Cum_deaths]]-W58</f>
        <v>578</v>
      </c>
      <c r="Y59" s="64">
        <f>Tabella211[[#This Row],[Cum_deaths]]*NOT(ISBLANK(Tabella211[[#This Row],[Cum_deaths]]))</f>
        <v>21645</v>
      </c>
      <c r="Z59" s="50">
        <f>(Kh^(1-ph)-(1-ph)*EXP(-(Tabella211[[#This Row],[Day]]-t0h)/wh))^(1/(1-ph))</f>
        <v>21430.122171880041</v>
      </c>
      <c r="AA59" s="126">
        <f>(1/wh)*EXP(-(Tabella211[[#This Row],[Day]]-t0h)/wh)*(Tabella211[[#This Row],[Cum_D_fit]])^ph</f>
        <v>427.51398919565526</v>
      </c>
      <c r="AB59" s="64">
        <f>Tabella211[[#This Row],[Cum_D_fit]]*NOT(ISBLANK(Tabella211[[#This Row],[Cum_deaths]]))</f>
        <v>21430.122171880041</v>
      </c>
      <c r="AC59" s="10">
        <f>Tabella211[[#This Row],[Cum_D_fit]]+CIh</f>
        <v>21657.680207074354</v>
      </c>
      <c r="AD59" s="10">
        <f>MAX(Tabella211[[#This Row],[Cum_D_fit]]-CIh,0)</f>
        <v>21202.564136685727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126" cm="1">
        <f t="array" ref="G60">(K^(1-p)-(1-p)*EXP(-(Tabella211[[#This Row],[Day]]-t0)/w))^(1/(1-p))</f>
        <v>166499.23860162558</v>
      </c>
      <c r="H60" s="126">
        <f>(1/w)*EXP(-(Tabella211[[#This Row],[Day]]-t0)/w)*(Tabella211[[#This Row],[Cum_fit]])^p</f>
        <v>2502.7623845414778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293.22420979167129</v>
      </c>
      <c r="P60" s="48"/>
      <c r="Q60" s="60">
        <f>Tabella211[[#This Row],[Cum_recov]]*NOT(ISBLANK(Tabella211[[#This Row],[Cum_recov]]))</f>
        <v>0</v>
      </c>
      <c r="R60" s="126">
        <f>(Kr^(1-pr)-(1-pr)*EXP(-(Tabella211[[#This Row],[Day]]-t0r)/wr))^(1/(1-pr))</f>
        <v>40580.168089823928</v>
      </c>
      <c r="S60" s="126">
        <f>(1/wr)*EXP(-(Tabella211[[#This Row],[Day]]-t0r)/wr)*(Tabella211[[#This Row],[Cum_R_fit]])^pr</f>
        <v>1805.638563212086</v>
      </c>
      <c r="T60" s="60">
        <f>Tabella211[[#This Row],[Cum_R_fit]]*NOT(ISBLANK(Tabella211[[#This Row],[Cum_recov]]))</f>
        <v>0</v>
      </c>
      <c r="X60" s="26"/>
      <c r="Y60" s="64">
        <f>Tabella211[[#This Row],[Cum_deaths]]*NOT(ISBLANK(Tabella211[[#This Row],[Cum_deaths]]))</f>
        <v>0</v>
      </c>
      <c r="Z60" s="50">
        <f>(Kh^(1-ph)-(1-ph)*EXP(-(Tabella211[[#This Row],[Day]]-t0h)/wh))^(1/(1-ph))</f>
        <v>21845.767710679902</v>
      </c>
      <c r="AA60" s="126">
        <f>(1/wh)*EXP(-(Tabella211[[#This Row],[Day]]-t0h)/wh)*(Tabella211[[#This Row],[Cum_D_fit]])^ph</f>
        <v>403.89961153772055</v>
      </c>
      <c r="AB60" s="64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126" cm="1">
        <f t="array" ref="G61">(K^(1-p)-(1-p)*EXP(-(Tabella211[[#This Row],[Day]]-t0)/w))^(1/(1-p))</f>
        <v>168931.61014113706</v>
      </c>
      <c r="H61" s="126">
        <f>(1/w)*EXP(-(Tabella211[[#This Row],[Day]]-t0)/w)*(Tabella211[[#This Row],[Cum_fit]])^p</f>
        <v>2362.8982324151762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157.95381678152455</v>
      </c>
      <c r="P61" s="48"/>
      <c r="Q61" s="60">
        <f>Tabella211[[#This Row],[Cum_recov]]*NOT(ISBLANK(Tabella211[[#This Row],[Cum_recov]]))</f>
        <v>0</v>
      </c>
      <c r="R61" s="126">
        <f>(Kr^(1-pr)-(1-pr)*EXP(-(Tabella211[[#This Row],[Day]]-t0r)/wr))^(1/(1-pr))</f>
        <v>42395.105314977984</v>
      </c>
      <c r="S61" s="126">
        <f>(1/wr)*EXP(-(Tabella211[[#This Row],[Day]]-t0r)/wr)*(Tabella211[[#This Row],[Cum_R_fit]])^pr</f>
        <v>1823.8907247459533</v>
      </c>
      <c r="T61" s="60">
        <f>Tabella211[[#This Row],[Cum_R_fit]]*NOT(ISBLANK(Tabella211[[#This Row],[Cum_recov]]))</f>
        <v>0</v>
      </c>
      <c r="X61" s="26"/>
      <c r="Y61" s="64">
        <f>Tabella211[[#This Row],[Cum_deaths]]*NOT(ISBLANK(Tabella211[[#This Row],[Cum_deaths]]))</f>
        <v>0</v>
      </c>
      <c r="Z61" s="50">
        <f>(Kh^(1-ph)-(1-ph)*EXP(-(Tabella211[[#This Row],[Day]]-t0h)/wh))^(1/(1-ph))</f>
        <v>22238.177743612068</v>
      </c>
      <c r="AA61" s="126">
        <f>(1/wh)*EXP(-(Tabella211[[#This Row],[Day]]-t0h)/wh)*(Tabella211[[#This Row],[Cum_D_fit]])^ph</f>
        <v>381.05369088769828</v>
      </c>
      <c r="AB61" s="64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126" cm="1">
        <f t="array" ref="G62">(K^(1-p)-(1-p)*EXP(-(Tabella211[[#This Row],[Day]]-t0)/w))^(1/(1-p))</f>
        <v>171226.89304088638</v>
      </c>
      <c r="H62" s="126">
        <f>(1/w)*EXP(-(Tabella211[[#This Row],[Day]]-t0)/w)*(Tabella211[[#This Row],[Cum_fit]])^p</f>
        <v>2228.6057975643484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29.488100302317889</v>
      </c>
      <c r="P62" s="48"/>
      <c r="Q62" s="60">
        <f>Tabella211[[#This Row],[Cum_recov]]*NOT(ISBLANK(Tabella211[[#This Row],[Cum_recov]]))</f>
        <v>0</v>
      </c>
      <c r="R62" s="126">
        <f>(Kr^(1-pr)-(1-pr)*EXP(-(Tabella211[[#This Row],[Day]]-t0r)/wr))^(1/(1-pr))</f>
        <v>44227.263725489633</v>
      </c>
      <c r="S62" s="126">
        <f>(1/wr)*EXP(-(Tabella211[[#This Row],[Day]]-t0r)/wr)*(Tabella211[[#This Row],[Cum_R_fit]])^pr</f>
        <v>1840.0856346339585</v>
      </c>
      <c r="T62" s="60">
        <f>Tabella211[[#This Row],[Cum_R_fit]]*NOT(ISBLANK(Tabella211[[#This Row],[Cum_recov]]))</f>
        <v>0</v>
      </c>
      <c r="X62" s="26"/>
      <c r="Y62" s="64">
        <f>Tabella211[[#This Row],[Cum_deaths]]*NOT(ISBLANK(Tabella211[[#This Row],[Cum_deaths]]))</f>
        <v>0</v>
      </c>
      <c r="Z62" s="50">
        <f>(Kh^(1-ph)-(1-ph)*EXP(-(Tabella211[[#This Row],[Day]]-t0h)/wh))^(1/(1-ph))</f>
        <v>22608.150029516502</v>
      </c>
      <c r="AA62" s="126">
        <f>(1/wh)*EXP(-(Tabella211[[#This Row],[Day]]-t0h)/wh)*(Tabella211[[#This Row],[Cum_D_fit]])^ph</f>
        <v>359.03206262807203</v>
      </c>
      <c r="AB62" s="64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126" cm="1">
        <f t="array" ref="G63">(K^(1-p)-(1-p)*EXP(-(Tabella211[[#This Row],[Day]]-t0)/w))^(1/(1-p))</f>
        <v>173390.71053085479</v>
      </c>
      <c r="H63" s="126">
        <f>(1/w)*EXP(-(Tabella211[[#This Row],[Day]]-t0)/w)*(Tabella211[[#This Row],[Cum_fit]])^p</f>
        <v>2099.9778452240516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-92.151383180666869</v>
      </c>
      <c r="P63" s="48"/>
      <c r="Q63" s="60">
        <f>Tabella211[[#This Row],[Cum_recov]]*NOT(ISBLANK(Tabella211[[#This Row],[Cum_recov]]))</f>
        <v>0</v>
      </c>
      <c r="R63" s="126">
        <f>(Kr^(1-pr)-(1-pr)*EXP(-(Tabella211[[#This Row],[Day]]-t0r)/wr))^(1/(1-pr))</f>
        <v>46074.601093423451</v>
      </c>
      <c r="S63" s="126">
        <f>(1/wr)*EXP(-(Tabella211[[#This Row],[Day]]-t0r)/wr)*(Tabella211[[#This Row],[Cum_R_fit]])^pr</f>
        <v>1854.2542436207025</v>
      </c>
      <c r="T63" s="60">
        <f>Tabella211[[#This Row],[Cum_R_fit]]*NOT(ISBLANK(Tabella211[[#This Row],[Cum_recov]]))</f>
        <v>0</v>
      </c>
      <c r="X63" s="26"/>
      <c r="Y63" s="64">
        <f>Tabella211[[#This Row],[Cum_deaths]]*NOT(ISBLANK(Tabella211[[#This Row],[Cum_deaths]]))</f>
        <v>0</v>
      </c>
      <c r="Z63" s="50">
        <f>(Kh^(1-ph)-(1-ph)*EXP(-(Tabella211[[#This Row],[Day]]-t0h)/wh))^(1/(1-ph))</f>
        <v>22956.53020315132</v>
      </c>
      <c r="AA63" s="126">
        <f>(1/wh)*EXP(-(Tabella211[[#This Row],[Day]]-t0h)/wh)*(Tabella211[[#This Row],[Cum_D_fit]])^ph</f>
        <v>337.87498478401602</v>
      </c>
      <c r="AB63" s="64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126" cm="1">
        <f t="array" ref="G64">(K^(1-p)-(1-p)*EXP(-(Tabella211[[#This Row],[Day]]-t0)/w))^(1/(1-p))</f>
        <v>175428.74931078739</v>
      </c>
      <c r="H64" s="126">
        <f>(1/w)*EXP(-(Tabella211[[#This Row],[Day]]-t0)/w)*(Tabella211[[#This Row],[Cum_fit]])^p</f>
        <v>1977.0500090743585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-206.99176885563998</v>
      </c>
      <c r="P64" s="48"/>
      <c r="Q64" s="60">
        <f>Tabella211[[#This Row],[Cum_recov]]*NOT(ISBLANK(Tabella211[[#This Row],[Cum_recov]]))</f>
        <v>0</v>
      </c>
      <c r="R64" s="126">
        <f>(Kr^(1-pr)-(1-pr)*EXP(-(Tabella211[[#This Row],[Day]]-t0r)/wr))^(1/(1-pr))</f>
        <v>47935.108761072712</v>
      </c>
      <c r="S64" s="126">
        <f>(1/wr)*EXP(-(Tabella211[[#This Row],[Day]]-t0r)/wr)*(Tabella211[[#This Row],[Cum_R_fit]])^pr</f>
        <v>1866.4326515139139</v>
      </c>
      <c r="T64" s="60">
        <f>Tabella211[[#This Row],[Cum_R_fit]]*NOT(ISBLANK(Tabella211[[#This Row],[Cum_recov]]))</f>
        <v>0</v>
      </c>
      <c r="X64" s="26"/>
      <c r="Y64" s="64">
        <f>Tabella211[[#This Row],[Cum_deaths]]*NOT(ISBLANK(Tabella211[[#This Row],[Cum_deaths]]))</f>
        <v>0</v>
      </c>
      <c r="Z64" s="50">
        <f>(Kh^(1-ph)-(1-ph)*EXP(-(Tabella211[[#This Row],[Day]]-t0h)/wh))^(1/(1-ph))</f>
        <v>23284.197202436135</v>
      </c>
      <c r="AA64" s="126">
        <f>(1/wh)*EXP(-(Tabella211[[#This Row],[Day]]-t0h)/wh)*(Tabella211[[#This Row],[Cum_D_fit]])^ph</f>
        <v>317.60912641608456</v>
      </c>
      <c r="AB64" s="64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126" cm="1">
        <f t="array" ref="G65">(K^(1-p)-(1-p)*EXP(-(Tabella211[[#This Row],[Day]]-t0)/w))^(1/(1-p))</f>
        <v>177346.70666896325</v>
      </c>
      <c r="H65" s="126">
        <f>(1/w)*EXP(-(Tabella211[[#This Row],[Day]]-t0)/w)*(Tabella211[[#This Row],[Cum_fit]])^p</f>
        <v>1859.8091639761972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-315.10183498757249</v>
      </c>
      <c r="P65" s="48"/>
      <c r="Q65" s="60">
        <f>Tabella211[[#This Row],[Cum_recov]]*NOT(ISBLANK(Tabella211[[#This Row],[Cum_recov]]))</f>
        <v>0</v>
      </c>
      <c r="R65" s="126">
        <f>(Kr^(1-pr)-(1-pr)*EXP(-(Tabella211[[#This Row],[Day]]-t0r)/wr))^(1/(1-pr))</f>
        <v>49806.816523330468</v>
      </c>
      <c r="S65" s="126">
        <f>(1/wr)*EXP(-(Tabella211[[#This Row],[Day]]-t0r)/wr)*(Tabella211[[#This Row],[Cum_R_fit]])^pr</f>
        <v>1876.6615768939944</v>
      </c>
      <c r="T65" s="60">
        <f>Tabella211[[#This Row],[Cum_R_fit]]*NOT(ISBLANK(Tabella211[[#This Row],[Cum_recov]]))</f>
        <v>0</v>
      </c>
      <c r="X65" s="26"/>
      <c r="Y65" s="64">
        <f>Tabella211[[#This Row],[Cum_deaths]]*NOT(ISBLANK(Tabella211[[#This Row],[Cum_deaths]]))</f>
        <v>0</v>
      </c>
      <c r="Z65" s="50">
        <f>(Kh^(1-ph)-(1-ph)*EXP(-(Tabella211[[#This Row],[Day]]-t0h)/wh))^(1/(1-ph))</f>
        <v>23592.050618527737</v>
      </c>
      <c r="AA65" s="126">
        <f>(1/wh)*EXP(-(Tabella211[[#This Row],[Day]]-t0h)/wh)*(Tabella211[[#This Row],[Cum_D_fit]])^ph</f>
        <v>298.24942206977528</v>
      </c>
      <c r="AB65" s="64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126" cm="1">
        <f t="array" ref="G66">(K^(1-p)-(1-p)*EXP(-(Tabella211[[#This Row],[Day]]-t0)/w))^(1/(1-p))</f>
        <v>179150.24558942713</v>
      </c>
      <c r="H66" s="126">
        <f>(1/w)*EXP(-(Tabella211[[#This Row],[Day]]-t0)/w)*(Tabella211[[#This Row],[Cum_fit]])^p</f>
        <v>1748.2010303324755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-416.58559598866913</v>
      </c>
      <c r="P66" s="48"/>
      <c r="Q66" s="60">
        <f>Tabella211[[#This Row],[Cum_recov]]*NOT(ISBLANK(Tabella211[[#This Row],[Cum_recov]]))</f>
        <v>0</v>
      </c>
      <c r="R66" s="126">
        <f>(Kr^(1-pr)-(1-pr)*EXP(-(Tabella211[[#This Row],[Day]]-t0r)/wr))^(1/(1-pr))</f>
        <v>51687.796989381059</v>
      </c>
      <c r="S66" s="126">
        <f>(1/wr)*EXP(-(Tabella211[[#This Row],[Day]]-t0r)/wr)*(Tabella211[[#This Row],[Cum_R_fit]])^pr</f>
        <v>1884.9858463622579</v>
      </c>
      <c r="T66" s="60">
        <f>Tabella211[[#This Row],[Cum_R_fit]]*NOT(ISBLANK(Tabella211[[#This Row],[Cum_recov]]))</f>
        <v>0</v>
      </c>
      <c r="X66" s="26"/>
      <c r="Y66" s="64">
        <f>Tabella211[[#This Row],[Cum_deaths]]*NOT(ISBLANK(Tabella211[[#This Row],[Cum_deaths]]))</f>
        <v>0</v>
      </c>
      <c r="Z66" s="50">
        <f>(Kh^(1-ph)-(1-ph)*EXP(-(Tabella211[[#This Row],[Day]]-t0h)/wh))^(1/(1-ph))</f>
        <v>23880.999827891621</v>
      </c>
      <c r="AA66" s="126">
        <f>(1/wh)*EXP(-(Tabella211[[#This Row],[Day]]-t0h)/wh)*(Tabella211[[#This Row],[Cum_D_fit]])^ph</f>
        <v>279.80077995888672</v>
      </c>
      <c r="AB66" s="64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126" cm="1">
        <f t="array" ref="G67">(K^(1-p)-(1-p)*EXP(-(Tabella211[[#This Row],[Day]]-t0)/w))^(1/(1-p))</f>
        <v>180844.95708434144</v>
      </c>
      <c r="H67" s="126">
        <f>(1/w)*EXP(-(Tabella211[[#This Row],[Day]]-t0)/w)*(Tabella211[[#This Row],[Cum_fit]])^p</f>
        <v>1642.1370242135445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-511.57651911513307</v>
      </c>
      <c r="P67" s="48"/>
      <c r="Q67" s="60">
        <f>Tabella211[[#This Row],[Cum_recov]]*NOT(ISBLANK(Tabella211[[#This Row],[Cum_recov]]))</f>
        <v>0</v>
      </c>
      <c r="R67" s="126">
        <f>(Kr^(1-pr)-(1-pr)*EXP(-(Tabella211[[#This Row],[Day]]-t0r)/wr))^(1/(1-pr))</f>
        <v>53576.169444133622</v>
      </c>
      <c r="S67" s="126">
        <f>(1/wr)*EXP(-(Tabella211[[#This Row],[Day]]-t0r)/wr)*(Tabella211[[#This Row],[Cum_R_fit]])^pr</f>
        <v>1891.4539050240367</v>
      </c>
      <c r="T67" s="60">
        <f>Tabella211[[#This Row],[Cum_R_fit]]*NOT(ISBLANK(Tabella211[[#This Row],[Cum_recov]]))</f>
        <v>0</v>
      </c>
      <c r="X67" s="26"/>
      <c r="Y67" s="64">
        <f>Tabella211[[#This Row],[Cum_deaths]]*NOT(ISBLANK(Tabella211[[#This Row],[Cum_deaths]]))</f>
        <v>0</v>
      </c>
      <c r="Z67" s="50">
        <f>(Kh^(1-ph)-(1-ph)*EXP(-(Tabella211[[#This Row],[Day]]-t0h)/wh))^(1/(1-ph))</f>
        <v>24151.954756906489</v>
      </c>
      <c r="AA67" s="126">
        <f>(1/wh)*EXP(-(Tabella211[[#This Row],[Day]]-t0h)/wh)*(Tabella211[[#This Row],[Cum_D_fit]])^ph</f>
        <v>262.25963830464087</v>
      </c>
      <c r="AB67" s="64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126" cm="1">
        <f t="array" ref="G68">(K^(1-p)-(1-p)*EXP(-(Tabella211[[#This Row],[Day]]-t0)/w))^(1/(1-p))</f>
        <v>182436.32901068122</v>
      </c>
      <c r="H68" s="126">
        <f>(1/w)*EXP(-(Tabella211[[#This Row],[Day]]-t0)/w)*(Tabella211[[#This Row],[Cum_fit]])^p</f>
        <v>1541.5003809366169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-600.23233801726235</v>
      </c>
      <c r="P68" s="48"/>
      <c r="Q68" s="60">
        <f>Tabella211[[#This Row],[Cum_recov]]*NOT(ISBLANK(Tabella211[[#This Row],[Cum_recov]]))</f>
        <v>0</v>
      </c>
      <c r="R68" s="126">
        <f>(Kr^(1-pr)-(1-pr)*EXP(-(Tabella211[[#This Row],[Day]]-t0r)/wr))^(1/(1-pr))</f>
        <v>55470.10323131211</v>
      </c>
      <c r="S68" s="126">
        <f>(1/wr)*EXP(-(Tabella211[[#This Row],[Day]]-t0r)/wr)*(Tabella211[[#This Row],[Cum_R_fit]])^pr</f>
        <v>1896.1173495058677</v>
      </c>
      <c r="T68" s="60">
        <f>Tabella211[[#This Row],[Cum_R_fit]]*NOT(ISBLANK(Tabella211[[#This Row],[Cum_recov]]))</f>
        <v>0</v>
      </c>
      <c r="X68" s="26"/>
      <c r="Y68" s="64">
        <f>Tabella211[[#This Row],[Cum_deaths]]*NOT(ISBLANK(Tabella211[[#This Row],[Cum_deaths]]))</f>
        <v>0</v>
      </c>
      <c r="Z68" s="50">
        <f>(Kh^(1-ph)-(1-ph)*EXP(-(Tabella211[[#This Row],[Day]]-t0h)/wh))^(1/(1-ph))</f>
        <v>24405.81812647096</v>
      </c>
      <c r="AA68" s="126">
        <f>(1/wh)*EXP(-(Tabella211[[#This Row],[Day]]-t0h)/wh)*(Tabella211[[#This Row],[Cum_D_fit]])^ph</f>
        <v>245.61536944801159</v>
      </c>
      <c r="AB68" s="64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126" cm="1">
        <f t="array" ref="G69">(K^(1-p)-(1-p)*EXP(-(Tabella211[[#This Row],[Day]]-t0)/w))^(1/(1-p))</f>
        <v>183929.72066219043</v>
      </c>
      <c r="H69" s="126">
        <f>(1/w)*EXP(-(Tabella211[[#This Row],[Day]]-t0)/w)*(Tabella211[[#This Row],[Cum_fit]])^p</f>
        <v>1446.1515893439166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-682.73043035493788</v>
      </c>
      <c r="P69" s="48"/>
      <c r="Q69" s="60">
        <f>Tabella211[[#This Row],[Cum_recov]]*NOT(ISBLANK(Tabella211[[#This Row],[Cum_recov]]))</f>
        <v>0</v>
      </c>
      <c r="R69" s="126">
        <f>(Kr^(1-pr)-(1-pr)*EXP(-(Tabella211[[#This Row],[Day]]-t0r)/wr))^(1/(1-pr))</f>
        <v>57367.820681236539</v>
      </c>
      <c r="S69" s="126">
        <f>(1/wr)*EXP(-(Tabella211[[#This Row],[Day]]-t0r)/wr)*(Tabella211[[#This Row],[Cum_R_fit]])^pr</f>
        <v>1899.0304844511395</v>
      </c>
      <c r="T69" s="60">
        <f>Tabella211[[#This Row],[Cum_R_fit]]*NOT(ISBLANK(Tabella211[[#This Row],[Cum_recov]]))</f>
        <v>0</v>
      </c>
      <c r="X69" s="26"/>
      <c r="Y69" s="64">
        <f>Tabella211[[#This Row],[Cum_deaths]]*NOT(ISBLANK(Tabella211[[#This Row],[Cum_deaths]]))</f>
        <v>0</v>
      </c>
      <c r="Z69" s="50">
        <f>(Kh^(1-ph)-(1-ph)*EXP(-(Tabella211[[#This Row],[Day]]-t0h)/wh))^(1/(1-ph))</f>
        <v>24643.479026041125</v>
      </c>
      <c r="AA69" s="126">
        <f>(1/wh)*EXP(-(Tabella211[[#This Row],[Day]]-t0h)/wh)*(Tabella211[[#This Row],[Cum_D_fit]])^ph</f>
        <v>229.85153524771499</v>
      </c>
      <c r="AB69" s="64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126" cm="1">
        <f t="array" ref="G70">(K^(1-p)-(1-p)*EXP(-(Tabella211[[#This Row],[Day]]-t0)/w))^(1/(1-p))</f>
        <v>185330.34246918091</v>
      </c>
      <c r="H70" s="126">
        <f>(1/w)*EXP(-(Tabella211[[#This Row],[Day]]-t0)/w)*(Tabella211[[#This Row],[Cum_fit]])^p</f>
        <v>1355.9331803703417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-759.26372283050239</v>
      </c>
      <c r="P70" s="48"/>
      <c r="Q70" s="60">
        <f>Tabella211[[#This Row],[Cum_recov]]*NOT(ISBLANK(Tabella211[[#This Row],[Cum_recov]]))</f>
        <v>0</v>
      </c>
      <c r="R70" s="126">
        <f>(Kr^(1-pr)-(1-pr)*EXP(-(Tabella211[[#This Row],[Day]]-t0r)/wr))^(1/(1-pr))</f>
        <v>59267.599607114862</v>
      </c>
      <c r="S70" s="126">
        <f>(1/wr)*EXP(-(Tabella211[[#This Row],[Day]]-t0r)/wr)*(Tabella211[[#This Row],[Cum_R_fit]])^pr</f>
        <v>1900.2499031229834</v>
      </c>
      <c r="T70" s="60">
        <f>Tabella211[[#This Row],[Cum_R_fit]]*NOT(ISBLANK(Tabella211[[#This Row],[Cum_recov]]))</f>
        <v>0</v>
      </c>
      <c r="X70" s="26"/>
      <c r="Y70" s="64">
        <f>Tabella211[[#This Row],[Cum_deaths]]*NOT(ISBLANK(Tabella211[[#This Row],[Cum_deaths]]))</f>
        <v>0</v>
      </c>
      <c r="Z70" s="50">
        <f>(Kh^(1-ph)-(1-ph)*EXP(-(Tabella211[[#This Row],[Day]]-t0h)/wh))^(1/(1-ph))</f>
        <v>24865.807671135986</v>
      </c>
      <c r="AA70" s="126">
        <f>(1/wh)*EXP(-(Tabella211[[#This Row],[Day]]-t0h)/wh)*(Tabella211[[#This Row],[Cum_D_fit]])^ph</f>
        <v>214.94700007786071</v>
      </c>
      <c r="AB70" s="64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126" cm="1">
        <f t="array" ref="G71">(K^(1-p)-(1-p)*EXP(-(Tabella211[[#This Row],[Day]]-t0)/w))^(1/(1-p))</f>
        <v>186643.24018339929</v>
      </c>
      <c r="H71" s="126">
        <f>(1/w)*EXP(-(Tabella211[[#This Row],[Day]]-t0)/w)*(Tabella211[[#This Row],[Cum_fit]])^p</f>
        <v>1270.6739172331845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-830.03708489587757</v>
      </c>
      <c r="P71" s="48"/>
      <c r="Q71" s="60">
        <f>Tabella211[[#This Row],[Cum_recov]]*NOT(ISBLANK(Tabella211[[#This Row],[Cum_recov]]))</f>
        <v>0</v>
      </c>
      <c r="R71" s="126">
        <f>(Kr^(1-pr)-(1-pr)*EXP(-(Tabella211[[#This Row],[Day]]-t0r)/wr))^(1/(1-pr))</f>
        <v>61167.775394145909</v>
      </c>
      <c r="S71" s="126">
        <f>(1/wr)*EXP(-(Tabella211[[#This Row],[Day]]-t0r)/wr)*(Tabella211[[#This Row],[Cum_R_fit]])^pr</f>
        <v>1899.834092464909</v>
      </c>
      <c r="T71" s="60">
        <f>Tabella211[[#This Row],[Cum_R_fit]]*NOT(ISBLANK(Tabella211[[#This Row],[Cum_recov]]))</f>
        <v>0</v>
      </c>
      <c r="X71" s="26"/>
      <c r="Y71" s="64">
        <f>Tabella211[[#This Row],[Cum_deaths]]*NOT(ISBLANK(Tabella211[[#This Row],[Cum_deaths]]))</f>
        <v>0</v>
      </c>
      <c r="Z71" s="50">
        <f>(Kh^(1-ph)-(1-ph)*EXP(-(Tabella211[[#This Row],[Day]]-t0h)/wh))^(1/(1-ph))</f>
        <v>25073.651206118397</v>
      </c>
      <c r="AA71" s="126">
        <f>(1/wh)*EXP(-(Tabella211[[#This Row],[Day]]-t0h)/wh)*(Tabella211[[#This Row],[Cum_D_fit]])^ph</f>
        <v>200.87690966415317</v>
      </c>
      <c r="AB71" s="64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126" cm="1">
        <f t="array" ref="G72">(K^(1-p)-(1-p)*EXP(-(Tabella211[[#This Row],[Day]]-t0)/w))^(1/(1-p))</f>
        <v>187873.28297473476</v>
      </c>
      <c r="H72" s="126">
        <f>(1/w)*EXP(-(Tabella211[[#This Row],[Day]]-t0)/w)*(Tabella211[[#This Row],[Cum_fit]])^p</f>
        <v>1190.1924363063738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-895.26417162381404</v>
      </c>
      <c r="P72" s="48"/>
      <c r="Q72" s="60">
        <f>Tabella211[[#This Row],[Cum_recov]]*NOT(ISBLANK(Tabella211[[#This Row],[Cum_recov]]))</f>
        <v>0</v>
      </c>
      <c r="R72" s="126">
        <f>(Kr^(1-pr)-(1-pr)*EXP(-(Tabella211[[#This Row],[Day]]-t0r)/wr))^(1/(1-pr))</f>
        <v>63066.74270596751</v>
      </c>
      <c r="S72" s="126">
        <f>(1/wr)*EXP(-(Tabella211[[#This Row],[Day]]-t0r)/wr)*(Tabella211[[#This Row],[Cum_R_fit]])^pr</f>
        <v>1897.8430627260138</v>
      </c>
      <c r="T72" s="60">
        <f>Tabella211[[#This Row],[Cum_R_fit]]*NOT(ISBLANK(Tabella211[[#This Row],[Cum_recov]]))</f>
        <v>0</v>
      </c>
      <c r="X72" s="26"/>
      <c r="Y72" s="64">
        <f>Tabella211[[#This Row],[Cum_deaths]]*NOT(ISBLANK(Tabella211[[#This Row],[Cum_deaths]]))</f>
        <v>0</v>
      </c>
      <c r="Z72" s="50">
        <f>(Kh^(1-ph)-(1-ph)*EXP(-(Tabella211[[#This Row],[Day]]-t0h)/wh))^(1/(1-ph))</f>
        <v>25267.830422585204</v>
      </c>
      <c r="AA72" s="126">
        <f>(1/wh)*EXP(-(Tabella211[[#This Row],[Day]]-t0h)/wh)*(Tabella211[[#This Row],[Cum_D_fit]])^ph</f>
        <v>187.61354520417405</v>
      </c>
      <c r="AB72" s="64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126" cm="1">
        <f t="array" ref="G73">(K^(1-p)-(1-p)*EXP(-(Tabella211[[#This Row],[Day]]-t0)/w))^(1/(1-p))</f>
        <v>189025.15491406329</v>
      </c>
      <c r="H73" s="126">
        <f>(1/w)*EXP(-(Tabella211[[#This Row],[Day]]-t0)/w)*(Tabella211[[#This Row],[Cum_fit]])^p</f>
        <v>1114.3003878877876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-955.16467653030611</v>
      </c>
      <c r="P73" s="48"/>
      <c r="Q73" s="60">
        <f>Tabella211[[#This Row],[Cum_recov]]*NOT(ISBLANK(Tabella211[[#This Row],[Cum_recov]]))</f>
        <v>0</v>
      </c>
      <c r="R73" s="126">
        <f>(Kr^(1-pr)-(1-pr)*EXP(-(Tabella211[[#This Row],[Day]]-t0r)/wr))^(1/(1-pr))</f>
        <v>64962.956832975207</v>
      </c>
      <c r="S73" s="126">
        <f>(1/wr)*EXP(-(Tabella211[[#This Row],[Day]]-t0r)/wr)*(Tabella211[[#This Row],[Cum_R_fit]])^pr</f>
        <v>1894.3380015460732</v>
      </c>
      <c r="T73" s="60">
        <f>Tabella211[[#This Row],[Cum_R_fit]]*NOT(ISBLANK(Tabella211[[#This Row],[Cum_recov]]))</f>
        <v>0</v>
      </c>
      <c r="X73" s="26"/>
      <c r="Y73" s="64">
        <f>Tabella211[[#This Row],[Cum_deaths]]*NOT(ISBLANK(Tabella211[[#This Row],[Cum_deaths]]))</f>
        <v>0</v>
      </c>
      <c r="Z73" s="50">
        <f>(Kh^(1-ph)-(1-ph)*EXP(-(Tabella211[[#This Row],[Day]]-t0h)/wh))^(1/(1-ph))</f>
        <v>25449.137273665834</v>
      </c>
      <c r="AA73" s="126">
        <f>(1/wh)*EXP(-(Tabella211[[#This Row],[Day]]-t0h)/wh)*(Tabella211[[#This Row],[Cum_D_fit]])^ph</f>
        <v>175.1270628720205</v>
      </c>
      <c r="AB73" s="64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126" cm="1">
        <f t="array" ref="G74">(K^(1-p)-(1-p)*EXP(-(Tabella211[[#This Row],[Day]]-t0)/w))^(1/(1-p))</f>
        <v>190103.34936759315</v>
      </c>
      <c r="H74" s="126">
        <f>(1/w)*EXP(-(Tabella211[[#This Row],[Day]]-t0)/w)*(Tabella211[[#This Row],[Cum_fit]])^p</f>
        <v>1042.8051250730907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-1009.9619561733258</v>
      </c>
      <c r="P74" s="48"/>
      <c r="Q74" s="60">
        <f>Tabella211[[#This Row],[Cum_recov]]*NOT(ISBLANK(Tabella211[[#This Row],[Cum_recov]]))</f>
        <v>0</v>
      </c>
      <c r="R74" s="126">
        <f>(Kr^(1-pr)-(1-pr)*EXP(-(Tabella211[[#This Row],[Day]]-t0r)/wr))^(1/(1-pr))</f>
        <v>66854.93470684372</v>
      </c>
      <c r="S74" s="126">
        <f>(1/wr)*EXP(-(Tabella211[[#This Row],[Day]]-t0r)/wr)*(Tabella211[[#This Row],[Cum_R_fit]])^pr</f>
        <v>1889.3809522139588</v>
      </c>
      <c r="T74" s="60">
        <f>Tabella211[[#This Row],[Cum_R_fit]]*NOT(ISBLANK(Tabella211[[#This Row],[Cum_recov]]))</f>
        <v>0</v>
      </c>
      <c r="X74" s="26"/>
      <c r="Y74" s="64">
        <f>Tabella211[[#This Row],[Cum_deaths]]*NOT(ISBLANK(Tabella211[[#This Row],[Cum_deaths]]))</f>
        <v>0</v>
      </c>
      <c r="Z74" s="50">
        <f>(Kh^(1-ph)-(1-ph)*EXP(-(Tabella211[[#This Row],[Day]]-t0h)/wh))^(1/(1-ph))</f>
        <v>25618.333074925336</v>
      </c>
      <c r="AA74" s="126">
        <f>(1/wh)*EXP(-(Tabella211[[#This Row],[Day]]-t0h)/wh)*(Tabella211[[#This Row],[Cum_D_fit]])^ph</f>
        <v>163.38612903245769</v>
      </c>
      <c r="AB74" s="64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126" cm="1">
        <f t="array" ref="G75">(K^(1-p)-(1-p)*EXP(-(Tabella211[[#This Row],[Day]]-t0)/w))^(1/(1-p))</f>
        <v>191112.16587307039</v>
      </c>
      <c r="H75" s="126">
        <f>(1/w)*EXP(-(Tabella211[[#This Row],[Day]]-t0)/w)*(Tabella211[[#This Row],[Cum_fit]])^p</f>
        <v>975.51198707415438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-1059.8809899733496</v>
      </c>
      <c r="P75" s="48"/>
      <c r="Q75" s="60">
        <f>Tabella211[[#This Row],[Cum_recov]]*NOT(ISBLANK(Tabella211[[#This Row],[Cum_recov]]))</f>
        <v>0</v>
      </c>
      <c r="R75" s="126">
        <f>(Kr^(1-pr)-(1-pr)*EXP(-(Tabella211[[#This Row],[Day]]-t0r)/wr))^(1/(1-pr))</f>
        <v>68741.255605216094</v>
      </c>
      <c r="S75" s="126">
        <f>(1/wr)*EXP(-(Tabella211[[#This Row],[Day]]-t0r)/wr)*(Tabella211[[#This Row],[Cum_R_fit]])^pr</f>
        <v>1883.0345156581088</v>
      </c>
      <c r="T75" s="60">
        <f>Tabella211[[#This Row],[Cum_R_fit]]*NOT(ISBLANK(Tabella211[[#This Row],[Cum_recov]]))</f>
        <v>0</v>
      </c>
      <c r="X75" s="26"/>
      <c r="Y75" s="64">
        <f>Tabella211[[#This Row],[Cum_deaths]]*NOT(ISBLANK(Tabella211[[#This Row],[Cum_deaths]]))</f>
        <v>0</v>
      </c>
      <c r="Z75" s="50">
        <f>(Kh^(1-ph)-(1-ph)*EXP(-(Tabella211[[#This Row],[Day]]-t0h)/wh))^(1/(1-ph))</f>
        <v>25776.147292495047</v>
      </c>
      <c r="AA75" s="126">
        <f>(1/wh)*EXP(-(Tabella211[[#This Row],[Day]]-t0h)/wh)*(Tabella211[[#This Row],[Cum_D_fit]])^ph</f>
        <v>152.35846138939507</v>
      </c>
      <c r="AB75" s="64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126" cm="1">
        <f t="array" ref="G76">(K^(1-p)-(1-p)*EXP(-(Tabella211[[#This Row],[Day]]-t0)/w))^(1/(1-p))</f>
        <v>192055.70911519899</v>
      </c>
      <c r="H76" s="126">
        <f>(1/w)*EXP(-(Tabella211[[#This Row],[Day]]-t0)/w)*(Tabella211[[#This Row],[Cum_fit]])^p</f>
        <v>912.22622088626827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-1105.146640677302</v>
      </c>
      <c r="P76" s="48"/>
      <c r="Q76" s="60">
        <f>Tabella211[[#This Row],[Cum_recov]]*NOT(ISBLANK(Tabella211[[#This Row],[Cum_recov]]))</f>
        <v>0</v>
      </c>
      <c r="R76" s="126">
        <f>(Kr^(1-pr)-(1-pr)*EXP(-(Tabella211[[#This Row],[Day]]-t0r)/wr))^(1/(1-pr))</f>
        <v>70620.561570015678</v>
      </c>
      <c r="S76" s="126">
        <f>(1/wr)*EXP(-(Tabella211[[#This Row],[Day]]-t0r)/wr)*(Tabella211[[#This Row],[Cum_R_fit]])^pr</f>
        <v>1875.3615755978522</v>
      </c>
      <c r="T76" s="60">
        <f>Tabella211[[#This Row],[Cum_R_fit]]*NOT(ISBLANK(Tabella211[[#This Row],[Cum_recov]]))</f>
        <v>0</v>
      </c>
      <c r="X76" s="26"/>
      <c r="Y76" s="64">
        <f>Tabella211[[#This Row],[Cum_deaths]]*NOT(ISBLANK(Tabella211[[#This Row],[Cum_deaths]]))</f>
        <v>0</v>
      </c>
      <c r="Z76" s="50">
        <f>(Kh^(1-ph)-(1-ph)*EXP(-(Tabella211[[#This Row],[Day]]-t0h)/wh))^(1/(1-ph))</f>
        <v>25923.27682956912</v>
      </c>
      <c r="AA76" s="126">
        <f>(1/wh)*EXP(-(Tabella211[[#This Row],[Day]]-t0h)/wh)*(Tabella211[[#This Row],[Cum_D_fit]])^ph</f>
        <v>142.01128596571814</v>
      </c>
      <c r="AB76" s="64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126" cm="1">
        <f t="array" ref="G77">(K^(1-p)-(1-p)*EXP(-(Tabella211[[#This Row],[Day]]-t0)/w))^(1/(1-p))</f>
        <v>192937.88965902769</v>
      </c>
      <c r="H77" s="126">
        <f>(1/w)*EXP(-(Tabella211[[#This Row],[Day]]-t0)/w)*(Tabella211[[#This Row],[Cum_fit]])^p</f>
        <v>852.75458237660405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-1145.9821831154645</v>
      </c>
      <c r="P77" s="48"/>
      <c r="Q77" s="60">
        <f>Tabella211[[#This Row],[Cum_recov]]*NOT(ISBLANK(Tabella211[[#This Row],[Cum_recov]]))</f>
        <v>0</v>
      </c>
      <c r="R77" s="126">
        <f>(Kr^(1-pr)-(1-pr)*EXP(-(Tabella211[[#This Row],[Day]]-t0r)/wr))^(1/(1-pr))</f>
        <v>72491.557562210597</v>
      </c>
      <c r="S77" s="126">
        <f>(1/wr)*EXP(-(Tabella211[[#This Row],[Day]]-t0r)/wr)*(Tabella211[[#This Row],[Cum_R_fit]])^pr</f>
        <v>1866.4250461768947</v>
      </c>
      <c r="T77" s="60">
        <f>Tabella211[[#This Row],[Cum_R_fit]]*NOT(ISBLANK(Tabella211[[#This Row],[Cum_recov]]))</f>
        <v>0</v>
      </c>
      <c r="X77" s="26"/>
      <c r="Y77" s="64">
        <f>Tabella211[[#This Row],[Cum_deaths]]*NOT(ISBLANK(Tabella211[[#This Row],[Cum_deaths]]))</f>
        <v>0</v>
      </c>
      <c r="Z77" s="50">
        <f>(Kh^(1-ph)-(1-ph)*EXP(-(Tabella211[[#This Row],[Day]]-t0h)/wh))^(1/(1-ph))</f>
        <v>26060.385731642655</v>
      </c>
      <c r="AA77" s="126">
        <f>(1/wh)*EXP(-(Tabella211[[#This Row],[Day]]-t0h)/wh)*(Tabella211[[#This Row],[Cum_D_fit]])^ph</f>
        <v>132.3117193151738</v>
      </c>
      <c r="AB77" s="64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126" cm="1">
        <f t="array" ref="G78">(K^(1-p)-(1-p)*EXP(-(Tabella211[[#This Row],[Day]]-t0)/w))^(1/(1-p))</f>
        <v>193762.42614002063</v>
      </c>
      <c r="H78" s="126">
        <f>(1/w)*EXP(-(Tabella211[[#This Row],[Day]]-t0)/w)*(Tabella211[[#This Row],[Cum_fit]])^p</f>
        <v>796.90665483050441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-1182.6080712528492</v>
      </c>
      <c r="P78" s="48"/>
      <c r="Q78" s="60">
        <f>Tabella211[[#This Row],[Cum_recov]]*NOT(ISBLANK(Tabella211[[#This Row],[Cum_recov]]))</f>
        <v>0</v>
      </c>
      <c r="R78" s="126">
        <f>(Kr^(1-pr)-(1-pr)*EXP(-(Tabella211[[#This Row],[Day]]-t0r)/wr))^(1/(1-pr))</f>
        <v>74353.011375137197</v>
      </c>
      <c r="S78" s="126">
        <f>(1/wr)*EXP(-(Tabella211[[#This Row],[Day]]-t0r)/wr)*(Tabella211[[#This Row],[Cum_R_fit]])^pr</f>
        <v>1856.2876413131355</v>
      </c>
      <c r="T78" s="60">
        <f>Tabella211[[#This Row],[Cum_R_fit]]*NOT(ISBLANK(Tabella211[[#This Row],[Cum_recov]]))</f>
        <v>0</v>
      </c>
      <c r="X78" s="26"/>
      <c r="Y78" s="64">
        <f>Tabella211[[#This Row],[Cum_deaths]]*NOT(ISBLANK(Tabella211[[#This Row],[Cum_deaths]]))</f>
        <v>0</v>
      </c>
      <c r="Z78" s="50">
        <f>(Kh^(1-ph)-(1-ph)*EXP(-(Tabella211[[#This Row],[Day]]-t0h)/wh))^(1/(1-ph))</f>
        <v>26188.105240335793</v>
      </c>
      <c r="AA78" s="126">
        <f>(1/wh)*EXP(-(Tabella211[[#This Row],[Day]]-t0h)/wh)*(Tabella211[[#This Row],[Cum_D_fit]])^ph</f>
        <v>123.2270847702179</v>
      </c>
      <c r="AB78" s="64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1.6347749040753411E-22</v>
      </c>
      <c r="F99" s="10">
        <f>E99+CI</f>
        <v>2285.2051307773063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5.9828868943568243E-22</v>
      </c>
      <c r="J99" s="10">
        <f t="shared" ref="J99:J138" si="4">I99+CIh</f>
        <v>227.55803519431217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167.64397229888843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4.8129829894172048E-18</v>
      </c>
      <c r="F100" s="10">
        <f>E100+CI</f>
        <v>2285.2051307773063</v>
      </c>
      <c r="G100" s="10">
        <f>MAX(E100-CI,0)</f>
        <v>0</v>
      </c>
      <c r="H100" s="25">
        <v>1</v>
      </c>
      <c r="I100" s="8">
        <f t="shared" si="3"/>
        <v>1.0613138661226382E-17</v>
      </c>
      <c r="J100" s="10">
        <f t="shared" si="4"/>
        <v>227.55803519431217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1.9545002165228676E-15</v>
      </c>
      <c r="F101" s="10">
        <f>E101+CI</f>
        <v>2285.2051307773063</v>
      </c>
      <c r="G101" s="10">
        <f>MAX(E101-CI,0)</f>
        <v>0</v>
      </c>
      <c r="H101" s="25">
        <v>2</v>
      </c>
      <c r="I101" s="8">
        <f t="shared" si="3"/>
        <v>3.2083794753454339E-15</v>
      </c>
      <c r="J101" s="10">
        <f t="shared" si="4"/>
        <v>227.55803519431217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1.3740362602933191E-13</v>
      </c>
      <c r="F102" s="10">
        <f>E102+CI</f>
        <v>2285.2051307773063</v>
      </c>
      <c r="G102" s="10">
        <f>MAX(E102-CI,0)</f>
        <v>0</v>
      </c>
      <c r="H102" s="25">
        <v>3</v>
      </c>
      <c r="I102" s="8">
        <f t="shared" si="3"/>
        <v>1.8309284339862551E-13</v>
      </c>
      <c r="J102" s="10">
        <f t="shared" si="4"/>
        <v>227.55803519431234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3.6950038307007112E-12</v>
      </c>
      <c r="F103" s="10">
        <f t="shared" ref="F103:F143" si="6">E103+CI</f>
        <v>2285.2051307773099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4.1909774715113053E-12</v>
      </c>
      <c r="J103" s="10">
        <f t="shared" si="4"/>
        <v>227.55803519431635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5.4106829195895232E-11</v>
      </c>
      <c r="F104" s="10">
        <f t="shared" si="6"/>
        <v>2285.2051307773604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5.3828495346145605E-11</v>
      </c>
      <c r="J104" s="10">
        <f t="shared" si="4"/>
        <v>227.558035194366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5.2085879796980019E-10</v>
      </c>
      <c r="F105" s="10">
        <f t="shared" si="6"/>
        <v>2285.205130777827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4.640164894461896E-10</v>
      </c>
      <c r="J105" s="10">
        <f t="shared" si="4"/>
        <v>227.55803519477618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3.6885194515258118E-9</v>
      </c>
      <c r="F106" s="10">
        <f t="shared" si="6"/>
        <v>2285.2051307809948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2.9874550998291289E-9</v>
      </c>
      <c r="J106" s="10">
        <f t="shared" si="4"/>
        <v>227.55803519729963</v>
      </c>
      <c r="K106" s="10">
        <f t="shared" si="5"/>
        <v>0</v>
      </c>
      <c r="L106" s="1"/>
      <c r="M106" s="5" t="s">
        <v>6</v>
      </c>
      <c r="N106" s="7">
        <f>TINV(0.05,df)</f>
        <v>2.0106347576242314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2.0660787289026733E-8</v>
      </c>
      <c r="F107" s="10">
        <f t="shared" si="6"/>
        <v>2285.2051307979673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1.5390745241147408E-8</v>
      </c>
      <c r="J107" s="10">
        <f t="shared" si="4"/>
        <v>227.55803520970292</v>
      </c>
      <c r="K107" s="10">
        <f t="shared" si="5"/>
        <v>0</v>
      </c>
      <c r="L107" s="1"/>
      <c r="M107" s="5" t="s">
        <v>7</v>
      </c>
      <c r="N107" s="1">
        <f>Critical_t*SE_of_y</f>
        <v>2285.2051307773063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9.6185890043312007E-8</v>
      </c>
      <c r="F108" s="10">
        <f t="shared" si="6"/>
        <v>2285.2051308734922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6.6504863942792952E-8</v>
      </c>
      <c r="J108" s="10">
        <f t="shared" si="4"/>
        <v>227.55803526081704</v>
      </c>
      <c r="K108" s="10">
        <f t="shared" si="5"/>
        <v>0</v>
      </c>
      <c r="L108" s="1"/>
      <c r="M108" s="32" t="s">
        <v>67</v>
      </c>
      <c r="N108" s="33">
        <f>t0*_xlfn.GAMMA(w+1)</f>
        <v>1976609351415.7041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3.8555438857617022E-7</v>
      </c>
      <c r="F109" s="10">
        <f t="shared" si="6"/>
        <v>2285.2051311628607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2.4926735283967407E-7</v>
      </c>
      <c r="J109" s="10">
        <f t="shared" si="4"/>
        <v>227.55803544357951</v>
      </c>
      <c r="K109" s="10">
        <f t="shared" si="5"/>
        <v>0</v>
      </c>
      <c r="L109" s="1"/>
      <c r="M109" s="23" t="s">
        <v>53</v>
      </c>
      <c r="N109" s="3"/>
      <c r="AB109" s="45">
        <f>MAX($N$24)</f>
        <v>2100.2027188781808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1.36582876655691E-6</v>
      </c>
      <c r="F110" s="10">
        <f t="shared" si="6"/>
        <v>2285.205132143135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8.3073590250345134E-7</v>
      </c>
      <c r="J110" s="10">
        <f t="shared" si="4"/>
        <v>227.55803602504807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4.3615884367970723E-6</v>
      </c>
      <c r="F111" s="10">
        <f t="shared" si="6"/>
        <v>2285.2051351388945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2.5085513356532917E-6</v>
      </c>
      <c r="J111" s="10">
        <f t="shared" si="4"/>
        <v>227.55803770286352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1.2750200579322403E-5</v>
      </c>
      <c r="F112" s="10">
        <f t="shared" si="6"/>
        <v>2285.2051435275071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6.9646842923331878E-6</v>
      </c>
      <c r="J112" s="10">
        <f t="shared" si="4"/>
        <v>227.55804215899647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3.4539301270556986E-5</v>
      </c>
      <c r="F113" s="10">
        <f t="shared" si="6"/>
        <v>2285.2051653166077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1.7986096599609073E-5</v>
      </c>
      <c r="J113" s="10">
        <f t="shared" si="4"/>
        <v>227.55805318040876</v>
      </c>
      <c r="K113" s="10">
        <f t="shared" si="5"/>
        <v>0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8.7560274667195626E-5</v>
      </c>
      <c r="F114" s="10">
        <f t="shared" si="6"/>
        <v>2285.2052183375808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4.3610528051055577E-5</v>
      </c>
      <c r="J114" s="10">
        <f t="shared" si="4"/>
        <v>227.55807880484022</v>
      </c>
      <c r="K114" s="10">
        <f t="shared" si="5"/>
        <v>0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2.0940769104351749E-4</v>
      </c>
      <c r="F115" s="10">
        <f t="shared" si="6"/>
        <v>2285.2053401849971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1.0004308407491138E-4</v>
      </c>
      <c r="J115" s="10">
        <f t="shared" si="4"/>
        <v>227.55813523739624</v>
      </c>
      <c r="K115" s="10">
        <f t="shared" si="5"/>
        <v>0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4.756255225937515E-4</v>
      </c>
      <c r="F116" s="10">
        <f t="shared" si="6"/>
        <v>2285.2056064028288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2.1851247504327148E-4</v>
      </c>
      <c r="J116" s="10">
        <f t="shared" si="4"/>
        <v>227.55825370678721</v>
      </c>
      <c r="K116" s="10">
        <f t="shared" si="5"/>
        <v>0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1.0316913279168059E-3</v>
      </c>
      <c r="F117" s="10">
        <f t="shared" si="6"/>
        <v>2285.2061624686344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4.5684009024679682E-4</v>
      </c>
      <c r="J117" s="10">
        <f t="shared" si="4"/>
        <v>227.55849203440241</v>
      </c>
      <c r="K117" s="10">
        <f t="shared" si="5"/>
        <v>0</v>
      </c>
      <c r="L117" s="1"/>
      <c r="M117" s="2" t="s">
        <v>6</v>
      </c>
      <c r="N117" s="7">
        <f>TINV(0.05,dfh)</f>
        <v>2.0106347576242314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2.1473268933800377E-3</v>
      </c>
      <c r="F118" s="10">
        <f t="shared" si="6"/>
        <v>2285.2072781041998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9.1833544711467942E-4</v>
      </c>
      <c r="J118" s="10">
        <f t="shared" si="4"/>
        <v>227.55895352975929</v>
      </c>
      <c r="K118" s="10">
        <f t="shared" si="5"/>
        <v>0</v>
      </c>
      <c r="L118" s="1"/>
      <c r="M118" s="2" t="s">
        <v>7</v>
      </c>
      <c r="N118" s="1">
        <f>Critical_th*SE_of_yh</f>
        <v>227.55803519431217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4.3058753326976132E-3</v>
      </c>
      <c r="F119" s="10">
        <f t="shared" si="6"/>
        <v>2285.2094366526389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1.7817729069911621E-3</v>
      </c>
      <c r="J119" s="10">
        <f t="shared" si="4"/>
        <v>227.55981696721915</v>
      </c>
      <c r="K119" s="10">
        <f t="shared" si="5"/>
        <v>0</v>
      </c>
      <c r="L119" s="1"/>
      <c r="M119" s="34" t="s">
        <v>67</v>
      </c>
      <c r="N119" s="35">
        <f>t0h*_xlfn.GAMMA(wh+1)</f>
        <v>312362803073.48193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8.3473045617839699E-3</v>
      </c>
      <c r="F120" s="10">
        <f t="shared" si="6"/>
        <v>2285.2134780818683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3.3477224922130039E-3</v>
      </c>
      <c r="J120" s="10">
        <f t="shared" si="4"/>
        <v>227.56138291680438</v>
      </c>
      <c r="K120" s="10">
        <f t="shared" si="5"/>
        <v>0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1.5691272999244769E-2</v>
      </c>
      <c r="F121" s="10">
        <f t="shared" si="6"/>
        <v>2285.2208220503057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6.1084887740467837E-3</v>
      </c>
      <c r="J121" s="10">
        <f t="shared" si="4"/>
        <v>227.56414368308623</v>
      </c>
      <c r="K121" s="10">
        <f t="shared" si="5"/>
        <v>0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2.8677152187076616E-2</v>
      </c>
      <c r="F122" s="10">
        <f t="shared" si="6"/>
        <v>2285.2338079294932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1.085145391356611E-2</v>
      </c>
      <c r="J122" s="10">
        <f t="shared" si="4"/>
        <v>227.56888664822574</v>
      </c>
      <c r="K122" s="10">
        <f t="shared" si="5"/>
        <v>0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5.107155393655026E-2</v>
      </c>
      <c r="F123" s="10">
        <f t="shared" si="6"/>
        <v>2285.256202331243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1.8808833000882329E-2</v>
      </c>
      <c r="J123" s="10">
        <f t="shared" si="4"/>
        <v>227.57684402731306</v>
      </c>
      <c r="K123" s="10">
        <f t="shared" si="5"/>
        <v>0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8.8811455947881188E-2</v>
      </c>
      <c r="F124" s="10">
        <f t="shared" si="6"/>
        <v>2285.2939422332543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3.1870851815790774E-2</v>
      </c>
      <c r="J124" s="10">
        <f t="shared" si="4"/>
        <v>227.58990604612796</v>
      </c>
      <c r="K124" s="10">
        <f t="shared" si="5"/>
        <v>0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0.1510732499768267</v>
      </c>
      <c r="F125" s="10">
        <f t="shared" si="6"/>
        <v>2285.3562040272832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5.2884279584647816E-2</v>
      </c>
      <c r="J125" s="10">
        <f t="shared" si="4"/>
        <v>227.61091947389681</v>
      </c>
      <c r="K125" s="10">
        <f t="shared" si="5"/>
        <v>0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0.25178583331916582</v>
      </c>
      <c r="F126" s="10">
        <f t="shared" si="6"/>
        <v>2285.4569166106253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8.6064232799967527E-2</v>
      </c>
      <c r="J126" s="10">
        <f t="shared" si="4"/>
        <v>227.64409942711214</v>
      </c>
      <c r="K126" s="10">
        <f t="shared" si="5"/>
        <v>0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0.41174020295202673</v>
      </c>
      <c r="F127" s="10">
        <f t="shared" si="6"/>
        <v>2285.6168709802582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0.13755436049128314</v>
      </c>
      <c r="J127" s="10">
        <f t="shared" si="4"/>
        <v>227.69558955480346</v>
      </c>
      <c r="K127" s="10">
        <f t="shared" si="5"/>
        <v>0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0.66148995849323899</v>
      </c>
      <c r="F128" s="10">
        <f t="shared" si="6"/>
        <v>2285.8666207357996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0.2161790845390231</v>
      </c>
      <c r="J128" s="10">
        <f t="shared" si="4"/>
        <v>227.77421427885119</v>
      </c>
      <c r="K128" s="10">
        <f t="shared" si="5"/>
        <v>0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1.0452878297455952</v>
      </c>
      <c r="F129" s="10">
        <f t="shared" si="6"/>
        <v>2286.2504186070519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0.33444166588234697</v>
      </c>
      <c r="J129" s="10">
        <f t="shared" si="4"/>
        <v>227.89247686019451</v>
      </c>
      <c r="K129" s="10">
        <f t="shared" si="5"/>
        <v>0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1.6263640551705689</v>
      </c>
      <c r="F130" s="10">
        <f t="shared" si="6"/>
        <v>2286.8314948324769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0.50983366979119416</v>
      </c>
      <c r="J130" s="10">
        <f t="shared" si="4"/>
        <v>228.06786886410336</v>
      </c>
      <c r="K130" s="10">
        <f t="shared" si="5"/>
        <v>0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2.4939244650075221</v>
      </c>
      <c r="F131" s="10">
        <f t="shared" si="6"/>
        <v>2287.699055242314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0.76653508614788024</v>
      </c>
      <c r="J131" s="10">
        <f t="shared" si="4"/>
        <v>228.32457028046005</v>
      </c>
      <c r="K131" s="10">
        <f t="shared" si="5"/>
        <v>0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3.7723308528413773</v>
      </c>
      <c r="F132" s="10">
        <f t="shared" si="6"/>
        <v>2288.9774616301474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1.1376001021382678</v>
      </c>
      <c r="J132" s="10">
        <f t="shared" si="4"/>
        <v>228.69563529645043</v>
      </c>
      <c r="K132" s="10">
        <f t="shared" si="5"/>
        <v>0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5.6330250992551276</v>
      </c>
      <c r="F133" s="10">
        <f t="shared" si="6"/>
        <v>2290.8381558765614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1.6677415042679513</v>
      </c>
      <c r="J133" s="10">
        <f t="shared" si="4"/>
        <v>229.22577669858012</v>
      </c>
      <c r="K133" s="10">
        <f t="shared" si="5"/>
        <v>0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8.3098730385555672</v>
      </c>
      <c r="F134" s="10">
        <f t="shared" si="6"/>
        <v>2293.5150038158617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2.4168470829757207</v>
      </c>
      <c r="J134" s="10">
        <f t="shared" si="4"/>
        <v>229.97488227728789</v>
      </c>
      <c r="K134" s="10">
        <f t="shared" si="5"/>
        <v>0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12.118735771290066</v>
      </c>
      <c r="F135" s="10">
        <f t="shared" si="6"/>
        <v>2297.3238665485965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3.4643844026689123</v>
      </c>
      <c r="J135" s="10">
        <f t="shared" si="4"/>
        <v>231.02241959698108</v>
      </c>
      <c r="K135" s="10">
        <f t="shared" si="5"/>
        <v>0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17.482226584502847</v>
      </c>
      <c r="F136" s="10">
        <f t="shared" si="6"/>
        <v>2302.6873573618091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4.9148760548093948</v>
      </c>
      <c r="J136" s="10">
        <f t="shared" si="4"/>
        <v>232.47291124912155</v>
      </c>
      <c r="K136" s="10">
        <f t="shared" si="5"/>
        <v>0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24.960782423914797</v>
      </c>
      <c r="F137" s="10">
        <f t="shared" si="6"/>
        <v>2310.165913201221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6.9046561975941589</v>
      </c>
      <c r="J137" s="10">
        <f t="shared" si="4"/>
        <v>234.46269139190633</v>
      </c>
      <c r="K137" s="10">
        <f t="shared" si="5"/>
        <v>0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35.291371540613021</v>
      </c>
      <c r="F138" s="10">
        <f t="shared" si="6"/>
        <v>2320.4965023179193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9.61015096056056</v>
      </c>
      <c r="J138" s="10">
        <f t="shared" si="4"/>
        <v>237.16818615487273</v>
      </c>
      <c r="K138" s="10">
        <f t="shared" si="5"/>
        <v>0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49.435375064607385</v>
      </c>
      <c r="F139" s="10">
        <f t="shared" si="6"/>
        <v>2334.6405058419136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13.257960303874798</v>
      </c>
      <c r="J139" s="10">
        <f>I139+CIh</f>
        <v>240.81599549818696</v>
      </c>
      <c r="K139" s="10">
        <f>MAX(I139-CIh,0)</f>
        <v>0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68.637421360022302</v>
      </c>
      <c r="F140" s="10">
        <f t="shared" si="6"/>
        <v>2353.8425521373288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18.137057306056757</v>
      </c>
      <c r="J140" s="10">
        <f>I140+CIh</f>
        <v>245.69509250036893</v>
      </c>
      <c r="K140" s="10">
        <f>MAX(I140-CIh,0)</f>
        <v>0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94.497219562407963</v>
      </c>
      <c r="F141" s="10">
        <f t="shared" si="6"/>
        <v>2379.702350339714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24.613462732741002</v>
      </c>
      <c r="J141" s="10">
        <f>I141+CIh</f>
        <v>252.17149792705317</v>
      </c>
      <c r="K141" s="10">
        <f>MAX(I141-CIh,0)</f>
        <v>0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129.05673409103562</v>
      </c>
      <c r="F142" s="10">
        <f t="shared" si="6"/>
        <v>2414.2618648683419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33.147798219670129</v>
      </c>
      <c r="J142" s="10">
        <f>I142+CIh</f>
        <v>260.7058334139823</v>
      </c>
      <c r="K142" s="10">
        <f>MAX(I142-CIh,0)</f>
        <v>0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174.90536648728082</v>
      </c>
      <c r="F143" s="10">
        <f t="shared" si="6"/>
        <v>2460.1104972645871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44.31617057533478</v>
      </c>
      <c r="J143" s="10">
        <f>I143+CIh</f>
        <v>271.87420576964695</v>
      </c>
      <c r="K143" s="10">
        <f>MAX(I143-CIh,0)</f>
        <v>0</v>
      </c>
    </row>
    <row r="144" spans="2:14" x14ac:dyDescent="0.3">
      <c r="B144" s="9">
        <v>43926</v>
      </c>
      <c r="C144" s="4">
        <v>46</v>
      </c>
      <c r="E144" s="8">
        <f t="shared" si="2"/>
        <v>235.30616587240544</v>
      </c>
      <c r="I144" s="8">
        <f t="shared" si="3"/>
        <v>58.83489264384788</v>
      </c>
    </row>
    <row r="145" spans="2:9" x14ac:dyDescent="0.3">
      <c r="B145" s="9">
        <v>43927</v>
      </c>
      <c r="C145" s="4">
        <v>47</v>
      </c>
      <c r="E145" s="8">
        <f t="shared" si="2"/>
        <v>314.34647574500218</v>
      </c>
      <c r="I145" s="8">
        <f t="shared" si="3"/>
        <v>77.589602918036391</v>
      </c>
    </row>
    <row r="146" spans="2:9" x14ac:dyDescent="0.3">
      <c r="B146" s="9">
        <v>43928</v>
      </c>
      <c r="C146" s="4">
        <v>48</v>
      </c>
      <c r="E146" s="8">
        <f t="shared" si="2"/>
        <v>417.11684371693525</v>
      </c>
      <c r="I146" s="8">
        <f t="shared" si="3"/>
        <v>101.66940668641267</v>
      </c>
    </row>
    <row r="147" spans="2:9" x14ac:dyDescent="0.3">
      <c r="B147" s="9">
        <v>43929</v>
      </c>
      <c r="C147" s="4">
        <v>49</v>
      </c>
      <c r="E147" s="8">
        <f t="shared" si="2"/>
        <v>549.92247293495996</v>
      </c>
      <c r="I147" s="8">
        <f t="shared" si="3"/>
        <v>132.40672594316544</v>
      </c>
    </row>
    <row r="148" spans="2:9" x14ac:dyDescent="0.3">
      <c r="B148" s="9">
        <v>43930</v>
      </c>
      <c r="C148" s="4">
        <v>50</v>
      </c>
      <c r="E148" s="8">
        <f t="shared" si="2"/>
        <v>720.53198000693658</v>
      </c>
      <c r="I148" s="8">
        <f t="shared" si="3"/>
        <v>171.42361357168815</v>
      </c>
    </row>
    <row r="149" spans="2:9" x14ac:dyDescent="0.3">
      <c r="B149" s="9">
        <v>43931</v>
      </c>
      <c r="C149" s="4">
        <v>51</v>
      </c>
      <c r="E149" s="8">
        <f t="shared" si="2"/>
        <v>938.46874472306808</v>
      </c>
      <c r="I149" s="8">
        <f t="shared" si="3"/>
        <v>220.68535938912942</v>
      </c>
    </row>
    <row r="150" spans="2:9" x14ac:dyDescent="0.3">
      <c r="B150" s="9">
        <v>43932</v>
      </c>
      <c r="C150" s="4">
        <v>52</v>
      </c>
      <c r="E150" s="8">
        <f t="shared" si="2"/>
        <v>1215.3506920186899</v>
      </c>
      <c r="I150" s="8">
        <f t="shared" si="3"/>
        <v>282.56229144681055</v>
      </c>
    </row>
    <row r="151" spans="2:9" x14ac:dyDescent="0.3">
      <c r="B151" s="9">
        <v>43933</v>
      </c>
      <c r="C151" s="4">
        <v>53</v>
      </c>
      <c r="E151" s="8">
        <f t="shared" si="2"/>
        <v>1565.2849365488319</v>
      </c>
      <c r="I151" s="8">
        <f t="shared" si="3"/>
        <v>359.90075542811377</v>
      </c>
    </row>
    <row r="152" spans="2:9" x14ac:dyDescent="0.3">
      <c r="B152" s="9">
        <v>43934</v>
      </c>
      <c r="C152" s="4">
        <v>54</v>
      </c>
      <c r="E152" s="8">
        <f t="shared" si="2"/>
        <v>2005.3243448048411</v>
      </c>
      <c r="I152" s="8">
        <f t="shared" si="3"/>
        <v>456.10433795489109</v>
      </c>
    </row>
    <row r="153" spans="2:9" x14ac:dyDescent="0.3">
      <c r="B153" s="9">
        <v>43935</v>
      </c>
      <c r="C153" s="4">
        <v>55</v>
      </c>
      <c r="E153" s="8">
        <f t="shared" si="2"/>
        <v>2555.9937285468372</v>
      </c>
      <c r="I153" s="8">
        <f t="shared" si="3"/>
        <v>575.22648596277782</v>
      </c>
    </row>
    <row r="154" spans="2:9" x14ac:dyDescent="0.3">
      <c r="B154" s="9">
        <v>43936</v>
      </c>
      <c r="C154" s="4">
        <v>56</v>
      </c>
      <c r="E154" s="8">
        <f t="shared" si="2"/>
        <v>3241.8940758688818</v>
      </c>
      <c r="I154" s="8">
        <f t="shared" si="3"/>
        <v>722.07576386562391</v>
      </c>
    </row>
    <row r="155" spans="2:9" x14ac:dyDescent="0.3">
      <c r="B155" s="9">
        <v>43937</v>
      </c>
      <c r="C155" s="4">
        <v>57</v>
      </c>
      <c r="E155" s="8">
        <f t="shared" si="2"/>
        <v>4092.3939516357973</v>
      </c>
      <c r="I155" s="8">
        <f t="shared" si="3"/>
        <v>902.33508280504975</v>
      </c>
    </row>
    <row r="156" spans="2:9" x14ac:dyDescent="0.3">
      <c r="B156" s="9">
        <v>43938</v>
      </c>
      <c r="C156" s="4">
        <v>58</v>
      </c>
      <c r="E156" s="8">
        <f t="shared" si="2"/>
        <v>5142.4179562699201</v>
      </c>
      <c r="I156" s="8">
        <f t="shared" si="3"/>
        <v>1122.696331651737</v>
      </c>
    </row>
    <row r="157" spans="2:9" x14ac:dyDescent="0.3">
      <c r="B157" s="9">
        <v>43939</v>
      </c>
      <c r="C157" s="4">
        <v>59</v>
      </c>
      <c r="E157" s="8">
        <f t="shared" si="2"/>
        <v>6433.3429196143288</v>
      </c>
      <c r="I157" s="8">
        <f t="shared" si="3"/>
        <v>1391.0119373449163</v>
      </c>
    </row>
    <row r="158" spans="2:9" x14ac:dyDescent="0.3">
      <c r="B158" s="9">
        <v>43940</v>
      </c>
      <c r="C158" s="4">
        <v>60</v>
      </c>
      <c r="E158" s="8">
        <f t="shared" si="2"/>
        <v>8014.0133233038341</v>
      </c>
      <c r="I158" s="8">
        <f t="shared" si="3"/>
        <v>1716.4649823550269</v>
      </c>
    </row>
    <row r="159" spans="2:9" x14ac:dyDescent="0.3">
      <c r="B159" s="9">
        <v>43941</v>
      </c>
      <c r="C159" s="4">
        <v>61</v>
      </c>
      <c r="E159" s="8">
        <f t="shared" si="2"/>
        <v>9941.8882889341294</v>
      </c>
      <c r="I159" s="8">
        <f t="shared" si="3"/>
        <v>2109.7596092377371</v>
      </c>
    </row>
    <row r="160" spans="2:9" x14ac:dyDescent="0.3">
      <c r="B160" s="9">
        <v>43942</v>
      </c>
      <c r="C160" s="4">
        <v>62</v>
      </c>
      <c r="E160" s="8">
        <f t="shared" si="2"/>
        <v>12284.333338287975</v>
      </c>
      <c r="I160" s="8">
        <f t="shared" si="3"/>
        <v>2583.3335460982057</v>
      </c>
    </row>
    <row r="161" spans="2:9" x14ac:dyDescent="0.3">
      <c r="B161" s="9">
        <v>43943</v>
      </c>
      <c r="C161" s="4">
        <v>63</v>
      </c>
      <c r="E161" s="8">
        <f t="shared" si="2"/>
        <v>15120.071023666995</v>
      </c>
      <c r="I161" s="8">
        <f t="shared" si="3"/>
        <v>3151.5946919642774</v>
      </c>
    </row>
    <row r="162" spans="2:9" x14ac:dyDescent="0.3">
      <c r="B162" s="9">
        <v>43944</v>
      </c>
      <c r="C162" s="4">
        <v>64</v>
      </c>
      <c r="E162" s="8">
        <f t="shared" si="2"/>
        <v>18540.805438460815</v>
      </c>
      <c r="I162" s="8">
        <f t="shared" si="3"/>
        <v>3831.1838072175301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10">
    <mergeCell ref="AT14:AT17"/>
    <mergeCell ref="AT24:AT27"/>
    <mergeCell ref="B2:H2"/>
    <mergeCell ref="H3:H6"/>
    <mergeCell ref="B4:G4"/>
    <mergeCell ref="B5:G5"/>
    <mergeCell ref="AI3:AM3"/>
    <mergeCell ref="AI4:AM4"/>
    <mergeCell ref="AI5:AM5"/>
    <mergeCell ref="AI2:AM2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1:AT78"/>
  <sheetViews>
    <sheetView topLeftCell="P1" zoomScale="55" zoomScaleNormal="55" workbookViewId="0">
      <selection activeCell="AH2" sqref="AH2:AH5"/>
    </sheetView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customWidth="1"/>
    <col min="39" max="45" width="8.88671875" style="2"/>
    <col min="46" max="46" width="9.5546875" style="2" bestFit="1" customWidth="1"/>
    <col min="47" max="16384" width="8.88671875" style="2"/>
  </cols>
  <sheetData>
    <row r="1" spans="2:46" ht="15" thickBot="1" x14ac:dyDescent="0.35"/>
    <row r="2" spans="2:46" ht="24" thickBot="1" x14ac:dyDescent="0.5">
      <c r="B2" s="117" t="s">
        <v>11</v>
      </c>
      <c r="C2" s="117"/>
      <c r="D2" s="117"/>
      <c r="E2" s="117"/>
      <c r="F2" s="117"/>
      <c r="G2" s="117"/>
      <c r="H2" s="117"/>
      <c r="AH2" s="110" t="s">
        <v>114</v>
      </c>
      <c r="AI2" s="125" t="s">
        <v>115</v>
      </c>
      <c r="AJ2" s="125"/>
      <c r="AK2" s="125"/>
      <c r="AL2" s="125"/>
      <c r="AM2" s="125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8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110" t="s">
        <v>0</v>
      </c>
      <c r="AI3" s="125" t="s">
        <v>71</v>
      </c>
      <c r="AJ3" s="125"/>
      <c r="AK3" s="125"/>
      <c r="AL3" s="125"/>
      <c r="AM3" s="125"/>
    </row>
    <row r="4" spans="2:46" ht="20.399999999999999" thickBot="1" x14ac:dyDescent="0.45">
      <c r="B4" s="119" t="s">
        <v>113</v>
      </c>
      <c r="C4" s="119"/>
      <c r="D4" s="119"/>
      <c r="E4" s="119"/>
      <c r="F4" s="119"/>
      <c r="G4" s="119"/>
      <c r="H4" s="118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110" t="s">
        <v>93</v>
      </c>
      <c r="AI4" s="125" t="s">
        <v>71</v>
      </c>
      <c r="AJ4" s="125"/>
      <c r="AK4" s="125"/>
      <c r="AL4" s="125"/>
      <c r="AM4" s="125"/>
    </row>
    <row r="5" spans="2:46" ht="18.600000000000001" thickTop="1" thickBot="1" x14ac:dyDescent="0.4">
      <c r="B5" s="120" t="s">
        <v>107</v>
      </c>
      <c r="C5" s="120"/>
      <c r="D5" s="120"/>
      <c r="E5" s="120"/>
      <c r="F5" s="120"/>
      <c r="G5" s="120"/>
      <c r="H5" s="118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110" t="s">
        <v>1</v>
      </c>
      <c r="AI5" s="125" t="s">
        <v>71</v>
      </c>
      <c r="AJ5" s="125"/>
      <c r="AK5" s="125"/>
      <c r="AL5" s="125"/>
      <c r="AM5" s="125"/>
    </row>
    <row r="6" spans="2:46" ht="19.2" thickTop="1" thickBot="1" x14ac:dyDescent="0.4">
      <c r="B6" s="27"/>
      <c r="C6" s="13"/>
      <c r="D6" s="13"/>
      <c r="E6" s="13"/>
      <c r="F6" s="13"/>
      <c r="G6" s="13"/>
      <c r="H6" s="118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81" t="s">
        <v>84</v>
      </c>
      <c r="Z7" s="8" t="s">
        <v>64</v>
      </c>
      <c r="AA7" s="8" t="s">
        <v>91</v>
      </c>
      <c r="AB7" s="81" t="s">
        <v>85</v>
      </c>
      <c r="AC7" s="8" t="s">
        <v>65</v>
      </c>
      <c r="AD7" s="8" t="s">
        <v>66</v>
      </c>
      <c r="AE7" s="8"/>
      <c r="AF7" s="65" t="s">
        <v>46</v>
      </c>
      <c r="AG7" s="66" t="s">
        <v>94</v>
      </c>
      <c r="AH7" s="3"/>
      <c r="AT7" s="77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126">
        <f>(Kn^(1-pn)-(1-pn)*EXP(-(Tabella2[[#This Row],[Day]]-t0n)/wn))^(1/(1-pn))</f>
        <v>29.092901448867121</v>
      </c>
      <c r="H8" s="126">
        <f>(1/wn)*EXP(-(Tabella2[[#This Row],[Day]]-t0n)/wn)*(Tabella2[[#This Row],[Cum_fit]])^pn</f>
        <v>18.645364091270956</v>
      </c>
      <c r="I8" s="56">
        <f>Tabella2[[#This Row],[New_cases_fit]]*NOT(ISBLANK(Tabella2[[#This Row],[New cases]]))</f>
        <v>18.645364091270956</v>
      </c>
      <c r="J8" s="10">
        <f>Tabella2[[#This Row],[New_cases_fit]]+CIn</f>
        <v>1180.620515542274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16.929691242327316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126">
        <f>(Kd^(1-pd)-(1-pd)*EXP(-(Tabella2[[#This Row],[Day]]-t0d)/wd))^(1/(1-pd))</f>
        <v>1.8979160643476127</v>
      </c>
      <c r="S8" s="126">
        <f>(1/wd)*EXP(-(Tabella2[[#This Row],[Day]]-t0d)/wd)*(Tabella2[[#This Row],[Cum_R_fit]])^pd</f>
        <v>1.6347957388225418</v>
      </c>
      <c r="T8" s="60">
        <f>Tabella2[[#This Row],[New_Recovered_fit]]*NOT(ISBLANK(Tabella2[[#This Row],[New recovered]]))</f>
        <v>0</v>
      </c>
      <c r="U8" s="10">
        <f>Tabella2[[#This Row],[New_Recovered_fit]]+CId</f>
        <v>581.751991392028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4">
        <f>Tabella2[[#This Row],[New deaths]]*NOT(ISBLANK(Tabella2[[#This Row],[New deaths]]))</f>
        <v>0</v>
      </c>
      <c r="Z8" s="126">
        <f>(Kt^(1-pt)-(1-pt)*EXP(-(Tabella2[[#This Row],[Day]]-t0t)/wt))^(1/(1-pt))</f>
        <v>8.3281725870776993E-2</v>
      </c>
      <c r="AA8" s="126">
        <f>(1/wt)*EXP(-(Tabella2[[#This Row],[Day]]-t0t)/wt)*(Tabella2[[#This Row],[Cum_D_fit]])^pt</f>
        <v>8.0877110121096704E-2</v>
      </c>
      <c r="AB8" s="64">
        <f>Tabella2[[#This Row],[New_Deaths_fit]]*NOT(ISBLANK(Tabella2[[#This Row],[New deaths]]))</f>
        <v>0</v>
      </c>
      <c r="AC8" s="10">
        <f>Tabella2[[#This Row],[New_Deaths_fit]]+CIt</f>
        <v>153.41326874074682</v>
      </c>
      <c r="AD8" s="10">
        <f>MAX(Tabella2[[#This Row],[New_Deaths_fit]]-CIt,0)</f>
        <v>0</v>
      </c>
      <c r="AE8" s="8"/>
      <c r="AF8" s="91" t="s">
        <v>0</v>
      </c>
      <c r="AG8" s="92">
        <f>K</f>
        <v>205153.3805982901</v>
      </c>
      <c r="AH8" s="3"/>
      <c r="AT8" s="127">
        <f>MAX($AG$14)</f>
        <v>0.95880575970792059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126">
        <f>(Kn^(1-pn)-(1-pn)*EXP(-(Tabella2[[#This Row],[Day]]-t0n)/wn))^(1/(1-pn))</f>
        <v>53.98248270299279</v>
      </c>
      <c r="H9" s="126">
        <f>(1/wn)*EXP(-(Tabella2[[#This Row],[Day]]-t0n)/wn)*(Tabella2[[#This Row],[Cum_fit]])^pn</f>
        <v>32.172946266085056</v>
      </c>
      <c r="I9" s="56">
        <f>Tabella2[[#This Row],[New_cases_fit]]*NOT(ISBLANK(Tabella2[[#This Row],[New cases]]))</f>
        <v>32.172946266085056</v>
      </c>
      <c r="J9" s="10">
        <f>Tabella2[[#This Row],[New_cases_fit]]+CIn</f>
        <v>1194.1480977170881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28.865174191986323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126">
        <f>(Kd^(1-pd)-(1-pd)*EXP(-(Tabella2[[#This Row],[Day]]-t0d)/wd))^(1/(1-pd))</f>
        <v>4.2141446519813437</v>
      </c>
      <c r="S9" s="126">
        <f>(1/wd)*EXP(-(Tabella2[[#This Row],[Day]]-t0d)/wd)*(Tabella2[[#This Row],[Cum_R_fit]])^pd</f>
        <v>3.1169914912407557</v>
      </c>
      <c r="T9" s="60">
        <f>Tabella2[[#This Row],[New_Recovered_fit]]*NOT(ISBLANK(Tabella2[[#This Row],[New recovered]]))</f>
        <v>3.1169914912407557</v>
      </c>
      <c r="U9" s="10">
        <f>Tabella2[[#This Row],[New_Recovered_fit]]+CId</f>
        <v>583.23418714444631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4">
        <f>Tabella2[[#This Row],[New deaths]]*NOT(ISBLANK(Tabella2[[#This Row],[New deaths]]))</f>
        <v>3</v>
      </c>
      <c r="Z9" s="126">
        <f>(Kt^(1-pt)-(1-pt)*EXP(-(Tabella2[[#This Row],[Day]]-t0t)/wt))^(1/(1-pt))</f>
        <v>0.21210224569369954</v>
      </c>
      <c r="AA9" s="10">
        <f>(1/wt)*EXP(-(Tabella2[[#This Row],[Day]]-t0t)/wt)*(Tabella2[[#This Row],[Cum_D_fit]])^pt</f>
        <v>0.19078058285797569</v>
      </c>
      <c r="AB9" s="64">
        <f>Tabella2[[#This Row],[New_Deaths_fit]]*NOT(ISBLANK(Tabella2[[#This Row],[New deaths]]))</f>
        <v>0.19078058285797569</v>
      </c>
      <c r="AC9" s="10">
        <f>Tabella2[[#This Row],[New_Deaths_fit]]+CIt</f>
        <v>153.52317221348369</v>
      </c>
      <c r="AD9" s="10">
        <f>MAX(Tabella2[[#This Row],[New_Deaths_fit]]-CIt,0)</f>
        <v>0</v>
      </c>
      <c r="AE9" s="8"/>
      <c r="AF9" s="91" t="s">
        <v>108</v>
      </c>
      <c r="AG9" s="93">
        <f>t0</f>
        <v>30.415970969734285</v>
      </c>
      <c r="AH9" s="3"/>
      <c r="AT9" s="128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126">
        <f>(Kn^(1-pn)-(1-pn)*EXP(-(Tabella2[[#This Row],[Day]]-t0n)/wn))^(1/(1-pn))</f>
        <v>95.921315913643554</v>
      </c>
      <c r="H10" s="126">
        <f>(1/wn)*EXP(-(Tabella2[[#This Row],[Day]]-t0n)/wn)*(Tabella2[[#This Row],[Cum_fit]])^pn</f>
        <v>53.165120772773747</v>
      </c>
      <c r="I10" s="56">
        <f>Tabella2[[#This Row],[New_cases_fit]]*NOT(ISBLANK(Tabella2[[#This Row],[New cases]]))</f>
        <v>53.165120772773747</v>
      </c>
      <c r="J10" s="10">
        <f>Tabella2[[#This Row],[New_cases_fit]]+CIn</f>
        <v>1215.1402722237767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47.313600508303551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126">
        <f>(Kd^(1-pd)-(1-pd)*EXP(-(Tabella2[[#This Row],[Day]]-t0d)/wd))^(1/(1-pd))</f>
        <v>8.4091062253007269</v>
      </c>
      <c r="S10" s="126">
        <f>(1/wd)*EXP(-(Tabella2[[#This Row],[Day]]-t0d)/wd)*(Tabella2[[#This Row],[Cum_R_fit]])^pd</f>
        <v>5.4314555283003676</v>
      </c>
      <c r="T10" s="60">
        <f>Tabella2[[#This Row],[New_Recovered_fit]]*NOT(ISBLANK(Tabella2[[#This Row],[New recovered]]))</f>
        <v>5.4314555283003676</v>
      </c>
      <c r="U10" s="10">
        <f>Tabella2[[#This Row],[New_Recovered_fit]]+CId</f>
        <v>585.54865118150587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4">
        <f>Tabella2[[#This Row],[New deaths]]*NOT(ISBLANK(Tabella2[[#This Row],[New deaths]]))</f>
        <v>2</v>
      </c>
      <c r="Z10" s="126">
        <f>(Kt^(1-pt)-(1-pt)*EXP(-(Tabella2[[#This Row],[Day]]-t0t)/wt))^(1/(1-pt))</f>
        <v>0.50418994806141126</v>
      </c>
      <c r="AA10" s="10">
        <f>(1/wt)*EXP(-(Tabella2[[#This Row],[Day]]-t0t)/wt)*(Tabella2[[#This Row],[Cum_D_fit]])^pt</f>
        <v>0.42006473616982504</v>
      </c>
      <c r="AB10" s="64">
        <f>Tabella2[[#This Row],[New_Deaths_fit]]*NOT(ISBLANK(Tabella2[[#This Row],[New deaths]]))</f>
        <v>0.42006473616982504</v>
      </c>
      <c r="AC10" s="10">
        <f>Tabella2[[#This Row],[New_Deaths_fit]]+CIt</f>
        <v>153.75245636679554</v>
      </c>
      <c r="AD10" s="10">
        <f>MAX(Tabella2[[#This Row],[New_Deaths_fit]]-CIt,0)</f>
        <v>0</v>
      </c>
      <c r="AE10" s="8"/>
      <c r="AF10" s="91" t="s">
        <v>1</v>
      </c>
      <c r="AG10" s="93">
        <f>w</f>
        <v>13.889990635942134</v>
      </c>
      <c r="AH10" s="3"/>
      <c r="AT10" s="128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126">
        <f>(Kn^(1-pn)-(1-pn)*EXP(-(Tabella2[[#This Row],[Day]]-t0n)/wn))^(1/(1-pn))</f>
        <v>163.71970540663932</v>
      </c>
      <c r="H11" s="126">
        <f>(1/wn)*EXP(-(Tabella2[[#This Row],[Day]]-t0n)/wn)*(Tabella2[[#This Row],[Cum_fit]])^pn</f>
        <v>84.392625703302087</v>
      </c>
      <c r="I11" s="56">
        <f>Tabella2[[#This Row],[New_cases_fit]]*NOT(ISBLANK(Tabella2[[#This Row],[New cases]]))</f>
        <v>84.392625703302087</v>
      </c>
      <c r="J11" s="10">
        <f>Tabella2[[#This Row],[New_cases_fit]]+CIn</f>
        <v>1246.3677771543053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74.703573344401619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126">
        <f>(Kd^(1-pd)-(1-pd)*EXP(-(Tabella2[[#This Row],[Day]]-t0d)/wd))^(1/(1-pd))</f>
        <v>15.435407319492798</v>
      </c>
      <c r="S11" s="126">
        <f>(1/wd)*EXP(-(Tabella2[[#This Row],[Day]]-t0d)/wd)*(Tabella2[[#This Row],[Cum_R_fit]])^pd</f>
        <v>8.8213021321513452</v>
      </c>
      <c r="T11" s="60">
        <f>Tabella2[[#This Row],[New_Recovered_fit]]*NOT(ISBLANK(Tabella2[[#This Row],[New recovered]]))</f>
        <v>8.8213021321513452</v>
      </c>
      <c r="U11" s="10">
        <f>Tabella2[[#This Row],[New_Recovered_fit]]+CId</f>
        <v>588.93849778535684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4">
        <f>Tabella2[[#This Row],[New deaths]]*NOT(ISBLANK(Tabella2[[#This Row],[New deaths]]))</f>
        <v>5</v>
      </c>
      <c r="Z11" s="126">
        <f>(Kt^(1-pt)-(1-pt)*EXP(-(Tabella2[[#This Row],[Day]]-t0t)/wt))^(1/(1-pt))</f>
        <v>1.1244001948873807</v>
      </c>
      <c r="AA11" s="10">
        <f>(1/wt)*EXP(-(Tabella2[[#This Row],[Day]]-t0t)/wt)*(Tabella2[[#This Row],[Cum_D_fit]])^pt</f>
        <v>0.86775022674912494</v>
      </c>
      <c r="AB11" s="64">
        <f>Tabella2[[#This Row],[New_Deaths_fit]]*NOT(ISBLANK(Tabella2[[#This Row],[New deaths]]))</f>
        <v>0.86775022674912494</v>
      </c>
      <c r="AC11" s="10">
        <f>Tabella2[[#This Row],[New_Deaths_fit]]+CIt</f>
        <v>154.20014185737486</v>
      </c>
      <c r="AD11" s="10">
        <f>MAX(Tabella2[[#This Row],[New_Deaths_fit]]-CIt,0)</f>
        <v>0</v>
      </c>
      <c r="AE11" s="8"/>
      <c r="AF11" s="67" t="s">
        <v>2</v>
      </c>
      <c r="AG11" s="94">
        <f>AVERAGE(Tabella2[New cases])</f>
        <v>3175.9038461538462</v>
      </c>
      <c r="AH11" s="3"/>
      <c r="AT11" s="128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126">
        <f>(Kn^(1-pn)-(1-pn)*EXP(-(Tabella2[[#This Row],[Day]]-t0n)/wn))^(1/(1-pn))</f>
        <v>269.1797635284903</v>
      </c>
      <c r="H12" s="126">
        <f>(1/wn)*EXP(-(Tabella2[[#This Row],[Day]]-t0n)/wn)*(Tabella2[[#This Row],[Cum_fit]])^pn</f>
        <v>129.04901967932224</v>
      </c>
      <c r="I12" s="56">
        <f>Tabella2[[#This Row],[New_cases_fit]]*NOT(ISBLANK(Tabella2[[#This Row],[New cases]]))</f>
        <v>129.04901967932224</v>
      </c>
      <c r="J12" s="10">
        <f>Tabella2[[#This Row],[New_cases_fit]]+CIn</f>
        <v>1291.0241711303254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113.81976062045918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126">
        <f>(Kd^(1-pd)-(1-pd)*EXP(-(Tabella2[[#This Row],[Day]]-t0d)/wd))^(1/(1-pd))</f>
        <v>26.494488813819292</v>
      </c>
      <c r="S12" s="126">
        <f>(1/wd)*EXP(-(Tabella2[[#This Row],[Day]]-t0d)/wd)*(Tabella2[[#This Row],[Cum_R_fit]])^pd</f>
        <v>13.539497878713805</v>
      </c>
      <c r="T12" s="60">
        <f>Tabella2[[#This Row],[New_Recovered_fit]]*NOT(ISBLANK(Tabella2[[#This Row],[New recovered]]))</f>
        <v>13.539497878713805</v>
      </c>
      <c r="U12" s="10">
        <f>Tabella2[[#This Row],[New_Recovered_fit]]+CId</f>
        <v>593.65669353191936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4">
        <f>Tabella2[[#This Row],[New deaths]]*NOT(ISBLANK(Tabella2[[#This Row],[New deaths]]))</f>
        <v>4</v>
      </c>
      <c r="Z12" s="126">
        <f>(Kt^(1-pt)-(1-pt)*EXP(-(Tabella2[[#This Row],[Day]]-t0t)/wt))^(1/(1-pt))</f>
        <v>2.3636461543306941</v>
      </c>
      <c r="AA12" s="10">
        <f>(1/wt)*EXP(-(Tabella2[[#This Row],[Day]]-t0t)/wt)*(Tabella2[[#This Row],[Cum_D_fit]])^pt</f>
        <v>1.689761180149264</v>
      </c>
      <c r="AB12" s="64">
        <f>Tabella2[[#This Row],[New_Deaths_fit]]*NOT(ISBLANK(Tabella2[[#This Row],[New deaths]]))</f>
        <v>1.689761180149264</v>
      </c>
      <c r="AC12" s="10">
        <f>Tabella2[[#This Row],[New_Deaths_fit]]+CIt</f>
        <v>155.022152810775</v>
      </c>
      <c r="AD12" s="10">
        <f>MAX(Tabella2[[#This Row],[New_Deaths_fit]]-CIt,0)</f>
        <v>0</v>
      </c>
      <c r="AE12" s="1"/>
      <c r="AF12" s="67" t="s">
        <v>3</v>
      </c>
      <c r="AG12" s="94">
        <f>COUNT(Tabella2[New cases])-COUNT(AG8:AG10,pn)</f>
        <v>48</v>
      </c>
      <c r="AT12" s="128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126">
        <f>(Kn^(1-pn)-(1-pn)*EXP(-(Tabella2[[#This Row],[Day]]-t0n)/wn))^(1/(1-pn))</f>
        <v>427.44823080808879</v>
      </c>
      <c r="H13" s="126">
        <f>(1/wn)*EXP(-(Tabella2[[#This Row],[Day]]-t0n)/wn)*(Tabella2[[#This Row],[Cum_fit]])^pn</f>
        <v>190.59885368880842</v>
      </c>
      <c r="I13" s="56">
        <f>Tabella2[[#This Row],[New_cases_fit]]*NOT(ISBLANK(Tabella2[[#This Row],[New cases]]))</f>
        <v>190.59885368880842</v>
      </c>
      <c r="J13" s="10">
        <f>Tabella2[[#This Row],[New_cases_fit]]+CIn</f>
        <v>1352.5740051398116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167.64397229888843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126">
        <f>(Kd^(1-pd)-(1-pd)*EXP(-(Tabella2[[#This Row],[Day]]-t0d)/wd))^(1/(1-pd))</f>
        <v>43.041769078495953</v>
      </c>
      <c r="S13" s="126">
        <f>(1/wd)*EXP(-(Tabella2[[#This Row],[Day]]-t0d)/wd)*(Tabella2[[#This Row],[Cum_R_fit]])^pd</f>
        <v>19.839514445218363</v>
      </c>
      <c r="T13" s="60">
        <f>Tabella2[[#This Row],[New_Recovered_fit]]*NOT(ISBLANK(Tabella2[[#This Row],[New recovered]]))</f>
        <v>19.839514445218363</v>
      </c>
      <c r="U13" s="10">
        <f>Tabella2[[#This Row],[New_Recovered_fit]]+CId</f>
        <v>599.95671009842386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4">
        <f>Tabella2[[#This Row],[New deaths]]*NOT(ISBLANK(Tabella2[[#This Row],[New deaths]]))</f>
        <v>8</v>
      </c>
      <c r="Z13" s="126">
        <f>(Kt^(1-pt)-(1-pt)*EXP(-(Tabella2[[#This Row],[Day]]-t0t)/wt))^(1/(1-pt))</f>
        <v>4.7041516701322452</v>
      </c>
      <c r="AA13" s="10">
        <f>(1/wt)*EXP(-(Tabella2[[#This Row],[Day]]-t0t)/wt)*(Tabella2[[#This Row],[Cum_D_fit]])^pt</f>
        <v>3.1153669447016239</v>
      </c>
      <c r="AB13" s="64">
        <f>Tabella2[[#This Row],[New_Deaths_fit]]*NOT(ISBLANK(Tabella2[[#This Row],[New deaths]]))</f>
        <v>3.1153669447016239</v>
      </c>
      <c r="AC13" s="10">
        <f>Tabella2[[#This Row],[New_Deaths_fit]]+CIt</f>
        <v>156.44775857532736</v>
      </c>
      <c r="AD13" s="10">
        <f>MAX(Tabella2[[#This Row],[New_Deaths_fit]]-CIt,0)</f>
        <v>0</v>
      </c>
      <c r="AE13" s="1"/>
      <c r="AF13" s="67" t="s">
        <v>4</v>
      </c>
      <c r="AG13" s="95" cm="1">
        <f t="array" ref="AG13">SQRT(SUM((Tabella2[Colonna1]-Tabella2[Colonna2])^2)/dfn)</f>
        <v>577.91458495624261</v>
      </c>
      <c r="AT13" s="129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126">
        <f>(Kn^(1-pn)-(1-pn)*EXP(-(Tabella2[[#This Row],[Day]]-t0n)/wn))^(1/(1-pn))</f>
        <v>657.18365715547645</v>
      </c>
      <c r="H14" s="126">
        <f>(1/wn)*EXP(-(Tabella2[[#This Row],[Day]]-t0n)/wn)*(Tabella2[[#This Row],[Cum_fit]])^pn</f>
        <v>272.56028132125113</v>
      </c>
      <c r="I14" s="56">
        <f>Tabella2[[#This Row],[New_cases_fit]]*NOT(ISBLANK(Tabella2[[#This Row],[New cases]]))</f>
        <v>272.56028132125113</v>
      </c>
      <c r="J14" s="10">
        <f>Tabella2[[#This Row],[New_cases_fit]]+CIn</f>
        <v>1434.5354327722541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239.13349779827519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126">
        <f>(Kd^(1-pd)-(1-pd)*EXP(-(Tabella2[[#This Row],[Day]]-t0d)/wd))^(1/(1-pd))</f>
        <v>66.782728356442547</v>
      </c>
      <c r="S14" s="126">
        <f>(1/wd)*EXP(-(Tabella2[[#This Row],[Day]]-t0d)/wd)*(Tabella2[[#This Row],[Cum_R_fit]])^pd</f>
        <v>27.966627837493778</v>
      </c>
      <c r="T14" s="60">
        <f>Tabella2[[#This Row],[New_Recovered_fit]]*NOT(ISBLANK(Tabella2[[#This Row],[New recovered]]))</f>
        <v>27.966627837493778</v>
      </c>
      <c r="U14" s="10">
        <f>Tabella2[[#This Row],[New_Recovered_fit]]+CId</f>
        <v>608.08382349069927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4">
        <f>Tabella2[[#This Row],[New deaths]]*NOT(ISBLANK(Tabella2[[#This Row],[New deaths]]))</f>
        <v>5</v>
      </c>
      <c r="Z14" s="126">
        <f>(Kt^(1-pt)-(1-pt)*EXP(-(Tabella2[[#This Row],[Day]]-t0t)/wt))^(1/(1-pt))</f>
        <v>8.8997398300459452</v>
      </c>
      <c r="AA14" s="10">
        <f>(1/wt)*EXP(-(Tabella2[[#This Row],[Day]]-t0t)/wt)*(Tabella2[[#This Row],[Cum_D_fit]])^pt</f>
        <v>5.4601556854821514</v>
      </c>
      <c r="AB14" s="64">
        <f>Tabella2[[#This Row],[New_Deaths_fit]]*NOT(ISBLANK(Tabella2[[#This Row],[New deaths]]))</f>
        <v>5.4601556854821514</v>
      </c>
      <c r="AC14" s="10">
        <f>Tabella2[[#This Row],[New_Deaths_fit]]+CIt</f>
        <v>158.79254731610789</v>
      </c>
      <c r="AD14" s="10">
        <f>MAX(Tabella2[[#This Row],[New_Deaths_fit]]-CIt,0)</f>
        <v>0</v>
      </c>
      <c r="AE14" s="1"/>
      <c r="AF14" s="67" t="s">
        <v>109</v>
      </c>
      <c r="AG14" s="96" cm="1">
        <f t="array" ref="AG14">1-SUM((Tabella2[Colonna1]-Tabella2[Colonna2])^2)/SUM((Tabella2[Colonna1]-Mean_of_yn)^2)</f>
        <v>0.95880575970792059</v>
      </c>
      <c r="AT14" s="130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126">
        <f>(Kn^(1-pn)-(1-pn)*EXP(-(Tabella2[[#This Row],[Day]]-t0n)/wn))^(1/(1-pn))</f>
        <v>980.4804055042473</v>
      </c>
      <c r="H15" s="126">
        <f>(1/wn)*EXP(-(Tabella2[[#This Row],[Day]]-t0n)/wn)*(Tabella2[[#This Row],[Cum_fit]])^pn</f>
        <v>378.23991378149003</v>
      </c>
      <c r="I15" s="56">
        <f>Tabella2[[#This Row],[New_cases_fit]]*NOT(ISBLANK(Tabella2[[#This Row],[New cases]]))</f>
        <v>378.23991378149003</v>
      </c>
      <c r="J15" s="10">
        <f>Tabella2[[#This Row],[New_cases_fit]]+CIn</f>
        <v>1540.2150652324931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330.95825888058499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126">
        <f>(Kd^(1-pd)-(1-pd)*EXP(-(Tabella2[[#This Row],[Day]]-t0d)/wd))^(1/(1-pd))</f>
        <v>99.660763238897744</v>
      </c>
      <c r="S15" s="126">
        <f>(1/wd)*EXP(-(Tabella2[[#This Row],[Day]]-t0d)/wd)*(Tabella2[[#This Row],[Cum_R_fit]])^pd</f>
        <v>38.150203678315563</v>
      </c>
      <c r="T15" s="60">
        <f>Tabella2[[#This Row],[New_Recovered_fit]]*NOT(ISBLANK(Tabella2[[#This Row],[New recovered]]))</f>
        <v>38.150203678315563</v>
      </c>
      <c r="U15" s="10">
        <f>Tabella2[[#This Row],[New_Recovered_fit]]+CId</f>
        <v>618.26739933152112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4">
        <f>Tabella2[[#This Row],[New deaths]]*NOT(ISBLANK(Tabella2[[#This Row],[New deaths]]))</f>
        <v>18</v>
      </c>
      <c r="Z15" s="126">
        <f>(Kt^(1-pt)-(1-pt)*EXP(-(Tabella2[[#This Row],[Day]]-t0t)/wt))^(1/(1-pt))</f>
        <v>16.065659649980645</v>
      </c>
      <c r="AA15" s="10">
        <f>(1/wt)*EXP(-(Tabella2[[#This Row],[Day]]-t0t)/wt)*(Tabella2[[#This Row],[Cum_D_fit]])^pt</f>
        <v>9.1314512225894653</v>
      </c>
      <c r="AB15" s="64">
        <f>Tabella2[[#This Row],[New_Deaths_fit]]*NOT(ISBLANK(Tabella2[[#This Row],[New deaths]]))</f>
        <v>9.1314512225894653</v>
      </c>
      <c r="AC15" s="10">
        <f>Tabella2[[#This Row],[New_Deaths_fit]]+CIt</f>
        <v>162.4638428532152</v>
      </c>
      <c r="AD15" s="10">
        <f>MAX(Tabella2[[#This Row],[New_Deaths_fit]]-CIt,0)</f>
        <v>0</v>
      </c>
      <c r="AE15" s="1"/>
      <c r="AF15" s="67" t="s">
        <v>6</v>
      </c>
      <c r="AG15" s="96">
        <f>TINV(0.05,dfn)</f>
        <v>2.0106347576242314</v>
      </c>
      <c r="AT15" s="131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126">
        <f>(Kn^(1-pn)-(1-pn)*EXP(-(Tabella2[[#This Row],[Day]]-t0n)/wn))^(1/(1-pn))</f>
        <v>1422.5145107340136</v>
      </c>
      <c r="H16" s="126">
        <f>(1/wn)*EXP(-(Tabella2[[#This Row],[Day]]-t0n)/wn)*(Tabella2[[#This Row],[Cum_fit]])^pn</f>
        <v>510.44667785960928</v>
      </c>
      <c r="I16" s="56">
        <f>Tabella2[[#This Row],[New_cases_fit]]*NOT(ISBLANK(Tabella2[[#This Row],[New cases]]))</f>
        <v>510.44667785960928</v>
      </c>
      <c r="J16" s="10">
        <f>Tabella2[[#This Row],[New_cases_fit]]+CIn</f>
        <v>1672.4218293106123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445.22709540764384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126">
        <f>(Kd^(1-pd)-(1-pd)*EXP(-(Tabella2[[#This Row],[Day]]-t0d)/wd))^(1/(1-pd))</f>
        <v>143.83790905052291</v>
      </c>
      <c r="S16" s="126">
        <f>(1/wd)*EXP(-(Tabella2[[#This Row],[Day]]-t0d)/wd)*(Tabella2[[#This Row],[Cum_R_fit]])^pd</f>
        <v>50.59717179617401</v>
      </c>
      <c r="T16" s="60">
        <f>Tabella2[[#This Row],[New_Recovered_fit]]*NOT(ISBLANK(Tabella2[[#This Row],[New recovered]]))</f>
        <v>50.59717179617401</v>
      </c>
      <c r="U16" s="10">
        <f>Tabella2[[#This Row],[New_Recovered_fit]]+CId</f>
        <v>630.71436744937955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4">
        <f>Tabella2[[#This Row],[New deaths]]*NOT(ISBLANK(Tabella2[[#This Row],[New deaths]]))</f>
        <v>27</v>
      </c>
      <c r="Z16" s="126">
        <f>(Kt^(1-pt)-(1-pt)*EXP(-(Tabella2[[#This Row],[Day]]-t0t)/wt))^(1/(1-pt))</f>
        <v>27.768442332885684</v>
      </c>
      <c r="AA16" s="10">
        <f>(1/wt)*EXP(-(Tabella2[[#This Row],[Day]]-t0t)/wt)*(Tabella2[[#This Row],[Cum_D_fit]])^pt</f>
        <v>14.622410655791434</v>
      </c>
      <c r="AB16" s="64">
        <f>Tabella2[[#This Row],[New_Deaths_fit]]*NOT(ISBLANK(Tabella2[[#This Row],[New deaths]]))</f>
        <v>14.622410655791434</v>
      </c>
      <c r="AC16" s="10">
        <f>Tabella2[[#This Row],[New_Deaths_fit]]+CIt</f>
        <v>167.95480228641716</v>
      </c>
      <c r="AD16" s="10">
        <f>MAX(Tabella2[[#This Row],[New_Deaths_fit]]-CIt,0)</f>
        <v>0</v>
      </c>
      <c r="AE16" s="1"/>
      <c r="AF16" s="67" t="s">
        <v>7</v>
      </c>
      <c r="AG16" s="94">
        <f>Critical_tn*SE_of_yn</f>
        <v>1161.9751514510031</v>
      </c>
      <c r="AT16" s="131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126">
        <f>(Kn^(1-pn)-(1-pn)*EXP(-(Tabella2[[#This Row],[Day]]-t0n)/wn))^(1/(1-pn))</f>
        <v>2010.905952533245</v>
      </c>
      <c r="H17" s="126">
        <f>(1/wn)*EXP(-(Tabella2[[#This Row],[Day]]-t0n)/wn)*(Tabella2[[#This Row],[Cum_fit]])^pn</f>
        <v>671.21616400653943</v>
      </c>
      <c r="I17" s="56">
        <f>Tabella2[[#This Row],[New_cases_fit]]*NOT(ISBLANK(Tabella2[[#This Row],[New cases]]))</f>
        <v>671.21616400653943</v>
      </c>
      <c r="J17" s="10">
        <f>Tabella2[[#This Row],[New_cases_fit]]+CIn</f>
        <v>1833.1913154575425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583.23698606864286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126">
        <f>(Kd^(1-pd)-(1-pd)*EXP(-(Tabella2[[#This Row],[Day]]-t0d)/wd))^(1/(1-pd))</f>
        <v>201.66967503650656</v>
      </c>
      <c r="S17" s="126">
        <f>(1/wd)*EXP(-(Tabella2[[#This Row],[Day]]-t0d)/wd)*(Tabella2[[#This Row],[Cum_R_fit]])^pd</f>
        <v>65.486785569595938</v>
      </c>
      <c r="T17" s="60">
        <f>Tabella2[[#This Row],[New_Recovered_fit]]*NOT(ISBLANK(Tabella2[[#This Row],[New recovered]]))</f>
        <v>65.486785569595938</v>
      </c>
      <c r="U17" s="10">
        <f>Tabella2[[#This Row],[New_Recovered_fit]]+CId</f>
        <v>645.60398122280139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4">
        <f>Tabella2[[#This Row],[New deaths]]*NOT(ISBLANK(Tabella2[[#This Row],[New deaths]]))</f>
        <v>28</v>
      </c>
      <c r="Z17" s="126">
        <f>(Kt^(1-pt)-(1-pt)*EXP(-(Tabella2[[#This Row],[Day]]-t0t)/wt))^(1/(1-pt))</f>
        <v>46.103110174318225</v>
      </c>
      <c r="AA17" s="10">
        <f>(1/wt)*EXP(-(Tabella2[[#This Row],[Day]]-t0t)/wt)*(Tabella2[[#This Row],[Cum_D_fit]])^pt</f>
        <v>22.492392368300699</v>
      </c>
      <c r="AB17" s="64">
        <f>Tabella2[[#This Row],[New_Deaths_fit]]*NOT(ISBLANK(Tabella2[[#This Row],[New deaths]]))</f>
        <v>22.492392368300699</v>
      </c>
      <c r="AC17" s="10">
        <f>Tabella2[[#This Row],[New_Deaths_fit]]+CIt</f>
        <v>175.82478399892642</v>
      </c>
      <c r="AD17" s="10">
        <f>MAX(Tabella2[[#This Row],[New_Deaths_fit]]-CIt,0)</f>
        <v>0</v>
      </c>
      <c r="AE17" s="1"/>
      <c r="AF17" s="67" t="s">
        <v>69</v>
      </c>
      <c r="AG17" s="94">
        <f>(Kn^(1-pn)-(1-pn))^(pn/(1-pn))/wn</f>
        <v>5435.9203837300902</v>
      </c>
      <c r="AT17" s="132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126">
        <f>(Kn^(1-pn)-(1-pn)*EXP(-(Tabella2[[#This Row],[Day]]-t0n)/wn))^(1/(1-pn))</f>
        <v>2774.8236553080219</v>
      </c>
      <c r="H18" s="126">
        <f>(1/wn)*EXP(-(Tabella2[[#This Row],[Day]]-t0n)/wn)*(Tabella2[[#This Row],[Cum_fit]])^pn</f>
        <v>861.57663642170246</v>
      </c>
      <c r="I18" s="56">
        <f>Tabella2[[#This Row],[New_cases_fit]]*NOT(ISBLANK(Tabella2[[#This Row],[New cases]]))</f>
        <v>861.57663642170246</v>
      </c>
      <c r="J18" s="10">
        <f>Tabella2[[#This Row],[New_cases_fit]]+CIn</f>
        <v>2023.5517878727055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745.27659431294603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126">
        <f>(Kd^(1-pd)-(1-pd)*EXP(-(Tabella2[[#This Row],[Day]]-t0d)/wd))^(1/(1-pd))</f>
        <v>275.67528959657272</v>
      </c>
      <c r="S18" s="126">
        <f>(1/wd)*EXP(-(Tabella2[[#This Row],[Day]]-t0d)/wd)*(Tabella2[[#This Row],[Cum_R_fit]])^pd</f>
        <v>82.966679238295697</v>
      </c>
      <c r="T18" s="60">
        <f>Tabella2[[#This Row],[New_Recovered_fit]]*NOT(ISBLANK(Tabella2[[#This Row],[New recovered]]))</f>
        <v>82.966679238295697</v>
      </c>
      <c r="U18" s="10">
        <f>Tabella2[[#This Row],[New_Recovered_fit]]+CId</f>
        <v>663.08387489150118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4">
        <f>Tabella2[[#This Row],[New deaths]]*NOT(ISBLANK(Tabella2[[#This Row],[New deaths]]))</f>
        <v>41</v>
      </c>
      <c r="Z18" s="126">
        <f>(Kt^(1-pt)-(1-pt)*EXP(-(Tabella2[[#This Row],[Day]]-t0t)/wt))^(1/(1-pt))</f>
        <v>73.743687448522337</v>
      </c>
      <c r="AA18" s="10">
        <f>(1/wt)*EXP(-(Tabella2[[#This Row],[Day]]-t0t)/wt)*(Tabella2[[#This Row],[Cum_D_fit]])^pt</f>
        <v>33.333362870460796</v>
      </c>
      <c r="AB18" s="64">
        <f>Tabella2[[#This Row],[New_Deaths_fit]]*NOT(ISBLANK(Tabella2[[#This Row],[New deaths]]))</f>
        <v>33.333362870460796</v>
      </c>
      <c r="AC18" s="10">
        <f>Tabella2[[#This Row],[New_Deaths_fit]]+CIt</f>
        <v>186.66575450108652</v>
      </c>
      <c r="AD18" s="10">
        <f>MAX(Tabella2[[#This Row],[New_Deaths_fit]]-CIt,0)</f>
        <v>0</v>
      </c>
      <c r="AE18" s="1"/>
      <c r="AF18" s="67" t="s">
        <v>70</v>
      </c>
      <c r="AG18" s="76">
        <f>_xlfn.XLOOKUP(ROUND(t0n,0),Tabella2[Day],Tabella2[Date])</f>
        <v>43915</v>
      </c>
      <c r="AT18" s="133">
        <f>MAX($AG$27)</f>
        <v>0.88024612519231404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126">
        <f>(Kn^(1-pn)-(1-pn)*EXP(-(Tabella2[[#This Row],[Day]]-t0n)/wn))^(1/(1-pn))</f>
        <v>3743.8885185972363</v>
      </c>
      <c r="H19" s="126">
        <f>(1/wn)*EXP(-(Tabella2[[#This Row],[Day]]-t0n)/wn)*(Tabella2[[#This Row],[Cum_fit]])^pn</f>
        <v>1081.3827959344978</v>
      </c>
      <c r="I19" s="56">
        <f>Tabella2[[#This Row],[New_cases_fit]]*NOT(ISBLANK(Tabella2[[#This Row],[New cases]]))</f>
        <v>1081.3827959344978</v>
      </c>
      <c r="J19" s="10">
        <f>Tabella2[[#This Row],[New_cases_fit]]+CIn</f>
        <v>2243.3579473855007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930.50796764227312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126">
        <f>(Kd^(1-pd)-(1-pd)*EXP(-(Tabella2[[#This Row],[Day]]-t0d)/wd))^(1/(1-pd))</f>
        <v>368.50463418583792</v>
      </c>
      <c r="S19" s="126">
        <f>(1/wd)*EXP(-(Tabella2[[#This Row],[Day]]-t0d)/wd)*(Tabella2[[#This Row],[Cum_R_fit]])^pd</f>
        <v>103.15017606285157</v>
      </c>
      <c r="T19" s="60">
        <f>Tabella2[[#This Row],[New_Recovered_fit]]*NOT(ISBLANK(Tabella2[[#This Row],[New recovered]]))</f>
        <v>103.15017606285157</v>
      </c>
      <c r="U19" s="10">
        <f>Tabella2[[#This Row],[New_Recovered_fit]]+CId</f>
        <v>683.26737171605703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4">
        <f>Tabella2[[#This Row],[New deaths]]*NOT(ISBLANK(Tabella2[[#This Row],[New deaths]]))</f>
        <v>49</v>
      </c>
      <c r="Z19" s="126">
        <f>(Kt^(1-pt)-(1-pt)*EXP(-(Tabella2[[#This Row],[Day]]-t0t)/wt))^(1/(1-pt))</f>
        <v>113.95399551839357</v>
      </c>
      <c r="AA19" s="10">
        <f>(1/wt)*EXP(-(Tabella2[[#This Row],[Day]]-t0t)/wt)*(Tabella2[[#This Row],[Cum_D_fit]])^pt</f>
        <v>47.724652229373199</v>
      </c>
      <c r="AB19" s="64">
        <f>Tabella2[[#This Row],[New_Deaths_fit]]*NOT(ISBLANK(Tabella2[[#This Row],[New deaths]]))</f>
        <v>47.724652229373199</v>
      </c>
      <c r="AC19" s="10">
        <f>Tabella2[[#This Row],[New_Deaths_fit]]+CIt</f>
        <v>201.05704385999891</v>
      </c>
      <c r="AD19" s="10">
        <f>MAX(Tabella2[[#This Row],[New_Deaths_fit]]-CIt,0)</f>
        <v>0</v>
      </c>
      <c r="AE19" s="1"/>
      <c r="AF19" s="91" t="s">
        <v>114</v>
      </c>
      <c r="AG19" s="93">
        <f>p</f>
        <v>0.99896027459660208</v>
      </c>
      <c r="AT19" s="134">
        <f>COUNT($AG$21,$AG$22,$AG$23)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126">
        <f>(Kn^(1-pn)-(1-pn)*EXP(-(Tabella2[[#This Row],[Day]]-t0n)/wn))^(1/(1-pn))</f>
        <v>4946.9517747061527</v>
      </c>
      <c r="H20" s="126">
        <f>(1/wn)*EXP(-(Tabella2[[#This Row],[Day]]-t0n)/wn)*(Tabella2[[#This Row],[Cum_fit]])^pn</f>
        <v>1329.2347294841763</v>
      </c>
      <c r="I20" s="56">
        <f>Tabella2[[#This Row],[New_cases_fit]]*NOT(ISBLANK(Tabella2[[#This Row],[New cases]]))</f>
        <v>1329.2347294841763</v>
      </c>
      <c r="J20" s="10">
        <f>Tabella2[[#This Row],[New_cases_fit]]+CIn</f>
        <v>2491.2098809351792</v>
      </c>
      <c r="K20" s="10">
        <f>MAX(Tabella2[[#This Row],[New_cases_fit]]-CIn,0)</f>
        <v>167.25957803317328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1136.9392894556349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126">
        <f>(Kd^(1-pd)-(1-pd)*EXP(-(Tabella2[[#This Row],[Day]]-t0d)/wd))^(1/(1-pd))</f>
        <v>482.90307497146455</v>
      </c>
      <c r="S20" s="126">
        <f>(1/wd)*EXP(-(Tabella2[[#This Row],[Day]]-t0d)/wd)*(Tabella2[[#This Row],[Cum_R_fit]])^pd</f>
        <v>126.11475813518713</v>
      </c>
      <c r="T20" s="60">
        <f>Tabella2[[#This Row],[New_Recovered_fit]]*NOT(ISBLANK(Tabella2[[#This Row],[New recovered]]))</f>
        <v>126.11475813518713</v>
      </c>
      <c r="U20" s="10">
        <f>Tabella2[[#This Row],[New_Recovered_fit]]+CId</f>
        <v>706.23195378839262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4">
        <f>Tabella2[[#This Row],[New deaths]]*NOT(ISBLANK(Tabella2[[#This Row],[New deaths]]))</f>
        <v>36</v>
      </c>
      <c r="Z20" s="126">
        <f>(Kt^(1-pt)-(1-pt)*EXP(-(Tabella2[[#This Row],[Day]]-t0t)/wt))^(1/(1-pt))</f>
        <v>170.54922462091056</v>
      </c>
      <c r="AA20" s="10">
        <f>(1/wt)*EXP(-(Tabella2[[#This Row],[Day]]-t0t)/wt)*(Tabella2[[#This Row],[Cum_D_fit]])^pt</f>
        <v>66.18068189335429</v>
      </c>
      <c r="AB20" s="64">
        <f>Tabella2[[#This Row],[New_Deaths_fit]]*NOT(ISBLANK(Tabella2[[#This Row],[New deaths]]))</f>
        <v>66.18068189335429</v>
      </c>
      <c r="AC20" s="10">
        <f>Tabella2[[#This Row],[New_Deaths_fit]]+CIt</f>
        <v>219.51307352398001</v>
      </c>
      <c r="AD20" s="10">
        <f>MAX(Tabella2[[#This Row],[New_Deaths_fit]]-CIt,0)</f>
        <v>0</v>
      </c>
      <c r="AE20" s="1"/>
      <c r="AF20" s="59" t="s">
        <v>81</v>
      </c>
      <c r="AG20" s="74" t="s">
        <v>95</v>
      </c>
      <c r="AT20" s="134">
        <f>{32767;32767;0.000001;0;FALSE;FALSE;TRUE;1;1;1;0.0001;TRUE}</f>
        <v>32767</v>
      </c>
    </row>
    <row r="21" spans="2:46" x14ac:dyDescent="0.3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126">
        <f>(Kn^(1-pn)-(1-pn)*EXP(-(Tabella2[[#This Row],[Day]]-t0n)/wn))^(1/(1-pn))</f>
        <v>6410.8382262525547</v>
      </c>
      <c r="H21" s="126">
        <f>(1/wn)*EXP(-(Tabella2[[#This Row],[Day]]-t0n)/wn)*(Tabella2[[#This Row],[Cum_fit]])^pn</f>
        <v>1602.4889709225556</v>
      </c>
      <c r="I21" s="56">
        <f>Tabella2[[#This Row],[New_cases_fit]]*NOT(ISBLANK(Tabella2[[#This Row],[New cases]]))</f>
        <v>1602.4889709225556</v>
      </c>
      <c r="J21" s="10">
        <f>Tabella2[[#This Row],[New_cases_fit]]+CIn</f>
        <v>2764.4641223735589</v>
      </c>
      <c r="K21" s="10">
        <f>MAX(Tabella2[[#This Row],[New_cases_fit]]-CIn,0)</f>
        <v>440.51381947155255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1361.4895504433134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126">
        <f>(Kd^(1-pd)-(1-pd)*EXP(-(Tabella2[[#This Row],[Day]]-t0d)/wd))^(1/(1-pd))</f>
        <v>621.67529740452392</v>
      </c>
      <c r="S21" s="126">
        <f>(1/wd)*EXP(-(Tabella2[[#This Row],[Day]]-t0d)/wd)*(Tabella2[[#This Row],[Cum_R_fit]])^pd</f>
        <v>151.90158137985526</v>
      </c>
      <c r="T21" s="60">
        <f>Tabella2[[#This Row],[New_Recovered_fit]]*NOT(ISBLANK(Tabella2[[#This Row],[New recovered]]))</f>
        <v>151.90158137985526</v>
      </c>
      <c r="U21" s="10">
        <f>Tabella2[[#This Row],[New_Recovered_fit]]+CId</f>
        <v>732.01877703306081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4">
        <f>Tabella2[[#This Row],[New deaths]]*NOT(ISBLANK(Tabella2[[#This Row],[New deaths]]))</f>
        <v>133</v>
      </c>
      <c r="Z21" s="126">
        <f>(Kt^(1-pt)-(1-pt)*EXP(-(Tabella2[[#This Row],[Day]]-t0t)/wt))^(1/(1-pt))</f>
        <v>247.80425526583869</v>
      </c>
      <c r="AA21" s="10">
        <f>(1/wt)*EXP(-(Tabella2[[#This Row],[Day]]-t0t)/wt)*(Tabella2[[#This Row],[Cum_D_fit]])^pt</f>
        <v>89.097839099386988</v>
      </c>
      <c r="AB21" s="64">
        <f>Tabella2[[#This Row],[New_Deaths_fit]]*NOT(ISBLANK(Tabella2[[#This Row],[New deaths]]))</f>
        <v>89.097839099386988</v>
      </c>
      <c r="AC21" s="10">
        <f>Tabella2[[#This Row],[New_Deaths_fit]]+CIt</f>
        <v>242.43023073001271</v>
      </c>
      <c r="AD21" s="10">
        <f>MAX(Tabella2[[#This Row],[New_Deaths_fit]]-CIt,0)</f>
        <v>0</v>
      </c>
      <c r="AE21" s="1"/>
      <c r="AF21" s="103" t="s">
        <v>0</v>
      </c>
      <c r="AG21" s="104">
        <f>Kr</f>
        <v>177293.05160542074</v>
      </c>
      <c r="AT21" s="134">
        <f>{0;0;1;100;0;FALSE;TRUE;0.075;0;0;FALSE;30}</f>
        <v>0</v>
      </c>
    </row>
    <row r="22" spans="2:46" ht="15.6" x14ac:dyDescent="0.35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126">
        <f>(Kn^(1-pn)-(1-pn)*EXP(-(Tabella2[[#This Row],[Day]]-t0n)/wn))^(1/(1-pn))</f>
        <v>8159.1455035551344</v>
      </c>
      <c r="H22" s="126">
        <f>(1/wn)*EXP(-(Tabella2[[#This Row],[Day]]-t0n)/wn)*(Tabella2[[#This Row],[Cum_fit]])^pn</f>
        <v>1897.3580605344055</v>
      </c>
      <c r="I22" s="56">
        <f>Tabella2[[#This Row],[New_cases_fit]]*NOT(ISBLANK(Tabella2[[#This Row],[New cases]]))</f>
        <v>1897.3580605344055</v>
      </c>
      <c r="J22" s="10">
        <f>Tabella2[[#This Row],[New_cases_fit]]+CIn</f>
        <v>3059.3332119854085</v>
      </c>
      <c r="K22" s="10">
        <f>MAX(Tabella2[[#This Row],[New_cases_fit]]-CIn,0)</f>
        <v>735.38290908340241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1600.135031623282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126">
        <f>(Kd^(1-pd)-(1-pd)*EXP(-(Tabella2[[#This Row],[Day]]-t0d)/wd))^(1/(1-pd))</f>
        <v>787.64912378618988</v>
      </c>
      <c r="S22" s="126">
        <f>(1/wd)*EXP(-(Tabella2[[#This Row],[Day]]-t0d)/wd)*(Tabella2[[#This Row],[Cum_R_fit]])^pd</f>
        <v>180.51590376800448</v>
      </c>
      <c r="T22" s="60">
        <f>Tabella2[[#This Row],[New_Recovered_fit]]*NOT(ISBLANK(Tabella2[[#This Row],[New recovered]]))</f>
        <v>180.51590376800448</v>
      </c>
      <c r="U22" s="10">
        <f>Tabella2[[#This Row],[New_Recovered_fit]]+CId</f>
        <v>760.63309942120998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4">
        <f>Tabella2[[#This Row],[New deaths]]*NOT(ISBLANK(Tabella2[[#This Row],[New deaths]]))</f>
        <v>97</v>
      </c>
      <c r="Z22" s="126">
        <f>(Kt^(1-pt)-(1-pt)*EXP(-(Tabella2[[#This Row],[Day]]-t0t)/wt))^(1/(1-pt))</f>
        <v>350.31120111612415</v>
      </c>
      <c r="AA22" s="10">
        <f>(1/wt)*EXP(-(Tabella2[[#This Row],[Day]]-t0t)/wt)*(Tabella2[[#This Row],[Cum_D_fit]])^pt</f>
        <v>116.7071251431189</v>
      </c>
      <c r="AB22" s="64">
        <f>Tabella2[[#This Row],[New_Deaths_fit]]*NOT(ISBLANK(Tabella2[[#This Row],[New deaths]]))</f>
        <v>116.7071251431189</v>
      </c>
      <c r="AC22" s="10">
        <f>Tabella2[[#This Row],[New_Deaths_fit]]+CIt</f>
        <v>270.03951677374459</v>
      </c>
      <c r="AD22" s="10">
        <f>MAX(Tabella2[[#This Row],[New_Deaths_fit]]-CIt,0)</f>
        <v>0</v>
      </c>
      <c r="AE22" s="1"/>
      <c r="AF22" s="103" t="s">
        <v>111</v>
      </c>
      <c r="AG22" s="105">
        <f>t0r</f>
        <v>133.17779782392995</v>
      </c>
      <c r="AT22" s="134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126">
        <f>(Kn^(1-pn)-(1-pn)*EXP(-(Tabella2[[#This Row],[Day]]-t0n)/wn))^(1/(1-pn))</f>
        <v>10211.182183501624</v>
      </c>
      <c r="H23" s="126">
        <f>(1/wn)*EXP(-(Tabella2[[#This Row],[Day]]-t0n)/wn)*(Tabella2[[#This Row],[Cum_fit]])^pn</f>
        <v>2209.0859782425355</v>
      </c>
      <c r="I23" s="56">
        <f>Tabella2[[#This Row],[New_cases_fit]]*NOT(ISBLANK(Tabella2[[#This Row],[New cases]]))</f>
        <v>2209.0859782425355</v>
      </c>
      <c r="J23" s="10">
        <f>Tabella2[[#This Row],[New_cases_fit]]+CIn</f>
        <v>3371.0611296935385</v>
      </c>
      <c r="K23" s="10">
        <f>MAX(Tabella2[[#This Row],[New_cases_fit]]-CIn,0)</f>
        <v>1047.1108267915324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1848.1191864310317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126">
        <f>(Kd^(1-pd)-(1-pd)*EXP(-(Tabella2[[#This Row],[Day]]-t0d)/wd))^(1/(1-pd))</f>
        <v>983.64015805311999</v>
      </c>
      <c r="S23" s="126">
        <f>(1/wd)*EXP(-(Tabella2[[#This Row],[Day]]-t0d)/wd)*(Tabella2[[#This Row],[Cum_R_fit]])^pd</f>
        <v>211.92828832669068</v>
      </c>
      <c r="T23" s="60">
        <f>Tabella2[[#This Row],[New_Recovered_fit]]*NOT(ISBLANK(Tabella2[[#This Row],[New recovered]]))</f>
        <v>211.92828832669068</v>
      </c>
      <c r="U23" s="10">
        <f>Tabella2[[#This Row],[New_Recovered_fit]]+CId</f>
        <v>792.04548397989618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4">
        <f>Tabella2[[#This Row],[New deaths]]*NOT(ISBLANK(Tabella2[[#This Row],[New deaths]]))</f>
        <v>168</v>
      </c>
      <c r="Z23" s="126">
        <f>(Kt^(1-pt)-(1-pt)*EXP(-(Tabella2[[#This Row],[Day]]-t0t)/wt))^(1/(1-pt))</f>
        <v>482.79501304792115</v>
      </c>
      <c r="AA23" s="10">
        <f>(1/wt)*EXP(-(Tabella2[[#This Row],[Day]]-t0t)/wt)*(Tabella2[[#This Row],[Cum_D_fit]])^pt</f>
        <v>149.03850348481308</v>
      </c>
      <c r="AB23" s="64">
        <f>Tabella2[[#This Row],[New_Deaths_fit]]*NOT(ISBLANK(Tabella2[[#This Row],[New deaths]]))</f>
        <v>149.03850348481308</v>
      </c>
      <c r="AC23" s="10">
        <f>Tabella2[[#This Row],[New_Deaths_fit]]+CIt</f>
        <v>302.37089511543877</v>
      </c>
      <c r="AD23" s="10">
        <f>MAX(Tabella2[[#This Row],[New_Deaths_fit]]-CIt,0)</f>
        <v>0</v>
      </c>
      <c r="AE23" s="1"/>
      <c r="AF23" s="103" t="s">
        <v>1</v>
      </c>
      <c r="AG23" s="105">
        <f>wr</f>
        <v>37.298876656687632</v>
      </c>
      <c r="AT23" s="135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126">
        <f>(Kn^(1-pn)-(1-pn)*EXP(-(Tabella2[[#This Row],[Day]]-t0n)/wn))^(1/(1-pn))</f>
        <v>12581.111523541855</v>
      </c>
      <c r="H24" s="126">
        <f>(1/wn)*EXP(-(Tabella2[[#This Row],[Day]]-t0n)/wn)*(Tabella2[[#This Row],[Cum_fit]])^pn</f>
        <v>2532.1803842309614</v>
      </c>
      <c r="I24" s="56">
        <f>Tabella2[[#This Row],[New_cases_fit]]*NOT(ISBLANK(Tabella2[[#This Row],[New cases]]))</f>
        <v>2532.1803842309614</v>
      </c>
      <c r="J24" s="10">
        <f>Tabella2[[#This Row],[New_cases_fit]]+CIn</f>
        <v>3694.1555356819645</v>
      </c>
      <c r="K24" s="10">
        <f>MAX(Tabella2[[#This Row],[New_cases_fit]]-CIn,0)</f>
        <v>1370.2052327799584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2100.2027188781808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126">
        <f>(Kd^(1-pd)-(1-pd)*EXP(-(Tabella2[[#This Row],[Day]]-t0d)/wd))^(1/(1-pd))</f>
        <v>1212.4179632964617</v>
      </c>
      <c r="S24" s="126">
        <f>(1/wd)*EXP(-(Tabella2[[#This Row],[Day]]-t0d)/wd)*(Tabella2[[#This Row],[Cum_R_fit]])^pd</f>
        <v>246.07644290972118</v>
      </c>
      <c r="T24" s="60">
        <f>Tabella2[[#This Row],[New_Recovered_fit]]*NOT(ISBLANK(Tabella2[[#This Row],[New recovered]]))</f>
        <v>246.07644290972118</v>
      </c>
      <c r="U24" s="10">
        <f>Tabella2[[#This Row],[New_Recovered_fit]]+CId</f>
        <v>826.19363856292671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4">
        <f>Tabella2[[#This Row],[New deaths]]*NOT(ISBLANK(Tabella2[[#This Row],[New deaths]]))</f>
        <v>196</v>
      </c>
      <c r="Z24" s="126">
        <f>(Kt^(1-pt)-(1-pt)*EXP(-(Tabella2[[#This Row],[Day]]-t0t)/wt))^(1/(1-pt))</f>
        <v>649.9011495466309</v>
      </c>
      <c r="AA24" s="10">
        <f>(1/wt)*EXP(-(Tabella2[[#This Row],[Day]]-t0t)/wt)*(Tabella2[[#This Row],[Cum_D_fit]])^pt</f>
        <v>185.90122244305948</v>
      </c>
      <c r="AB24" s="64">
        <f>Tabella2[[#This Row],[New_Deaths_fit]]*NOT(ISBLANK(Tabella2[[#This Row],[New deaths]]))</f>
        <v>185.90122244305948</v>
      </c>
      <c r="AC24" s="10">
        <f>Tabella2[[#This Row],[New_Deaths_fit]]+CIt</f>
        <v>339.2336140736852</v>
      </c>
      <c r="AD24" s="10">
        <f>MAX(Tabella2[[#This Row],[New_Deaths_fit]]-CIt,0)</f>
        <v>32.56883081243376</v>
      </c>
      <c r="AE24" s="1"/>
      <c r="AF24" s="106" t="s">
        <v>2</v>
      </c>
      <c r="AG24" s="107">
        <f>AVERAGE(Tabella2[New recovered])</f>
        <v>746.88235294117646</v>
      </c>
      <c r="AT24" s="122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126">
        <f>(Kn^(1-pn)-(1-pn)*EXP(-(Tabella2[[#This Row],[Day]]-t0n)/wn))^(1/(1-pn))</f>
        <v>15277.346535740866</v>
      </c>
      <c r="H25" s="126">
        <f>(1/wn)*EXP(-(Tabella2[[#This Row],[Day]]-t0n)/wn)*(Tabella2[[#This Row],[Cum_fit]])^pn</f>
        <v>2860.6791887580921</v>
      </c>
      <c r="I25" s="56">
        <f>Tabella2[[#This Row],[New_cases_fit]]*NOT(ISBLANK(Tabella2[[#This Row],[New cases]]))</f>
        <v>2860.6791887580921</v>
      </c>
      <c r="J25" s="10">
        <f>Tabella2[[#This Row],[New_cases_fit]]+CIn</f>
        <v>4022.6543402090952</v>
      </c>
      <c r="K25" s="10">
        <f>MAX(Tabella2[[#This Row],[New_cases_fit]]-CIn,0)</f>
        <v>1698.704037307089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2350.9294562067375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126">
        <f>(Kd^(1-pd)-(1-pd)*EXP(-(Tabella2[[#This Row],[Day]]-t0d)/wd))^(1/(1-pd))</f>
        <v>1476.6743418181275</v>
      </c>
      <c r="S25" s="126">
        <f>(1/wd)*EXP(-(Tabella2[[#This Row],[Day]]-t0d)/wd)*(Tabella2[[#This Row],[Cum_R_fit]])^pd</f>
        <v>282.86756403070621</v>
      </c>
      <c r="T25" s="60">
        <f>Tabella2[[#This Row],[New_Recovered_fit]]*NOT(ISBLANK(Tabella2[[#This Row],[New recovered]]))</f>
        <v>282.86756403070621</v>
      </c>
      <c r="U25" s="10">
        <f>Tabella2[[#This Row],[New_Recovered_fit]]+CId</f>
        <v>862.98475968391176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4">
        <f>Tabella2[[#This Row],[New deaths]]*NOT(ISBLANK(Tabella2[[#This Row],[New deaths]]))</f>
        <v>189</v>
      </c>
      <c r="Z25" s="126">
        <f>(Kt^(1-pt)-(1-pt)*EXP(-(Tabella2[[#This Row],[Day]]-t0t)/wt))^(1/(1-pt))</f>
        <v>855.9725127913631</v>
      </c>
      <c r="AA25" s="10">
        <f>(1/wt)*EXP(-(Tabella2[[#This Row],[Day]]-t0t)/wt)*(Tabella2[[#This Row],[Cum_D_fit]])^pt</f>
        <v>226.88216852064869</v>
      </c>
      <c r="AB25" s="64">
        <f>Tabella2[[#This Row],[New_Deaths_fit]]*NOT(ISBLANK(Tabella2[[#This Row],[New deaths]]))</f>
        <v>226.88216852064869</v>
      </c>
      <c r="AC25" s="10">
        <f>Tabella2[[#This Row],[New_Deaths_fit]]+CIt</f>
        <v>380.21456015127444</v>
      </c>
      <c r="AD25" s="10">
        <f>MAX(Tabella2[[#This Row],[New_Deaths_fit]]-CIt,0)</f>
        <v>73.549776890022969</v>
      </c>
      <c r="AE25" s="1"/>
      <c r="AF25" s="106" t="s">
        <v>3</v>
      </c>
      <c r="AG25" s="107">
        <f>COUNT(Tabella2[New recovered])-COUNT(AG21:AG23,pd)</f>
        <v>47</v>
      </c>
      <c r="AT25" s="123"/>
    </row>
    <row r="26" spans="2:46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126">
        <f>(Kn^(1-pn)-(1-pn)*EXP(-(Tabella2[[#This Row],[Day]]-t0n)/wn))^(1/(1-pn))</f>
        <v>18302.219185759957</v>
      </c>
      <c r="H26" s="126">
        <f>(1/wn)*EXP(-(Tabella2[[#This Row],[Day]]-t0n)/wn)*(Tabella2[[#This Row],[Cum_fit]])^pn</f>
        <v>3188.4285103669636</v>
      </c>
      <c r="I26" s="56">
        <f>Tabella2[[#This Row],[New_cases_fit]]*NOT(ISBLANK(Tabella2[[#This Row],[New cases]]))</f>
        <v>3188.4285103669636</v>
      </c>
      <c r="J26" s="10">
        <f>Tabella2[[#This Row],[New_cases_fit]]+CIn</f>
        <v>4350.4036618179671</v>
      </c>
      <c r="K26" s="10">
        <f>MAX(Tabella2[[#This Row],[New_cases_fit]]-CIn,0)</f>
        <v>2026.4533589159605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2594.885483807424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126">
        <f>(Kd^(1-pd)-(1-pd)*EXP(-(Tabella2[[#This Row],[Day]]-t0d)/wd))^(1/(1-pd))</f>
        <v>1778.9941589790078</v>
      </c>
      <c r="S26" s="126">
        <f>(1/wd)*EXP(-(Tabella2[[#This Row],[Day]]-t0d)/wd)*(Tabella2[[#This Row],[Cum_R_fit]])^pd</f>
        <v>322.18106082019023</v>
      </c>
      <c r="T26" s="60">
        <f>Tabella2[[#This Row],[New_Recovered_fit]]*NOT(ISBLANK(Tabella2[[#This Row],[New recovered]]))</f>
        <v>322.18106082019023</v>
      </c>
      <c r="U26" s="10">
        <f>Tabella2[[#This Row],[New_Recovered_fit]]+CId</f>
        <v>902.29825647339567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4">
        <f>Tabella2[[#This Row],[New deaths]]*NOT(ISBLANK(Tabella2[[#This Row],[New deaths]]))</f>
        <v>250</v>
      </c>
      <c r="Z26" s="126">
        <f>(Kt^(1-pt)-(1-pt)*EXP(-(Tabella2[[#This Row],[Day]]-t0t)/wt))^(1/(1-pt))</f>
        <v>1104.8337275623935</v>
      </c>
      <c r="AA26" s="10">
        <f>(1/wt)*EXP(-(Tabella2[[#This Row],[Day]]-t0t)/wt)*(Tabella2[[#This Row],[Cum_D_fit]])^pt</f>
        <v>271.36196573934939</v>
      </c>
      <c r="AB26" s="64">
        <f>Tabella2[[#This Row],[New_Deaths_fit]]*NOT(ISBLANK(Tabella2[[#This Row],[New deaths]]))</f>
        <v>271.36196573934939</v>
      </c>
      <c r="AC26" s="10">
        <f>Tabella2[[#This Row],[New_Deaths_fit]]+CIt</f>
        <v>424.69435736997514</v>
      </c>
      <c r="AD26" s="10">
        <f>MAX(Tabella2[[#This Row],[New_Deaths_fit]]-CIt,0)</f>
        <v>118.02957410872366</v>
      </c>
      <c r="AE26" s="1"/>
      <c r="AF26" s="106" t="s">
        <v>4</v>
      </c>
      <c r="AG26" s="108" cm="1">
        <f t="array" ref="AG26">SQRT(SUM((Tabella2[Colonna3]-Tabella2[Colonna4])^2)/dfd)</f>
        <v>288.36581641320544</v>
      </c>
      <c r="AT26" s="123"/>
    </row>
    <row r="27" spans="2:46" ht="16.8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126">
        <f>(Kn^(1-pn)-(1-pn)*EXP(-(Tabella2[[#This Row],[Day]]-t0n)/wn))^(1/(1-pn))</f>
        <v>21651.924385201914</v>
      </c>
      <c r="H27" s="126">
        <f>(1/wn)*EXP(-(Tabella2[[#This Row],[Day]]-t0n)/wn)*(Tabella2[[#This Row],[Cum_fit]])^pn</f>
        <v>3509.3510869307825</v>
      </c>
      <c r="I27" s="56">
        <f>Tabella2[[#This Row],[New_cases_fit]]*NOT(ISBLANK(Tabella2[[#This Row],[New cases]]))</f>
        <v>3509.3510869307825</v>
      </c>
      <c r="J27" s="10">
        <f>Tabella2[[#This Row],[New_cases_fit]]+CIn</f>
        <v>4671.3262383817855</v>
      </c>
      <c r="K27" s="10">
        <f>MAX(Tabella2[[#This Row],[New_cases_fit]]-CIn,0)</f>
        <v>2347.3759354797794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2826.9330661607682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126">
        <f>(Kd^(1-pd)-(1-pd)*EXP(-(Tabella2[[#This Row],[Day]]-t0d)/wd))^(1/(1-pd))</f>
        <v>2121.829033499404</v>
      </c>
      <c r="S27" s="126">
        <f>(1/wd)*EXP(-(Tabella2[[#This Row],[Day]]-t0d)/wd)*(Tabella2[[#This Row],[Cum_R_fit]])^pd</f>
        <v>363.87154613719514</v>
      </c>
      <c r="T27" s="60">
        <f>Tabella2[[#This Row],[New_Recovered_fit]]*NOT(ISBLANK(Tabella2[[#This Row],[New recovered]]))</f>
        <v>363.87154613719514</v>
      </c>
      <c r="U27" s="10">
        <f>Tabella2[[#This Row],[New_Recovered_fit]]+CId</f>
        <v>943.98874179040058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4">
        <f>Tabella2[[#This Row],[New deaths]]*NOT(ISBLANK(Tabella2[[#This Row],[New deaths]]))</f>
        <v>175</v>
      </c>
      <c r="Z27" s="126">
        <f>(Kt^(1-pt)-(1-pt)*EXP(-(Tabella2[[#This Row],[Day]]-t0t)/wt))^(1/(1-pt))</f>
        <v>1399.5994874390262</v>
      </c>
      <c r="AA27" s="10">
        <f>(1/wt)*EXP(-(Tabella2[[#This Row],[Day]]-t0t)/wt)*(Tabella2[[#This Row],[Cum_D_fit]])^pt</f>
        <v>318.5464746328189</v>
      </c>
      <c r="AB27" s="64">
        <f>Tabella2[[#This Row],[New_Deaths_fit]]*NOT(ISBLANK(Tabella2[[#This Row],[New deaths]]))</f>
        <v>318.5464746328189</v>
      </c>
      <c r="AC27" s="10">
        <f>Tabella2[[#This Row],[New_Deaths_fit]]+CIt</f>
        <v>471.87886626344459</v>
      </c>
      <c r="AD27" s="10">
        <f>MAX(Tabella2[[#This Row],[New_Deaths_fit]]-CIt,0)</f>
        <v>165.21408300219318</v>
      </c>
      <c r="AE27" s="1"/>
      <c r="AF27" s="106" t="s">
        <v>112</v>
      </c>
      <c r="AG27" s="109" cm="1">
        <f t="array" ref="AG27">1-SUM((Tabella2[Colonna3]-Tabella2[Colonna4])^2)/SUM((Tabella2[Colonna3]-Mean_of_yd)^2)</f>
        <v>0.88024612519231404</v>
      </c>
      <c r="AT27" s="124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126">
        <f>(Kn^(1-pn)-(1-pn)*EXP(-(Tabella2[[#This Row],[Day]]-t0n)/wn))^(1/(1-pn))</f>
        <v>25316.7202770361</v>
      </c>
      <c r="H28" s="126">
        <f>(1/wn)*EXP(-(Tabella2[[#This Row],[Day]]-t0n)/wn)*(Tabella2[[#This Row],[Cum_fit]])^pn</f>
        <v>3817.6879648215645</v>
      </c>
      <c r="I28" s="56">
        <f>Tabella2[[#This Row],[New_cases_fit]]*NOT(ISBLANK(Tabella2[[#This Row],[New cases]]))</f>
        <v>3817.6879648215645</v>
      </c>
      <c r="J28" s="10">
        <f>Tabella2[[#This Row],[New_cases_fit]]+CIn</f>
        <v>4979.663116272568</v>
      </c>
      <c r="K28" s="10">
        <f>MAX(Tabella2[[#This Row],[New_cases_fit]]-CIn,0)</f>
        <v>2655.7128133705614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3042.4061269107647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126">
        <f>(Kd^(1-pd)-(1-pd)*EXP(-(Tabella2[[#This Row],[Day]]-t0d)/wd))^(1/(1-pd))</f>
        <v>2507.4741099410676</v>
      </c>
      <c r="S28" s="126">
        <f>(1/wd)*EXP(-(Tabella2[[#This Row],[Day]]-t0d)/wd)*(Tabella2[[#This Row],[Cum_R_fit]])^pd</f>
        <v>407.77199408397024</v>
      </c>
      <c r="T28" s="60">
        <f>Tabella2[[#This Row],[New_Recovered_fit]]*NOT(ISBLANK(Tabella2[[#This Row],[New recovered]]))</f>
        <v>407.77199408397024</v>
      </c>
      <c r="U28" s="10">
        <f>Tabella2[[#This Row],[New_Recovered_fit]]+CId</f>
        <v>987.88918973717568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4">
        <f>Tabella2[[#This Row],[New deaths]]*NOT(ISBLANK(Tabella2[[#This Row],[New deaths]]))</f>
        <v>368</v>
      </c>
      <c r="Z28" s="126">
        <f>(Kt^(1-pt)-(1-pt)*EXP(-(Tabella2[[#This Row],[Day]]-t0t)/wt))^(1/(1-pt))</f>
        <v>1742.5205414371424</v>
      </c>
      <c r="AA28" s="10">
        <f>(1/wt)*EXP(-(Tabella2[[#This Row],[Day]]-t0t)/wt)*(Tabella2[[#This Row],[Cum_D_fit]])^pt</f>
        <v>367.50984382682964</v>
      </c>
      <c r="AB28" s="64">
        <f>Tabella2[[#This Row],[New_Deaths_fit]]*NOT(ISBLANK(Tabella2[[#This Row],[New deaths]]))</f>
        <v>367.50984382682964</v>
      </c>
      <c r="AC28" s="10">
        <f>Tabella2[[#This Row],[New_Deaths_fit]]+CIt</f>
        <v>520.84223545745533</v>
      </c>
      <c r="AD28" s="10">
        <f>MAX(Tabella2[[#This Row],[New_Deaths_fit]]-CIt,0)</f>
        <v>214.17745219620392</v>
      </c>
      <c r="AE28" s="1"/>
      <c r="AF28" s="106" t="s">
        <v>6</v>
      </c>
      <c r="AG28" s="109">
        <f>TINV(0.05,dfd)</f>
        <v>2.0117405137297668</v>
      </c>
      <c r="AT28" s="78">
        <f>MAX($AG$40)</f>
        <v>0.96644282959119976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126">
        <f>(Kn^(1-pn)-(1-pn)*EXP(-(Tabella2[[#This Row],[Day]]-t0n)/wn))^(1/(1-pn))</f>
        <v>29281.351457698394</v>
      </c>
      <c r="H29" s="126">
        <f>(1/wn)*EXP(-(Tabella2[[#This Row],[Day]]-t0n)/wn)*(Tabella2[[#This Row],[Cum_fit]])^pn</f>
        <v>4108.2010284564303</v>
      </c>
      <c r="I29" s="56">
        <f>Tabella2[[#This Row],[New_cases_fit]]*NOT(ISBLANK(Tabella2[[#This Row],[New cases]]))</f>
        <v>4108.2010284564303</v>
      </c>
      <c r="J29" s="10">
        <f>Tabella2[[#This Row],[New_cases_fit]]+CIn</f>
        <v>5270.1761799074338</v>
      </c>
      <c r="K29" s="10">
        <f>MAX(Tabella2[[#This Row],[New_cases_fit]]-CIn,0)</f>
        <v>2946.2258770054273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3237.2595924581938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126">
        <f>(Kd^(1-pd)-(1-pd)*EXP(-(Tabella2[[#This Row],[Day]]-t0d)/wd))^(1/(1-pd))</f>
        <v>2938.0480346982158</v>
      </c>
      <c r="S29" s="126">
        <f>(1/wd)*EXP(-(Tabella2[[#This Row],[Day]]-t0d)/wd)*(Tabella2[[#This Row],[Cum_R_fit]])^pd</f>
        <v>453.69697590526408</v>
      </c>
      <c r="T29" s="60">
        <f>Tabella2[[#This Row],[New_Recovered_fit]]*NOT(ISBLANK(Tabella2[[#This Row],[New recovered]]))</f>
        <v>453.69697590526408</v>
      </c>
      <c r="U29" s="10">
        <f>Tabella2[[#This Row],[New_Recovered_fit]]+CId</f>
        <v>1033.8141715584695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4">
        <f>Tabella2[[#This Row],[New deaths]]*NOT(ISBLANK(Tabella2[[#This Row],[New deaths]]))</f>
        <v>349</v>
      </c>
      <c r="Z29" s="126">
        <f>(Kt^(1-pt)-(1-pt)*EXP(-(Tabella2[[#This Row],[Day]]-t0t)/wt))^(1/(1-pt))</f>
        <v>2134.8765842348575</v>
      </c>
      <c r="AA29" s="10">
        <f>(1/wt)*EXP(-(Tabella2[[#This Row],[Day]]-t0t)/wt)*(Tabella2[[#This Row],[Cum_D_fit]])^pt</f>
        <v>417.24446009297264</v>
      </c>
      <c r="AB29" s="64">
        <f>Tabella2[[#This Row],[New_Deaths_fit]]*NOT(ISBLANK(Tabella2[[#This Row],[New deaths]]))</f>
        <v>417.24446009297264</v>
      </c>
      <c r="AC29" s="10">
        <f>Tabella2[[#This Row],[New_Deaths_fit]]+CIt</f>
        <v>570.57685172359834</v>
      </c>
      <c r="AD29" s="10">
        <f>MAX(Tabella2[[#This Row],[New_Deaths_fit]]-CIt,0)</f>
        <v>263.91206846234695</v>
      </c>
      <c r="AE29" s="1"/>
      <c r="AF29" s="106" t="s">
        <v>7</v>
      </c>
      <c r="AG29" s="107">
        <f>Critical_td*SE_of_yd</f>
        <v>580.1171956532055</v>
      </c>
      <c r="AT29" s="79">
        <f>COUNT($AG$34,$AG$35,$AG$36)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126">
        <f>(Kn^(1-pn)-(1-pn)*EXP(-(Tabella2[[#This Row],[Day]]-t0n)/wn))^(1/(1-pn))</f>
        <v>33525.651844542735</v>
      </c>
      <c r="H30" s="126">
        <f>(1/wn)*EXP(-(Tabella2[[#This Row],[Day]]-t0n)/wn)*(Tabella2[[#This Row],[Cum_fit]])^pn</f>
        <v>4376.3289277673803</v>
      </c>
      <c r="I30" s="56">
        <f>Tabella2[[#This Row],[New_cases_fit]]*NOT(ISBLANK(Tabella2[[#This Row],[New cases]]))</f>
        <v>4376.3289277673803</v>
      </c>
      <c r="J30" s="10">
        <f>Tabella2[[#This Row],[New_cases_fit]]+CIn</f>
        <v>5538.3040792183838</v>
      </c>
      <c r="K30" s="10">
        <f>MAX(Tabella2[[#This Row],[New_cases_fit]]-CIn,0)</f>
        <v>3214.3537763163772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3408.1700075316617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126">
        <f>(Kd^(1-pd)-(1-pd)*EXP(-(Tabella2[[#This Row],[Day]]-t0d)/wd))^(1/(1-pd))</f>
        <v>3415.4761751750848</v>
      </c>
      <c r="S30" s="126">
        <f>(1/wd)*EXP(-(Tabella2[[#This Row],[Day]]-t0d)/wd)*(Tabella2[[#This Row],[Cum_R_fit]])^pd</f>
        <v>501.44589894788464</v>
      </c>
      <c r="T30" s="60">
        <f>Tabella2[[#This Row],[New_Recovered_fit]]*NOT(ISBLANK(Tabella2[[#This Row],[New recovered]]))</f>
        <v>501.44589894788464</v>
      </c>
      <c r="U30" s="10">
        <f>Tabella2[[#This Row],[New_Recovered_fit]]+CId</f>
        <v>1081.5630946010901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4">
        <f>Tabella2[[#This Row],[New deaths]]*NOT(ISBLANK(Tabella2[[#This Row],[New deaths]]))</f>
        <v>345</v>
      </c>
      <c r="Z30" s="126">
        <f>(Kt^(1-pt)-(1-pt)*EXP(-(Tabella2[[#This Row],[Day]]-t0t)/wt))^(1/(1-pt))</f>
        <v>2576.9205446267115</v>
      </c>
      <c r="AA30" s="10">
        <f>(1/wt)*EXP(-(Tabella2[[#This Row],[Day]]-t0t)/wt)*(Tabella2[[#This Row],[Cum_D_fit]])^pt</f>
        <v>466.71302128783401</v>
      </c>
      <c r="AB30" s="64">
        <f>Tabella2[[#This Row],[New_Deaths_fit]]*NOT(ISBLANK(Tabella2[[#This Row],[New deaths]]))</f>
        <v>466.71302128783401</v>
      </c>
      <c r="AC30" s="10">
        <f>Tabella2[[#This Row],[New_Deaths_fit]]+CIt</f>
        <v>620.04541291845976</v>
      </c>
      <c r="AD30" s="10">
        <f>MAX(Tabella2[[#This Row],[New_Deaths_fit]]-CIt,0)</f>
        <v>313.38062965720826</v>
      </c>
      <c r="AE30" s="1"/>
      <c r="AF30" s="88" t="s">
        <v>69</v>
      </c>
      <c r="AG30" s="107">
        <f>(Kd^(1-pd)-(1-pd))^(pd/(1-pd))/wd</f>
        <v>624.8058272121591</v>
      </c>
      <c r="AT30" s="79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126">
        <f>(Kn^(1-pn)-(1-pn)*EXP(-(Tabella2[[#This Row],[Day]]-t0n)/wn))^(1/(1-pn))</f>
        <v>38025.278839930754</v>
      </c>
      <c r="H31" s="126">
        <f>(1/wn)*EXP(-(Tabella2[[#This Row],[Day]]-t0n)/wn)*(Tabella2[[#This Row],[Cum_fit]])^pn</f>
        <v>4618.2936403374979</v>
      </c>
      <c r="I31" s="56">
        <f>Tabella2[[#This Row],[New_cases_fit]]*NOT(ISBLANK(Tabella2[[#This Row],[New cases]]))</f>
        <v>4618.2936403374979</v>
      </c>
      <c r="J31" s="10">
        <f>Tabella2[[#This Row],[New_cases_fit]]+CIn</f>
        <v>5780.2687917885014</v>
      </c>
      <c r="K31" s="10">
        <f>MAX(Tabella2[[#This Row],[New_cases_fit]]-CIn,0)</f>
        <v>3456.3184888864948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3552.5890480000667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126">
        <f>(Kd^(1-pd)-(1-pd)*EXP(-(Tabella2[[#This Row],[Day]]-t0d)/wd))^(1/(1-pd))</f>
        <v>3941.4770526811781</v>
      </c>
      <c r="S31" s="126">
        <f>(1/wd)*EXP(-(Tabella2[[#This Row],[Day]]-t0d)/wd)*(Tabella2[[#This Row],[Cum_R_fit]])^pd</f>
        <v>550.80618561163601</v>
      </c>
      <c r="T31" s="60">
        <f>Tabella2[[#This Row],[New_Recovered_fit]]*NOT(ISBLANK(Tabella2[[#This Row],[New recovered]]))</f>
        <v>550.80618561163601</v>
      </c>
      <c r="U31" s="10">
        <f>Tabella2[[#This Row],[New_Recovered_fit]]+CId</f>
        <v>1130.9233812648415</v>
      </c>
      <c r="V31" s="10">
        <f>MAX(Tabella2[[#This Row],[New_Recovered_fit]]-CId,0)</f>
        <v>0</v>
      </c>
      <c r="W31" s="10">
        <f>'dpc-covid19-ita-andamento-naz'!K25</f>
        <v>2978</v>
      </c>
      <c r="X31" s="26">
        <f>Tabella2[[#This Row],[Cum_deaths]]-W30</f>
        <v>475</v>
      </c>
      <c r="Y31" s="64">
        <f>Tabella2[[#This Row],[New deaths]]*NOT(ISBLANK(Tabella2[[#This Row],[New deaths]]))</f>
        <v>475</v>
      </c>
      <c r="Z31" s="126">
        <f>(Kt^(1-pt)-(1-pt)*EXP(-(Tabella2[[#This Row],[Day]]-t0t)/wt))^(1/(1-pt))</f>
        <v>3067.874175373689</v>
      </c>
      <c r="AA31" s="10">
        <f>(1/wt)*EXP(-(Tabella2[[#This Row],[Day]]-t0t)/wt)*(Tabella2[[#This Row],[Cum_D_fit]])^pt</f>
        <v>514.89840672579533</v>
      </c>
      <c r="AB31" s="64">
        <f>Tabella2[[#This Row],[New_Deaths_fit]]*NOT(ISBLANK(Tabella2[[#This Row],[New deaths]]))</f>
        <v>514.89840672579533</v>
      </c>
      <c r="AC31" s="10">
        <f>Tabella2[[#This Row],[New_Deaths_fit]]+CIt</f>
        <v>668.23079835642102</v>
      </c>
      <c r="AD31" s="10">
        <f>MAX(Tabella2[[#This Row],[New_Deaths_fit]]-CIt,0)</f>
        <v>361.56601509516963</v>
      </c>
      <c r="AE31" s="1"/>
      <c r="AF31" s="88" t="s">
        <v>70</v>
      </c>
      <c r="AG31" s="89" t="e">
        <f>_xlfn.XLOOKUP(ROUND(t0d,0),Tabella2[Day],Tabella2[Date])</f>
        <v>#N/A</v>
      </c>
      <c r="AT31" s="79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126">
        <f>(Kn^(1-pn)-(1-pn)*EXP(-(Tabella2[[#This Row],[Day]]-t0n)/wn))^(1/(1-pn))</f>
        <v>42752.529735357864</v>
      </c>
      <c r="H32" s="126">
        <f>(1/wn)*EXP(-(Tabella2[[#This Row],[Day]]-t0n)/wn)*(Tabella2[[#This Row],[Cum_fit]])^pn</f>
        <v>4831.1588739863364</v>
      </c>
      <c r="I32" s="56">
        <f>Tabella2[[#This Row],[New_cases_fit]]*NOT(ISBLANK(Tabella2[[#This Row],[New cases]]))</f>
        <v>4831.1588739863364</v>
      </c>
      <c r="J32" s="10">
        <f>Tabella2[[#This Row],[New_cases_fit]]+CIn</f>
        <v>5993.134025437339</v>
      </c>
      <c r="K32" s="10">
        <f>MAX(Tabella2[[#This Row],[New_cases_fit]]-CIn,0)</f>
        <v>3669.1837225353333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3668.7546658054498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126">
        <f>(Kd^(1-pd)-(1-pd)*EXP(-(Tabella2[[#This Row],[Day]]-t0d)/wd))^(1/(1-pd))</f>
        <v>4517.5519023434545</v>
      </c>
      <c r="S32" s="126">
        <f>(1/wd)*EXP(-(Tabella2[[#This Row],[Day]]-t0d)/wd)*(Tabella2[[#This Row],[Cum_R_fit]])^pd</f>
        <v>601.55634075941271</v>
      </c>
      <c r="T32" s="60">
        <f>Tabella2[[#This Row],[New_Recovered_fit]]*NOT(ISBLANK(Tabella2[[#This Row],[New recovered]]))</f>
        <v>601.55634075941271</v>
      </c>
      <c r="U32" s="10">
        <f>Tabella2[[#This Row],[New_Recovered_fit]]+CId</f>
        <v>1181.6735364126182</v>
      </c>
      <c r="V32" s="10">
        <f>MAX(Tabella2[[#This Row],[New_Recovered_fit]]-CId,0)</f>
        <v>21.439145106207206</v>
      </c>
      <c r="W32" s="10">
        <f>'dpc-covid19-ita-andamento-naz'!K26</f>
        <v>3405</v>
      </c>
      <c r="X32" s="26">
        <f>Tabella2[[#This Row],[Cum_deaths]]-W31</f>
        <v>427</v>
      </c>
      <c r="Y32" s="64">
        <f>Tabella2[[#This Row],[New deaths]]*NOT(ISBLANK(Tabella2[[#This Row],[New deaths]]))</f>
        <v>427</v>
      </c>
      <c r="Z32" s="126">
        <f>(Kt^(1-pt)-(1-pt)*EXP(-(Tabella2[[#This Row],[Day]]-t0t)/wt))^(1/(1-pt))</f>
        <v>3605.9709209272405</v>
      </c>
      <c r="AA32" s="10">
        <f>(1/wt)*EXP(-(Tabella2[[#This Row],[Day]]-t0t)/wt)*(Tabella2[[#This Row],[Cum_D_fit]])^pt</f>
        <v>560.84786742147367</v>
      </c>
      <c r="AB32" s="64">
        <f>Tabella2[[#This Row],[New_Deaths_fit]]*NOT(ISBLANK(Tabella2[[#This Row],[New deaths]]))</f>
        <v>560.84786742147367</v>
      </c>
      <c r="AC32" s="10">
        <f>Tabella2[[#This Row],[New_Deaths_fit]]+CIt</f>
        <v>714.18025905209936</v>
      </c>
      <c r="AD32" s="10">
        <f>MAX(Tabella2[[#This Row],[New_Deaths_fit]]-CIt,0)</f>
        <v>407.51547579084797</v>
      </c>
      <c r="AE32" s="1"/>
      <c r="AF32" s="103" t="s">
        <v>114</v>
      </c>
      <c r="AG32" s="105">
        <f>pr</f>
        <v>0.84263401125243209</v>
      </c>
      <c r="AT32" s="79"/>
    </row>
    <row r="33" spans="2:46" ht="15" thickBot="1" x14ac:dyDescent="0.35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126">
        <f>(Kn^(1-pn)-(1-pn)*EXP(-(Tabella2[[#This Row],[Day]]-t0n)/wn))^(1/(1-pn))</f>
        <v>47677.194108563177</v>
      </c>
      <c r="H33" s="126">
        <f>(1/wn)*EXP(-(Tabella2[[#This Row],[Day]]-t0n)/wn)*(Tabella2[[#This Row],[Cum_fit]])^pn</f>
        <v>5012.8445600823879</v>
      </c>
      <c r="I33" s="56">
        <f>Tabella2[[#This Row],[New_cases_fit]]*NOT(ISBLANK(Tabella2[[#This Row],[New cases]]))</f>
        <v>5012.8445600823879</v>
      </c>
      <c r="J33" s="10">
        <f>Tabella2[[#This Row],[New_cases_fit]]+CIn</f>
        <v>6174.8197115333915</v>
      </c>
      <c r="K33" s="10">
        <f>MAX(Tabella2[[#This Row],[New_cases_fit]]-CIn,0)</f>
        <v>3850.8694086313849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3755.666578802181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126">
        <f>(Kd^(1-pd)-(1-pd)*EXP(-(Tabella2[[#This Row],[Day]]-t0d)/wd))^(1/(1-pd))</f>
        <v>5144.977227200834</v>
      </c>
      <c r="S33" s="126">
        <f>(1/wd)*EXP(-(Tabella2[[#This Row],[Day]]-t0d)/wd)*(Tabella2[[#This Row],[Cum_R_fit]])^pd</f>
        <v>653.46886669009575</v>
      </c>
      <c r="T33" s="60">
        <f>Tabella2[[#This Row],[New_Recovered_fit]]*NOT(ISBLANK(Tabella2[[#This Row],[New recovered]]))</f>
        <v>653.46886669009575</v>
      </c>
      <c r="U33" s="10">
        <f>Tabella2[[#This Row],[New_Recovered_fit]]+CId</f>
        <v>1233.5860623433014</v>
      </c>
      <c r="V33" s="10">
        <f>MAX(Tabella2[[#This Row],[New_Recovered_fit]]-CId,0)</f>
        <v>73.351671036890252</v>
      </c>
      <c r="W33" s="10">
        <f>'dpc-covid19-ita-andamento-naz'!K27</f>
        <v>4032</v>
      </c>
      <c r="X33" s="26">
        <f>Tabella2[[#This Row],[Cum_deaths]]-W32</f>
        <v>627</v>
      </c>
      <c r="Y33" s="64">
        <f>Tabella2[[#This Row],[New deaths]]*NOT(ISBLANK(Tabella2[[#This Row],[New deaths]]))</f>
        <v>627</v>
      </c>
      <c r="Z33" s="126">
        <f>(Kt^(1-pt)-(1-pt)*EXP(-(Tabella2[[#This Row],[Day]]-t0t)/wt))^(1/(1-pt))</f>
        <v>4188.5390802059183</v>
      </c>
      <c r="AA33" s="10">
        <f>(1/wt)*EXP(-(Tabella2[[#This Row],[Day]]-t0t)/wt)*(Tabella2[[#This Row],[Cum_D_fit]])^pt</f>
        <v>603.70911459011154</v>
      </c>
      <c r="AB33" s="64">
        <f>Tabella2[[#This Row],[New_Deaths_fit]]*NOT(ISBLANK(Tabella2[[#This Row],[New deaths]]))</f>
        <v>603.70911459011154</v>
      </c>
      <c r="AC33" s="10">
        <f>Tabella2[[#This Row],[New_Deaths_fit]]+CIt</f>
        <v>757.04150622073723</v>
      </c>
      <c r="AD33" s="10">
        <f>MAX(Tabella2[[#This Row],[New_Deaths_fit]]-CIt,0)</f>
        <v>450.37672295948585</v>
      </c>
      <c r="AE33" s="1"/>
      <c r="AF33" s="23" t="s">
        <v>53</v>
      </c>
      <c r="AG33" s="68" t="s">
        <v>96</v>
      </c>
      <c r="AT33" s="80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126">
        <f>(Kn^(1-pn)-(1-pn)*EXP(-(Tabella2[[#This Row],[Day]]-t0n)/wn))^(1/(1-pn))</f>
        <v>52767.40132828791</v>
      </c>
      <c r="H34" s="126">
        <f>(1/wn)*EXP(-(Tabella2[[#This Row],[Day]]-t0n)/wn)*(Tabella2[[#This Row],[Cum_fit]])^pn</f>
        <v>5162.1037483613136</v>
      </c>
      <c r="I34" s="56">
        <f>Tabella2[[#This Row],[New_cases_fit]]*NOT(ISBLANK(Tabella2[[#This Row],[New cases]]))</f>
        <v>5162.1037483613136</v>
      </c>
      <c r="J34" s="10">
        <f>Tabella2[[#This Row],[New_cases_fit]]+CIn</f>
        <v>6324.0788998123171</v>
      </c>
      <c r="K34" s="10">
        <f>MAX(Tabella2[[#This Row],[New_cases_fit]]-CIn,0)</f>
        <v>4000.1285969103105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3813.0337766127927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126">
        <f>(Kd^(1-pd)-(1-pd)*EXP(-(Tabella2[[#This Row],[Day]]-t0d)/wd))^(1/(1-pd))</f>
        <v>5824.8001776514993</v>
      </c>
      <c r="S34" s="126">
        <f>(1/wd)*EXP(-(Tabella2[[#This Row],[Day]]-t0d)/wd)*(Tabella2[[#This Row],[Cum_R_fit]])^pd</f>
        <v>706.31299440669306</v>
      </c>
      <c r="T34" s="60">
        <f>Tabella2[[#This Row],[New_Recovered_fit]]*NOT(ISBLANK(Tabella2[[#This Row],[New recovered]]))</f>
        <v>706.31299440669306</v>
      </c>
      <c r="U34" s="10">
        <f>Tabella2[[#This Row],[New_Recovered_fit]]+CId</f>
        <v>1286.4301900598985</v>
      </c>
      <c r="V34" s="10">
        <f>MAX(Tabella2[[#This Row],[New_Recovered_fit]]-CId,0)</f>
        <v>126.19579875348757</v>
      </c>
      <c r="W34" s="10">
        <f>'dpc-covid19-ita-andamento-naz'!K28</f>
        <v>4825</v>
      </c>
      <c r="X34" s="26">
        <f>Tabella2[[#This Row],[Cum_deaths]]-W33</f>
        <v>793</v>
      </c>
      <c r="Y34" s="64">
        <f>Tabella2[[#This Row],[New deaths]]*NOT(ISBLANK(Tabella2[[#This Row],[New deaths]]))</f>
        <v>793</v>
      </c>
      <c r="Z34" s="126">
        <f>(Kt^(1-pt)-(1-pt)*EXP(-(Tabella2[[#This Row],[Day]]-t0t)/wt))^(1/(1-pt))</f>
        <v>4812.1164094358919</v>
      </c>
      <c r="AA34" s="10">
        <f>(1/wt)*EXP(-(Tabella2[[#This Row],[Day]]-t0t)/wt)*(Tabella2[[#This Row],[Cum_D_fit]])^pt</f>
        <v>642.75697734182779</v>
      </c>
      <c r="AB34" s="64">
        <f>Tabella2[[#This Row],[New_Deaths_fit]]*NOT(ISBLANK(Tabella2[[#This Row],[New deaths]]))</f>
        <v>642.75697734182779</v>
      </c>
      <c r="AC34" s="10">
        <f>Tabella2[[#This Row],[New_Deaths_fit]]+CIt</f>
        <v>796.08936897245349</v>
      </c>
      <c r="AD34" s="10">
        <f>MAX(Tabella2[[#This Row],[New_Deaths_fit]]-CIt,0)</f>
        <v>489.4245857112021</v>
      </c>
      <c r="AE34" s="1"/>
      <c r="AF34" s="69" t="s">
        <v>0</v>
      </c>
      <c r="AG34" s="90">
        <f>Kh</f>
        <v>27860.328992869359</v>
      </c>
    </row>
    <row r="35" spans="2:46" ht="15.6" x14ac:dyDescent="0.35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126">
        <f>(Kn^(1-pn)-(1-pn)*EXP(-(Tabella2[[#This Row],[Day]]-t0n)/wn))^(1/(1-pn))</f>
        <v>57990.429231404189</v>
      </c>
      <c r="H35" s="126">
        <f>(1/wn)*EXP(-(Tabella2[[#This Row],[Day]]-t0n)/wn)*(Tabella2[[#This Row],[Cum_fit]])^pn</f>
        <v>5278.46934790663</v>
      </c>
      <c r="I35" s="56">
        <f>Tabella2[[#This Row],[New_cases_fit]]*NOT(ISBLANK(Tabella2[[#This Row],[New cases]]))</f>
        <v>5278.46934790663</v>
      </c>
      <c r="J35" s="10">
        <f>Tabella2[[#This Row],[New_cases_fit]]+CIn</f>
        <v>6440.4444993576326</v>
      </c>
      <c r="K35" s="10">
        <f>MAX(Tabella2[[#This Row],[New_cases_fit]]-CIn,0)</f>
        <v>4116.4941964556274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3841.2018423108229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126">
        <f>(Kd^(1-pd)-(1-pd)*EXP(-(Tabella2[[#This Row],[Day]]-t0d)/wd))^(1/(1-pd))</f>
        <v>6557.8365605309446</v>
      </c>
      <c r="S35" s="126">
        <f>(1/wd)*EXP(-(Tabella2[[#This Row],[Day]]-t0d)/wd)*(Tabella2[[#This Row],[Cum_R_fit]])^pd</f>
        <v>759.85720848615381</v>
      </c>
      <c r="T35" s="60">
        <f>Tabella2[[#This Row],[New_Recovered_fit]]*NOT(ISBLANK(Tabella2[[#This Row],[New recovered]]))</f>
        <v>759.85720848615381</v>
      </c>
      <c r="U35" s="10">
        <f>Tabella2[[#This Row],[New_Recovered_fit]]+CId</f>
        <v>1339.9744041393592</v>
      </c>
      <c r="V35" s="10">
        <f>MAX(Tabella2[[#This Row],[New_Recovered_fit]]-CId,0)</f>
        <v>179.74001283294831</v>
      </c>
      <c r="W35" s="10">
        <f>'dpc-covid19-ita-andamento-naz'!K29</f>
        <v>5476</v>
      </c>
      <c r="X35" s="26">
        <f>Tabella2[[#This Row],[Cum_deaths]]-W34</f>
        <v>651</v>
      </c>
      <c r="Y35" s="64">
        <f>Tabella2[[#This Row],[New deaths]]*NOT(ISBLANK(Tabella2[[#This Row],[New deaths]]))</f>
        <v>651</v>
      </c>
      <c r="Z35" s="126">
        <f>(Kt^(1-pt)-(1-pt)*EXP(-(Tabella2[[#This Row],[Day]]-t0t)/wt))^(1/(1-pt))</f>
        <v>5472.5864915667798</v>
      </c>
      <c r="AA35" s="10">
        <f>(1/wt)*EXP(-(Tabella2[[#This Row],[Day]]-t0t)/wt)*(Tabella2[[#This Row],[Cum_D_fit]])^pt</f>
        <v>677.41029710965358</v>
      </c>
      <c r="AB35" s="64">
        <f>Tabella2[[#This Row],[New_Deaths_fit]]*NOT(ISBLANK(Tabella2[[#This Row],[New deaths]]))</f>
        <v>677.41029710965358</v>
      </c>
      <c r="AC35" s="10">
        <f>Tabella2[[#This Row],[New_Deaths_fit]]+CIt</f>
        <v>830.74268874027928</v>
      </c>
      <c r="AD35" s="10">
        <f>MAX(Tabella2[[#This Row],[New_Deaths_fit]]-CIt,0)</f>
        <v>524.07790547902789</v>
      </c>
      <c r="AF35" s="69" t="s">
        <v>86</v>
      </c>
      <c r="AG35" s="70">
        <f>t0h</f>
        <v>33.489988631215851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126">
        <f>(Kn^(1-pn)-(1-pn)*EXP(-(Tabella2[[#This Row],[Day]]-t0n)/wn))^(1/(1-pn))</f>
        <v>63313.447711714347</v>
      </c>
      <c r="H36" s="126">
        <f>(1/wn)*EXP(-(Tabella2[[#This Row],[Day]]-t0n)/wn)*(Tabella2[[#This Row],[Cum_fit]])^pn</f>
        <v>5362.1784997632221</v>
      </c>
      <c r="I36" s="56">
        <f>Tabella2[[#This Row],[New_cases_fit]]*NOT(ISBLANK(Tabella2[[#This Row],[New cases]]))</f>
        <v>5362.1784997632221</v>
      </c>
      <c r="J36" s="10">
        <f>Tabella2[[#This Row],[New_cases_fit]]+CIn</f>
        <v>6524.1536512142247</v>
      </c>
      <c r="K36" s="10">
        <f>MAX(Tabella2[[#This Row],[New_cases_fit]]-CIn,0)</f>
        <v>4200.2033483122195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3841.0674079720748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126">
        <f>(Kd^(1-pd)-(1-pd)*EXP(-(Tabella2[[#This Row],[Day]]-t0d)/wd))^(1/(1-pd))</f>
        <v>7344.6712632510998</v>
      </c>
      <c r="S36" s="126">
        <f>(1/wd)*EXP(-(Tabella2[[#This Row],[Day]]-t0d)/wd)*(Tabella2[[#This Row],[Cum_R_fit]])^pd</f>
        <v>813.87155037313676</v>
      </c>
      <c r="T36" s="60">
        <f>Tabella2[[#This Row],[New_Recovered_fit]]*NOT(ISBLANK(Tabella2[[#This Row],[New recovered]]))</f>
        <v>813.87155037313676</v>
      </c>
      <c r="U36" s="10">
        <f>Tabella2[[#This Row],[New_Recovered_fit]]+CId</f>
        <v>1393.9887460263421</v>
      </c>
      <c r="V36" s="10">
        <f>MAX(Tabella2[[#This Row],[New_Recovered_fit]]-CId,0)</f>
        <v>233.75435471993126</v>
      </c>
      <c r="W36" s="10">
        <f>'dpc-covid19-ita-andamento-naz'!K30</f>
        <v>6077</v>
      </c>
      <c r="X36" s="26">
        <f>Tabella2[[#This Row],[Cum_deaths]]-W35</f>
        <v>601</v>
      </c>
      <c r="Y36" s="64">
        <f>Tabella2[[#This Row],[New deaths]]*NOT(ISBLANK(Tabella2[[#This Row],[New deaths]]))</f>
        <v>601</v>
      </c>
      <c r="Z36" s="126">
        <f>(Kt^(1-pt)-(1-pt)*EXP(-(Tabella2[[#This Row],[Day]]-t0t)/wt))^(1/(1-pt))</f>
        <v>6165.3272913600395</v>
      </c>
      <c r="AA36" s="10">
        <f>(1/wt)*EXP(-(Tabella2[[#This Row],[Day]]-t0t)/wt)*(Tabella2[[#This Row],[Cum_D_fit]])^pt</f>
        <v>707.23954141801096</v>
      </c>
      <c r="AB36" s="64">
        <f>Tabella2[[#This Row],[New_Deaths_fit]]*NOT(ISBLANK(Tabella2[[#This Row],[New deaths]]))</f>
        <v>707.23954141801096</v>
      </c>
      <c r="AC36" s="10">
        <f>Tabella2[[#This Row],[New_Deaths_fit]]+CIt</f>
        <v>860.57193304863665</v>
      </c>
      <c r="AD36" s="10">
        <f>MAX(Tabella2[[#This Row],[New_Deaths_fit]]-CIt,0)</f>
        <v>553.90714978738526</v>
      </c>
      <c r="AF36" s="69" t="s">
        <v>1</v>
      </c>
      <c r="AG36" s="70">
        <f>wh</f>
        <v>13.154878533760064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126">
        <f>(Kn^(1-pn)-(1-pn)*EXP(-(Tabella2[[#This Row],[Day]]-t0n)/wn))^(1/(1-pn))</f>
        <v>68704.178648976085</v>
      </c>
      <c r="H37" s="126">
        <f>(1/wn)*EXP(-(Tabella2[[#This Row],[Day]]-t0n)/wn)*(Tabella2[[#This Row],[Cum_fit]])^pn</f>
        <v>5414.0820865722981</v>
      </c>
      <c r="I37" s="56">
        <f>Tabella2[[#This Row],[New_cases_fit]]*NOT(ISBLANK(Tabella2[[#This Row],[New cases]]))</f>
        <v>5414.0820865722981</v>
      </c>
      <c r="J37" s="10">
        <f>Tabella2[[#This Row],[New_cases_fit]]+CIn</f>
        <v>6576.0572380233007</v>
      </c>
      <c r="K37" s="10">
        <f>MAX(Tabella2[[#This Row],[New_cases_fit]]-CIn,0)</f>
        <v>4252.1069351212955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3813.9861826319407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126">
        <f>(Kd^(1-pd)-(1-pd)*EXP(-(Tabella2[[#This Row],[Day]]-t0d)/wd))^(1/(1-pd))</f>
        <v>8185.6608665796948</v>
      </c>
      <c r="S37" s="126">
        <f>(1/wd)*EXP(-(Tabella2[[#This Row],[Day]]-t0d)/wd)*(Tabella2[[#This Row],[Cum_R_fit]])^pd</f>
        <v>868.12969140624432</v>
      </c>
      <c r="T37" s="60">
        <f>Tabella2[[#This Row],[New_Recovered_fit]]*NOT(ISBLANK(Tabella2[[#This Row],[New recovered]]))</f>
        <v>868.12969140624432</v>
      </c>
      <c r="U37" s="10">
        <f>Tabella2[[#This Row],[New_Recovered_fit]]+CId</f>
        <v>1448.2468870594498</v>
      </c>
      <c r="V37" s="10">
        <f>MAX(Tabella2[[#This Row],[New_Recovered_fit]]-CId,0)</f>
        <v>288.01249575303882</v>
      </c>
      <c r="W37" s="10">
        <f>'dpc-covid19-ita-andamento-naz'!K31</f>
        <v>6820</v>
      </c>
      <c r="X37" s="26">
        <f>Tabella2[[#This Row],[Cum_deaths]]-W36</f>
        <v>743</v>
      </c>
      <c r="Y37" s="64">
        <f>Tabella2[[#This Row],[New deaths]]*NOT(ISBLANK(Tabella2[[#This Row],[New deaths]]))</f>
        <v>743</v>
      </c>
      <c r="Z37" s="126">
        <f>(Kt^(1-pt)-(1-pt)*EXP(-(Tabella2[[#This Row],[Day]]-t0t)/wt))^(1/(1-pt))</f>
        <v>6885.3631133985109</v>
      </c>
      <c r="AA37" s="10">
        <f>(1/wt)*EXP(-(Tabella2[[#This Row],[Day]]-t0t)/wt)*(Tabella2[[#This Row],[Cum_D_fit]])^pt</f>
        <v>731.96621253411342</v>
      </c>
      <c r="AB37" s="64">
        <f>Tabella2[[#This Row],[New_Deaths_fit]]*NOT(ISBLANK(Tabella2[[#This Row],[New deaths]]))</f>
        <v>731.96621253411342</v>
      </c>
      <c r="AC37" s="10">
        <f>Tabella2[[#This Row],[New_Deaths_fit]]+CIt</f>
        <v>885.29860416473912</v>
      </c>
      <c r="AD37" s="10">
        <f>MAX(Tabella2[[#This Row],[New_Deaths_fit]]-CIt,0)</f>
        <v>578.63382090348773</v>
      </c>
      <c r="AF37" s="71" t="s">
        <v>2</v>
      </c>
      <c r="AG37" s="35">
        <f>AVERAGE(Tabella2[New deaths])</f>
        <v>424.27450980392155</v>
      </c>
    </row>
    <row r="38" spans="2:46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126">
        <f>(Kn^(1-pn)-(1-pn)*EXP(-(Tabella2[[#This Row],[Day]]-t0n)/wn))^(1/(1-pn))</f>
        <v>74131.460781856833</v>
      </c>
      <c r="H38" s="126">
        <f>(1/wn)*EXP(-(Tabella2[[#This Row],[Day]]-t0n)/wn)*(Tabella2[[#This Row],[Cum_fit]])^pn</f>
        <v>5435.5461649926592</v>
      </c>
      <c r="I38" s="56">
        <f>Tabella2[[#This Row],[New_cases_fit]]*NOT(ISBLANK(Tabella2[[#This Row],[New cases]]))</f>
        <v>5435.5461649926592</v>
      </c>
      <c r="J38" s="10">
        <f>Tabella2[[#This Row],[New_cases_fit]]+CIn</f>
        <v>6597.5213164436627</v>
      </c>
      <c r="K38" s="10">
        <f>MAX(Tabella2[[#This Row],[New_cases_fit]]-CIn,0)</f>
        <v>4273.5710135416557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3761.6798987891289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126">
        <f>(Kd^(1-pd)-(1-pd)*EXP(-(Tabella2[[#This Row],[Day]]-t0d)/wd))^(1/(1-pd))</f>
        <v>9080.9382137809152</v>
      </c>
      <c r="S38" s="126">
        <f>(1/wd)*EXP(-(Tabella2[[#This Row],[Day]]-t0d)/wd)*(Tabella2[[#This Row],[Cum_R_fit]])^pd</f>
        <v>922.41077239370554</v>
      </c>
      <c r="T38" s="60">
        <f>Tabella2[[#This Row],[New_Recovered_fit]]*NOT(ISBLANK(Tabella2[[#This Row],[New recovered]]))</f>
        <v>922.41077239370554</v>
      </c>
      <c r="U38" s="10">
        <f>Tabella2[[#This Row],[New_Recovered_fit]]+CId</f>
        <v>1502.5279680469112</v>
      </c>
      <c r="V38" s="10">
        <f>MAX(Tabella2[[#This Row],[New_Recovered_fit]]-CId,0)</f>
        <v>342.29357674050004</v>
      </c>
      <c r="W38" s="10">
        <f>'dpc-covid19-ita-andamento-naz'!K32</f>
        <v>7503</v>
      </c>
      <c r="X38" s="26">
        <f>Tabella2[[#This Row],[Cum_deaths]]-W37</f>
        <v>683</v>
      </c>
      <c r="Y38" s="64">
        <f>Tabella2[[#This Row],[New deaths]]*NOT(ISBLANK(Tabella2[[#This Row],[New deaths]]))</f>
        <v>683</v>
      </c>
      <c r="Z38" s="126">
        <f>(Kt^(1-pt)-(1-pt)*EXP(-(Tabella2[[#This Row],[Day]]-t0t)/wt))^(1/(1-pt))</f>
        <v>7627.5124576785456</v>
      </c>
      <c r="AA38" s="10">
        <f>(1/wt)*EXP(-(Tabella2[[#This Row],[Day]]-t0t)/wt)*(Tabella2[[#This Row],[Cum_D_fit]])^pt</f>
        <v>751.45549380982436</v>
      </c>
      <c r="AB38" s="64">
        <f>Tabella2[[#This Row],[New_Deaths_fit]]*NOT(ISBLANK(Tabella2[[#This Row],[New deaths]]))</f>
        <v>751.45549380982436</v>
      </c>
      <c r="AC38" s="10">
        <f>Tabella2[[#This Row],[New_Deaths_fit]]+CIt</f>
        <v>904.78788544045005</v>
      </c>
      <c r="AD38" s="10">
        <f>MAX(Tabella2[[#This Row],[New_Deaths_fit]]-CIt,0)</f>
        <v>598.12310217919867</v>
      </c>
      <c r="AF38" s="71" t="s">
        <v>3</v>
      </c>
      <c r="AG38" s="35">
        <f>COUNT(Tabella2[New deaths])-COUNT(AG34:AG36,pt)</f>
        <v>47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126">
        <f>(Kn^(1-pn)-(1-pn)*EXP(-(Tabella2[[#This Row],[Day]]-t0n)/wn))^(1/(1-pn))</f>
        <v>79565.714435012909</v>
      </c>
      <c r="H39" s="126">
        <f>(1/wn)*EXP(-(Tabella2[[#This Row],[Day]]-t0n)/wn)*(Tabella2[[#This Row],[Cum_fit]])^pn</f>
        <v>5428.3511164309921</v>
      </c>
      <c r="I39" s="56">
        <f>Tabella2[[#This Row],[New_cases_fit]]*NOT(ISBLANK(Tabella2[[#This Row],[New cases]]))</f>
        <v>5428.3511164309921</v>
      </c>
      <c r="J39" s="10">
        <f>Tabella2[[#This Row],[New_cases_fit]]+CIn</f>
        <v>6590.3262678819956</v>
      </c>
      <c r="K39" s="10">
        <f>MAX(Tabella2[[#This Row],[New_cases_fit]]-CIn,0)</f>
        <v>4266.3759649799886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3686.1463645638992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126">
        <f>(Kd^(1-pd)-(1-pd)*EXP(-(Tabella2[[#This Row],[Day]]-t0d)/wd))^(1/(1-pd))</f>
        <v>10030.418703026955</v>
      </c>
      <c r="S39" s="126">
        <f>(1/wd)*EXP(-(Tabella2[[#This Row],[Day]]-t0d)/wd)*(Tabella2[[#This Row],[Cum_R_fit]])^pd</f>
        <v>976.50101115284031</v>
      </c>
      <c r="T39" s="60">
        <f>Tabella2[[#This Row],[New_Recovered_fit]]*NOT(ISBLANK(Tabella2[[#This Row],[New recovered]]))</f>
        <v>976.50101115284031</v>
      </c>
      <c r="U39" s="10">
        <f>Tabella2[[#This Row],[New_Recovered_fit]]+CId</f>
        <v>1556.6182068060457</v>
      </c>
      <c r="V39" s="10">
        <f>MAX(Tabella2[[#This Row],[New_Recovered_fit]]-CId,0)</f>
        <v>396.38381549963481</v>
      </c>
      <c r="W39" s="10">
        <f>'dpc-covid19-ita-andamento-naz'!K33</f>
        <v>8165</v>
      </c>
      <c r="X39" s="26">
        <f>Tabella2[[#This Row],[Cum_deaths]]-W38</f>
        <v>662</v>
      </c>
      <c r="Y39" s="64">
        <f>Tabella2[[#This Row],[New deaths]]*NOT(ISBLANK(Tabella2[[#This Row],[New deaths]]))</f>
        <v>662</v>
      </c>
      <c r="Z39" s="126">
        <f>(Kt^(1-pt)-(1-pt)*EXP(-(Tabella2[[#This Row],[Day]]-t0t)/wt))^(1/(1-pt))</f>
        <v>8386.5258078288516</v>
      </c>
      <c r="AA39" s="10">
        <f>(1/wt)*EXP(-(Tabella2[[#This Row],[Day]]-t0t)/wt)*(Tabella2[[#This Row],[Cum_D_fit]])^pt</f>
        <v>765.70374071425306</v>
      </c>
      <c r="AB39" s="64">
        <f>Tabella2[[#This Row],[New_Deaths_fit]]*NOT(ISBLANK(Tabella2[[#This Row],[New deaths]]))</f>
        <v>765.70374071425306</v>
      </c>
      <c r="AC39" s="10">
        <f>Tabella2[[#This Row],[New_Deaths_fit]]+CIt</f>
        <v>919.03613234487875</v>
      </c>
      <c r="AD39" s="10">
        <f>MAX(Tabella2[[#This Row],[New_Deaths_fit]]-CIt,0)</f>
        <v>612.37134908362736</v>
      </c>
      <c r="AF39" s="71" t="s">
        <v>4</v>
      </c>
      <c r="AG39" s="72" cm="1">
        <f t="array" ref="AG39">SQRT(SUM((Tabella2[Colonna5]-Tabella2[Colonna6])^2)/dft)</f>
        <v>76.218772045479895</v>
      </c>
    </row>
    <row r="40" spans="2:46" ht="16.2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126">
        <f>(Kn^(1-pn)-(1-pn)*EXP(-(Tabella2[[#This Row],[Day]]-t0n)/wn))^(1/(1-pn))</f>
        <v>84979.306253203031</v>
      </c>
      <c r="H40" s="126">
        <f>(1/wn)*EXP(-(Tabella2[[#This Row],[Day]]-t0n)/wn)*(Tabella2[[#This Row],[Cum_fit]])^pn</f>
        <v>5394.5931948337584</v>
      </c>
      <c r="I40" s="56">
        <f>Tabella2[[#This Row],[New_cases_fit]]*NOT(ISBLANK(Tabella2[[#This Row],[New cases]]))</f>
        <v>5394.5931948337584</v>
      </c>
      <c r="J40" s="10">
        <f>Tabella2[[#This Row],[New_cases_fit]]+CIn</f>
        <v>6556.568346284761</v>
      </c>
      <c r="K40" s="10">
        <f>MAX(Tabella2[[#This Row],[New_cases_fit]]-CIn,0)</f>
        <v>4232.6180433827558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3589.5756889937202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126">
        <f>(Kd^(1-pd)-(1-pd)*EXP(-(Tabella2[[#This Row],[Day]]-t0d)/wd))^(1/(1-pd))</f>
        <v>11033.808073351453</v>
      </c>
      <c r="S40" s="126">
        <f>(1/wd)*EXP(-(Tabella2[[#This Row],[Day]]-t0d)/wd)*(Tabella2[[#This Row],[Cum_R_fit]])^pd</f>
        <v>1030.1950831900908</v>
      </c>
      <c r="T40" s="60">
        <f>Tabella2[[#This Row],[New_Recovered_fit]]*NOT(ISBLANK(Tabella2[[#This Row],[New recovered]]))</f>
        <v>1030.1950831900908</v>
      </c>
      <c r="U40" s="10">
        <f>Tabella2[[#This Row],[New_Recovered_fit]]+CId</f>
        <v>1610.3122788432963</v>
      </c>
      <c r="V40" s="10">
        <f>MAX(Tabella2[[#This Row],[New_Recovered_fit]]-CId,0)</f>
        <v>450.07788753688533</v>
      </c>
      <c r="W40" s="10">
        <f>'dpc-covid19-ita-andamento-naz'!K34</f>
        <v>9134</v>
      </c>
      <c r="X40" s="26">
        <f>Tabella2[[#This Row],[Cum_deaths]]-W39</f>
        <v>969</v>
      </c>
      <c r="Y40" s="64">
        <f>Tabella2[[#This Row],[New deaths]]*NOT(ISBLANK(Tabella2[[#This Row],[New deaths]]))</f>
        <v>969</v>
      </c>
      <c r="Z40" s="126">
        <f>(Kt^(1-pt)-(1-pt)*EXP(-(Tabella2[[#This Row],[Day]]-t0t)/wt))^(1/(1-pt))</f>
        <v>9157.2090054616601</v>
      </c>
      <c r="AA40" s="10">
        <f>(1/wt)*EXP(-(Tabella2[[#This Row],[Day]]-t0t)/wt)*(Tabella2[[#This Row],[Cum_D_fit]])^pt</f>
        <v>774.82242264994784</v>
      </c>
      <c r="AB40" s="64">
        <f>Tabella2[[#This Row],[New_Deaths_fit]]*NOT(ISBLANK(Tabella2[[#This Row],[New deaths]]))</f>
        <v>774.82242264994784</v>
      </c>
      <c r="AC40" s="10">
        <f>Tabella2[[#This Row],[New_Deaths_fit]]+CIt</f>
        <v>928.15481428057353</v>
      </c>
      <c r="AD40" s="10">
        <f>MAX(Tabella2[[#This Row],[New_Deaths_fit]]-CIt,0)</f>
        <v>621.49003101932215</v>
      </c>
      <c r="AF40" s="71" t="s">
        <v>87</v>
      </c>
      <c r="AG40" s="73" cm="1">
        <f t="array" ref="AG40">1-SUM((Tabella2[Colonna5]-Tabella2[Colonna6])^2)/SUM((Tabella2[Colonna5]-Mean_of_yt)^2)</f>
        <v>0.96644282959119976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126">
        <f>(Kn^(1-pn)-(1-pn)*EXP(-(Tabella2[[#This Row],[Day]]-t0n)/wn))^(1/(1-pn))</f>
        <v>90346.81820593767</v>
      </c>
      <c r="H41" s="126">
        <f>(1/wn)*EXP(-(Tabella2[[#This Row],[Day]]-t0n)/wn)*(Tabella2[[#This Row],[Cum_fit]])^pn</f>
        <v>5336.5920199631682</v>
      </c>
      <c r="I41" s="56">
        <f>Tabella2[[#This Row],[New_cases_fit]]*NOT(ISBLANK(Tabella2[[#This Row],[New cases]]))</f>
        <v>5336.5920199631682</v>
      </c>
      <c r="J41" s="10">
        <f>Tabella2[[#This Row],[New_cases_fit]]+CIn</f>
        <v>6498.5671714141718</v>
      </c>
      <c r="K41" s="10">
        <f>MAX(Tabella2[[#This Row],[New_cases_fit]]-CIn,0)</f>
        <v>4174.6168685121647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3474.2747365971932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126">
        <f>(Kd^(1-pd)-(1-pd)*EXP(-(Tabella2[[#This Row],[Day]]-t0d)/wd))^(1/(1-pd))</f>
        <v>12090.611461157037</v>
      </c>
      <c r="S41" s="126">
        <f>(1/wd)*EXP(-(Tabella2[[#This Row],[Day]]-t0d)/wd)*(Tabella2[[#This Row],[Cum_R_fit]])^pd</f>
        <v>1083.2972837067366</v>
      </c>
      <c r="T41" s="60">
        <f>Tabella2[[#This Row],[New_Recovered_fit]]*NOT(ISBLANK(Tabella2[[#This Row],[New recovered]]))</f>
        <v>1083.2972837067366</v>
      </c>
      <c r="U41" s="10">
        <f>Tabella2[[#This Row],[New_Recovered_fit]]+CId</f>
        <v>1663.4144793599421</v>
      </c>
      <c r="V41" s="10">
        <f>MAX(Tabella2[[#This Row],[New_Recovered_fit]]-CId,0)</f>
        <v>503.18008805353111</v>
      </c>
      <c r="W41" s="10">
        <f>'dpc-covid19-ita-andamento-naz'!K35</f>
        <v>10023</v>
      </c>
      <c r="X41" s="26">
        <f>Tabella2[[#This Row],[Cum_deaths]]-W40</f>
        <v>889</v>
      </c>
      <c r="Y41" s="64">
        <f>Tabella2[[#This Row],[New deaths]]*NOT(ISBLANK(Tabella2[[#This Row],[New deaths]]))</f>
        <v>889</v>
      </c>
      <c r="Z41" s="126">
        <f>(Kt^(1-pt)-(1-pt)*EXP(-(Tabella2[[#This Row],[Day]]-t0t)/wt))^(1/(1-pt))</f>
        <v>9934.5294175921608</v>
      </c>
      <c r="AA41" s="10">
        <f>(1/wt)*EXP(-(Tabella2[[#This Row],[Day]]-t0t)/wt)*(Tabella2[[#This Row],[Cum_D_fit]])^pt</f>
        <v>779.01999965923881</v>
      </c>
      <c r="AB41" s="64">
        <f>Tabella2[[#This Row],[New_Deaths_fit]]*NOT(ISBLANK(Tabella2[[#This Row],[New deaths]]))</f>
        <v>779.01999965923881</v>
      </c>
      <c r="AC41" s="10">
        <f>Tabella2[[#This Row],[New_Deaths_fit]]+CIt</f>
        <v>932.3523912898645</v>
      </c>
      <c r="AD41" s="10">
        <f>MAX(Tabella2[[#This Row],[New_Deaths_fit]]-CIt,0)</f>
        <v>625.68760802861311</v>
      </c>
      <c r="AF41" s="71" t="s">
        <v>6</v>
      </c>
      <c r="AG41" s="73">
        <f>TINV(0.05,dft)</f>
        <v>2.0117405137297668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126">
        <f>(Kn^(1-pn)-(1-pn)*EXP(-(Tabella2[[#This Row],[Day]]-t0n)/wn))^(1/(1-pn))</f>
        <v>95645.228135460246</v>
      </c>
      <c r="H42" s="126">
        <f>(1/wn)*EXP(-(Tabella2[[#This Row],[Day]]-t0n)/wn)*(Tabella2[[#This Row],[Cum_fit]])^pn</f>
        <v>5256.8065021586217</v>
      </c>
      <c r="I42" s="56">
        <f>Tabella2[[#This Row],[New_cases_fit]]*NOT(ISBLANK(Tabella2[[#This Row],[New cases]]))</f>
        <v>5256.8065021586217</v>
      </c>
      <c r="J42" s="10">
        <f>Tabella2[[#This Row],[New_cases_fit]]+CIn</f>
        <v>6418.7816536096252</v>
      </c>
      <c r="K42" s="10">
        <f>MAX(Tabella2[[#This Row],[New_cases_fit]]-CIn,0)</f>
        <v>4094.8313507076186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3342.6010025517821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126">
        <f>(Kd^(1-pd)-(1-pd)*EXP(-(Tabella2[[#This Row],[Day]]-t0d)/wd))^(1/(1-pd))</f>
        <v>13200.143513693851</v>
      </c>
      <c r="S42" s="126">
        <f>(1/wd)*EXP(-(Tabella2[[#This Row],[Day]]-t0d)/wd)*(Tabella2[[#This Row],[Cum_R_fit]])^pd</f>
        <v>1135.6224814515394</v>
      </c>
      <c r="T42" s="60">
        <f>Tabella2[[#This Row],[New_Recovered_fit]]*NOT(ISBLANK(Tabella2[[#This Row],[New recovered]]))</f>
        <v>1135.6224814515394</v>
      </c>
      <c r="U42" s="10">
        <f>Tabella2[[#This Row],[New_Recovered_fit]]+CId</f>
        <v>1715.7396771047449</v>
      </c>
      <c r="V42" s="10">
        <f>MAX(Tabella2[[#This Row],[New_Recovered_fit]]-CId,0)</f>
        <v>555.50528579833394</v>
      </c>
      <c r="W42" s="10">
        <f>'dpc-covid19-ita-andamento-naz'!K36</f>
        <v>10779</v>
      </c>
      <c r="X42" s="26">
        <f>Tabella2[[#This Row],[Cum_deaths]]-W41</f>
        <v>756</v>
      </c>
      <c r="Y42" s="64">
        <f>Tabella2[[#This Row],[New deaths]]*NOT(ISBLANK(Tabella2[[#This Row],[New deaths]]))</f>
        <v>756</v>
      </c>
      <c r="Z42" s="126">
        <f>(Kt^(1-pt)-(1-pt)*EXP(-(Tabella2[[#This Row],[Day]]-t0t)/wt))^(1/(1-pt))</f>
        <v>10713.703492885392</v>
      </c>
      <c r="AA42" s="10">
        <f>(1/wt)*EXP(-(Tabella2[[#This Row],[Day]]-t0t)/wt)*(Tabella2[[#This Row],[Cum_D_fit]])^pt</f>
        <v>778.58301815529956</v>
      </c>
      <c r="AB42" s="64">
        <f>Tabella2[[#This Row],[New_Deaths_fit]]*NOT(ISBLANK(Tabella2[[#This Row],[New deaths]]))</f>
        <v>778.58301815529956</v>
      </c>
      <c r="AC42" s="10">
        <f>Tabella2[[#This Row],[New_Deaths_fit]]+CIt</f>
        <v>931.91540978592525</v>
      </c>
      <c r="AD42" s="10">
        <f>MAX(Tabella2[[#This Row],[New_Deaths_fit]]-CIt,0)</f>
        <v>625.25062652467386</v>
      </c>
      <c r="AF42" s="71" t="s">
        <v>7</v>
      </c>
      <c r="AG42" s="35">
        <f>Critical_tt*SE_of_yt</f>
        <v>153.33239163062572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126">
        <f>(Kn^(1-pn)-(1-pn)*EXP(-(Tabella2[[#This Row],[Day]]-t0n)/wn))^(1/(1-pn))</f>
        <v>100854.01112386584</v>
      </c>
      <c r="H43" s="126">
        <f>(1/wn)*EXP(-(Tabella2[[#This Row],[Day]]-t0n)/wn)*(Tabella2[[#This Row],[Cum_fit]])^pn</f>
        <v>5157.760742401998</v>
      </c>
      <c r="I43" s="56">
        <f>Tabella2[[#This Row],[New_cases_fit]]*NOT(ISBLANK(Tabella2[[#This Row],[New cases]]))</f>
        <v>5157.760742401998</v>
      </c>
      <c r="J43" s="10">
        <f>Tabella2[[#This Row],[New_cases_fit]]+CIn</f>
        <v>6319.7358938530015</v>
      </c>
      <c r="K43" s="10">
        <f>MAX(Tabella2[[#This Row],[New_cases_fit]]-CIn,0)</f>
        <v>3995.7855909509949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3196.9063960267617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126">
        <f>(Kd^(1-pd)-(1-pd)*EXP(-(Tabella2[[#This Row],[Day]]-t0d)/wd))^(1/(1-pd))</f>
        <v>14361.539357366646</v>
      </c>
      <c r="S43" s="126">
        <f>(1/wd)*EXP(-(Tabella2[[#This Row],[Day]]-t0d)/wd)*(Tabella2[[#This Row],[Cum_R_fit]])^pd</f>
        <v>1186.9968766861871</v>
      </c>
      <c r="T43" s="60">
        <f>Tabella2[[#This Row],[New_Recovered_fit]]*NOT(ISBLANK(Tabella2[[#This Row],[New recovered]]))</f>
        <v>1186.9968766861871</v>
      </c>
      <c r="U43" s="10">
        <f>Tabella2[[#This Row],[New_Recovered_fit]]+CId</f>
        <v>1767.1140723393926</v>
      </c>
      <c r="V43" s="10">
        <f>MAX(Tabella2[[#This Row],[New_Recovered_fit]]-CId,0)</f>
        <v>606.87968103298158</v>
      </c>
      <c r="W43" s="10">
        <f>'dpc-covid19-ita-andamento-naz'!K37</f>
        <v>11591</v>
      </c>
      <c r="X43" s="26">
        <f>Tabella2[[#This Row],[Cum_deaths]]-W42</f>
        <v>812</v>
      </c>
      <c r="Y43" s="64">
        <f>Tabella2[[#This Row],[New deaths]]*NOT(ISBLANK(Tabella2[[#This Row],[New deaths]]))</f>
        <v>812</v>
      </c>
      <c r="Z43" s="126">
        <f>(Kt^(1-pt)-(1-pt)*EXP(-(Tabella2[[#This Row],[Day]]-t0t)/wt))^(1/(1-pt))</f>
        <v>11490.265468636178</v>
      </c>
      <c r="AA43" s="10">
        <f>(1/wt)*EXP(-(Tabella2[[#This Row],[Day]]-t0t)/wt)*(Tabella2[[#This Row],[Cum_D_fit]])^pt</f>
        <v>773.85746968904925</v>
      </c>
      <c r="AB43" s="64">
        <f>Tabella2[[#This Row],[New_Deaths_fit]]*NOT(ISBLANK(Tabella2[[#This Row],[New deaths]]))</f>
        <v>773.85746968904925</v>
      </c>
      <c r="AC43" s="10">
        <f>Tabella2[[#This Row],[New_Deaths_fit]]+CIt</f>
        <v>927.18986131967495</v>
      </c>
      <c r="AD43" s="10">
        <f>MAX(Tabella2[[#This Row],[New_Deaths_fit]]-CIt,0)</f>
        <v>620.52507805842356</v>
      </c>
      <c r="AF43" s="34" t="s">
        <v>69</v>
      </c>
      <c r="AG43" s="35">
        <f>(Kt^(1-pt)-(1-pt))^(pt/(1-pt))/wt</f>
        <v>779.36468043779109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126">
        <f>(Kn^(1-pn)-(1-pn)*EXP(-(Tabella2[[#This Row],[Day]]-t0n)/wn))^(1/(1-pn))</f>
        <v>105955.17208943631</v>
      </c>
      <c r="H44" s="126">
        <f>(1/wn)*EXP(-(Tabella2[[#This Row],[Day]]-t0n)/wn)*(Tabella2[[#This Row],[Cum_fit]])^pn</f>
        <v>5041.9806577364943</v>
      </c>
      <c r="I44" s="56">
        <f>Tabella2[[#This Row],[New_cases_fit]]*NOT(ISBLANK(Tabella2[[#This Row],[New cases]]))</f>
        <v>5041.9806577364943</v>
      </c>
      <c r="J44" s="10">
        <f>Tabella2[[#This Row],[New_cases_fit]]+CIn</f>
        <v>6203.9558091874969</v>
      </c>
      <c r="K44" s="10">
        <f>MAX(Tabella2[[#This Row],[New_cases_fit]]-CIn,0)</f>
        <v>3880.0055062854913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3039.4908743507112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126">
        <f>(Kd^(1-pd)-(1-pd)*EXP(-(Tabella2[[#This Row],[Day]]-t0d)/wd))^(1/(1-pd))</f>
        <v>15573.766231647858</v>
      </c>
      <c r="S44" s="126">
        <f>(1/wd)*EXP(-(Tabella2[[#This Row],[Day]]-t0d)/wd)*(Tabella2[[#This Row],[Cum_R_fit]])^pd</f>
        <v>1237.2585767596856</v>
      </c>
      <c r="T44" s="60">
        <f>Tabella2[[#This Row],[New_Recovered_fit]]*NOT(ISBLANK(Tabella2[[#This Row],[New recovered]]))</f>
        <v>1237.2585767596856</v>
      </c>
      <c r="U44" s="10">
        <f>Tabella2[[#This Row],[New_Recovered_fit]]+CId</f>
        <v>1817.3757724128911</v>
      </c>
      <c r="V44" s="10">
        <f>MAX(Tabella2[[#This Row],[New_Recovered_fit]]-CId,0)</f>
        <v>657.14138110648014</v>
      </c>
      <c r="W44" s="10">
        <f>'dpc-covid19-ita-andamento-naz'!K38</f>
        <v>12428</v>
      </c>
      <c r="X44" s="26">
        <f>Tabella2[[#This Row],[Cum_deaths]]-W43</f>
        <v>837</v>
      </c>
      <c r="Y44" s="64">
        <f>Tabella2[[#This Row],[New deaths]]*NOT(ISBLANK(Tabella2[[#This Row],[New deaths]]))</f>
        <v>837</v>
      </c>
      <c r="Z44" s="126">
        <f>(Kt^(1-pt)-(1-pt)*EXP(-(Tabella2[[#This Row],[Day]]-t0t)/wt))^(1/(1-pt))</f>
        <v>12260.117909031951</v>
      </c>
      <c r="AA44" s="10">
        <f>(1/wt)*EXP(-(Tabella2[[#This Row],[Day]]-t0t)/wt)*(Tabella2[[#This Row],[Cum_D_fit]])^pt</f>
        <v>765.23120662609756</v>
      </c>
      <c r="AB44" s="64">
        <f>Tabella2[[#This Row],[New_Deaths_fit]]*NOT(ISBLANK(Tabella2[[#This Row],[New deaths]]))</f>
        <v>765.23120662609756</v>
      </c>
      <c r="AC44" s="10">
        <f>Tabella2[[#This Row],[New_Deaths_fit]]+CIt</f>
        <v>918.56359825672325</v>
      </c>
      <c r="AD44" s="10">
        <f>MAX(Tabella2[[#This Row],[New_Deaths_fit]]-CIt,0)</f>
        <v>611.89881499547187</v>
      </c>
      <c r="AF44" s="34" t="s">
        <v>70</v>
      </c>
      <c r="AG44" s="75">
        <f>_xlfn.XLOOKUP(ROUND(t0t,0),Tabella2[Day],Tabella2[Date])</f>
        <v>43918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126">
        <f>(Kn^(1-pn)-(1-pn)*EXP(-(Tabella2[[#This Row],[Day]]-t0n)/wn))^(1/(1-pn))</f>
        <v>110933.22044078723</v>
      </c>
      <c r="H45" s="126">
        <f>(1/wn)*EXP(-(Tabella2[[#This Row],[Day]]-t0n)/wn)*(Tabella2[[#This Row],[Cum_fit]])^pn</f>
        <v>4911.9414457360481</v>
      </c>
      <c r="I45" s="56">
        <f>Tabella2[[#This Row],[New_cases_fit]]*NOT(ISBLANK(Tabella2[[#This Row],[New cases]]))</f>
        <v>4911.9414457360481</v>
      </c>
      <c r="J45" s="10">
        <f>Tabella2[[#This Row],[New_cases_fit]]+CIn</f>
        <v>6073.9165971870516</v>
      </c>
      <c r="K45" s="10">
        <f>MAX(Tabella2[[#This Row],[New_cases_fit]]-CIn,0)</f>
        <v>3749.966294285045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2872.5654717160401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126">
        <f>(Kd^(1-pd)-(1-pd)*EXP(-(Tabella2[[#This Row],[Day]]-t0d)/wd))^(1/(1-pd))</f>
        <v>16835.635613299255</v>
      </c>
      <c r="S45" s="126">
        <f>(1/wd)*EXP(-(Tabella2[[#This Row],[Day]]-t0d)/wd)*(Tabella2[[#This Row],[Cum_R_fit]])^pd</f>
        <v>1286.2580035767676</v>
      </c>
      <c r="T45" s="60">
        <f>Tabella2[[#This Row],[New_Recovered_fit]]*NOT(ISBLANK(Tabella2[[#This Row],[New recovered]]))</f>
        <v>1286.2580035767676</v>
      </c>
      <c r="U45" s="10">
        <f>Tabella2[[#This Row],[New_Recovered_fit]]+CId</f>
        <v>1866.3751992299731</v>
      </c>
      <c r="V45" s="10">
        <f>MAX(Tabella2[[#This Row],[New_Recovered_fit]]-CId,0)</f>
        <v>706.14080792356208</v>
      </c>
      <c r="W45" s="10">
        <f>'dpc-covid19-ita-andamento-naz'!K39</f>
        <v>13155</v>
      </c>
      <c r="X45" s="26">
        <f>Tabella2[[#This Row],[Cum_deaths]]-W44</f>
        <v>727</v>
      </c>
      <c r="Y45" s="64">
        <f>Tabella2[[#This Row],[New deaths]]*NOT(ISBLANK(Tabella2[[#This Row],[New deaths]]))</f>
        <v>727</v>
      </c>
      <c r="Z45" s="126">
        <f>(Kt^(1-pt)-(1-pt)*EXP(-(Tabella2[[#This Row],[Day]]-t0t)/wt))^(1/(1-pt))</f>
        <v>13019.565428423748</v>
      </c>
      <c r="AA45" s="10">
        <f>(1/wt)*EXP(-(Tabella2[[#This Row],[Day]]-t0t)/wt)*(Tabella2[[#This Row],[Cum_D_fit]])^pt</f>
        <v>753.1179704432401</v>
      </c>
      <c r="AB45" s="64">
        <f>Tabella2[[#This Row],[New_Deaths_fit]]*NOT(ISBLANK(Tabella2[[#This Row],[New deaths]]))</f>
        <v>753.1179704432401</v>
      </c>
      <c r="AC45" s="10">
        <f>Tabella2[[#This Row],[New_Deaths_fit]]+CIt</f>
        <v>906.45036207386579</v>
      </c>
      <c r="AD45" s="10">
        <f>MAX(Tabella2[[#This Row],[New_Deaths_fit]]-CIt,0)</f>
        <v>599.7855788126144</v>
      </c>
      <c r="AF45" s="69" t="s">
        <v>114</v>
      </c>
      <c r="AG45" s="70">
        <f>ph</f>
        <v>0.99932744290408682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126">
        <f>(Kn^(1-pn)-(1-pn)*EXP(-(Tabella2[[#This Row],[Day]]-t0n)/wn))^(1/(1-pn))</f>
        <v>115775.09747739782</v>
      </c>
      <c r="H46" s="126">
        <f>(1/wn)*EXP(-(Tabella2[[#This Row],[Day]]-t0n)/wn)*(Tabella2[[#This Row],[Cum_fit]])^pn</f>
        <v>4770.0255182388237</v>
      </c>
      <c r="I46" s="56">
        <f>Tabella2[[#This Row],[New_cases_fit]]*NOT(ISBLANK(Tabella2[[#This Row],[New cases]]))</f>
        <v>4770.0255182388237</v>
      </c>
      <c r="J46" s="10">
        <f>Tabella2[[#This Row],[New_cases_fit]]+CIn</f>
        <v>5932.0006696898272</v>
      </c>
      <c r="K46" s="10">
        <f>MAX(Tabella2[[#This Row],[New_cases_fit]]-CIn,0)</f>
        <v>3608.0503667878206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2698.2239941939124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126">
        <f>(Kd^(1-pd)-(1-pd)*EXP(-(Tabella2[[#This Row],[Day]]-t0d)/wd))^(1/(1-pd))</f>
        <v>18145.815670125416</v>
      </c>
      <c r="S46" s="126">
        <f>(1/wd)*EXP(-(Tabella2[[#This Row],[Day]]-t0d)/wd)*(Tabella2[[#This Row],[Cum_R_fit]])^pd</f>
        <v>1333.8581476601678</v>
      </c>
      <c r="T46" s="60">
        <f>Tabella2[[#This Row],[New_Recovered_fit]]*NOT(ISBLANK(Tabella2[[#This Row],[New recovered]]))</f>
        <v>1333.8581476601678</v>
      </c>
      <c r="U46" s="10">
        <f>Tabella2[[#This Row],[New_Recovered_fit]]+CId</f>
        <v>1913.9753433133733</v>
      </c>
      <c r="V46" s="10">
        <f>MAX(Tabella2[[#This Row],[New_Recovered_fit]]-CId,0)</f>
        <v>753.74095200696229</v>
      </c>
      <c r="W46" s="10">
        <f>'dpc-covid19-ita-andamento-naz'!K40</f>
        <v>13915</v>
      </c>
      <c r="X46" s="26">
        <f>Tabella2[[#This Row],[Cum_deaths]]-W45</f>
        <v>760</v>
      </c>
      <c r="Y46" s="64">
        <f>Tabella2[[#This Row],[New deaths]]*NOT(ISBLANK(Tabella2[[#This Row],[New deaths]]))</f>
        <v>760</v>
      </c>
      <c r="Z46" s="126">
        <f>(Kt^(1-pt)-(1-pt)*EXP(-(Tabella2[[#This Row],[Day]]-t0t)/wt))^(1/(1-pt))</f>
        <v>13765.333400370127</v>
      </c>
      <c r="AA46" s="10">
        <f>(1/wt)*EXP(-(Tabella2[[#This Row],[Day]]-t0t)/wt)*(Tabella2[[#This Row],[Cum_D_fit]])^pt</f>
        <v>737.94337638474371</v>
      </c>
      <c r="AB46" s="64">
        <f>Tabella2[[#This Row],[New_Deaths_fit]]*NOT(ISBLANK(Tabella2[[#This Row],[New deaths]]))</f>
        <v>737.94337638474371</v>
      </c>
      <c r="AC46" s="10">
        <f>Tabella2[[#This Row],[New_Deaths_fit]]+CIt</f>
        <v>891.27576801536941</v>
      </c>
      <c r="AD46" s="10">
        <f>MAX(Tabella2[[#This Row],[New_Deaths_fit]]-CIt,0)</f>
        <v>584.61098475411802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126">
        <f>(Kn^(1-pn)-(1-pn)*EXP(-(Tabella2[[#This Row],[Day]]-t0n)/wn))^(1/(1-pn))</f>
        <v>120470.06667170112</v>
      </c>
      <c r="H47" s="126">
        <f>(1/wn)*EXP(-(Tabella2[[#This Row],[Day]]-t0n)/wn)*(Tabella2[[#This Row],[Cum_fit]])^pn</f>
        <v>4618.4901902511037</v>
      </c>
      <c r="I47" s="56">
        <f>Tabella2[[#This Row],[New_cases_fit]]*NOT(ISBLANK(Tabella2[[#This Row],[New cases]]))</f>
        <v>4618.4901902511037</v>
      </c>
      <c r="J47" s="10">
        <f>Tabella2[[#This Row],[New_cases_fit]]+CIn</f>
        <v>5780.4653417021073</v>
      </c>
      <c r="K47" s="10">
        <f>MAX(Tabella2[[#This Row],[New_cases_fit]]-CIn,0)</f>
        <v>3456.5150388001007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2518.4224864490534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126">
        <f>(Kd^(1-pd)-(1-pd)*EXP(-(Tabella2[[#This Row],[Day]]-t0d)/wd))^(1/(1-pd))</f>
        <v>19502.843898256684</v>
      </c>
      <c r="S47" s="126">
        <f>(1/wd)*EXP(-(Tabella2[[#This Row],[Day]]-t0d)/wd)*(Tabella2[[#This Row],[Cum_R_fit]])^pd</f>
        <v>1379.9346836090353</v>
      </c>
      <c r="T47" s="60">
        <f>Tabella2[[#This Row],[New_Recovered_fit]]*NOT(ISBLANK(Tabella2[[#This Row],[New recovered]]))</f>
        <v>1379.9346836090353</v>
      </c>
      <c r="U47" s="10">
        <f>Tabella2[[#This Row],[New_Recovered_fit]]+CId</f>
        <v>1960.0518792622408</v>
      </c>
      <c r="V47" s="10">
        <f>MAX(Tabella2[[#This Row],[New_Recovered_fit]]-CId,0)</f>
        <v>799.81748795582985</v>
      </c>
      <c r="W47" s="10">
        <f>'dpc-covid19-ita-andamento-naz'!K41</f>
        <v>14681</v>
      </c>
      <c r="X47" s="26">
        <f>Tabella2[[#This Row],[Cum_deaths]]-W46</f>
        <v>766</v>
      </c>
      <c r="Y47" s="64">
        <f>Tabella2[[#This Row],[New deaths]]*NOT(ISBLANK(Tabella2[[#This Row],[New deaths]]))</f>
        <v>766</v>
      </c>
      <c r="Z47" s="126">
        <f>(Kt^(1-pt)-(1-pt)*EXP(-(Tabella2[[#This Row],[Day]]-t0t)/wt))^(1/(1-pt))</f>
        <v>14494.573705073237</v>
      </c>
      <c r="AA47" s="10">
        <f>(1/wt)*EXP(-(Tabella2[[#This Row],[Day]]-t0t)/wt)*(Tabella2[[#This Row],[Cum_D_fit]])^pt</f>
        <v>720.13302019301511</v>
      </c>
      <c r="AB47" s="64">
        <f>Tabella2[[#This Row],[New_Deaths_fit]]*NOT(ISBLANK(Tabella2[[#This Row],[New deaths]]))</f>
        <v>720.13302019301511</v>
      </c>
      <c r="AC47" s="10">
        <f>Tabella2[[#This Row],[New_Deaths_fit]]+CIt</f>
        <v>873.46541182364081</v>
      </c>
      <c r="AD47" s="10">
        <f>MAX(Tabella2[[#This Row],[New_Deaths_fit]]-CIt,0)</f>
        <v>566.80062856238942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126">
        <f>(Kn^(1-pn)-(1-pn)*EXP(-(Tabella2[[#This Row],[Day]]-t0n)/wn))^(1/(1-pn))</f>
        <v>125009.5761338607</v>
      </c>
      <c r="H48" s="126">
        <f>(1/wn)*EXP(-(Tabella2[[#This Row],[Day]]-t0n)/wn)*(Tabella2[[#This Row],[Cum_fit]])^pn</f>
        <v>4459.4441861900268</v>
      </c>
      <c r="I48" s="56">
        <f>Tabella2[[#This Row],[New_cases_fit]]*NOT(ISBLANK(Tabella2[[#This Row],[New cases]]))</f>
        <v>4459.4441861900268</v>
      </c>
      <c r="J48" s="10">
        <f>Tabella2[[#This Row],[New_cases_fit]]+CIn</f>
        <v>5621.4193376410294</v>
      </c>
      <c r="K48" s="10">
        <f>MAX(Tabella2[[#This Row],[New_cases_fit]]-CIn,0)</f>
        <v>3297.4690347390238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2334.9654934458381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126">
        <f>(Kd^(1-pd)-(1-pd)*EXP(-(Tabella2[[#This Row],[Day]]-t0d)/wd))^(1/(1-pd))</f>
        <v>20905.139811704536</v>
      </c>
      <c r="S48" s="126">
        <f>(1/wd)*EXP(-(Tabella2[[#This Row],[Day]]-t0d)/wd)*(Tabella2[[#This Row],[Cum_R_fit]])^pd</f>
        <v>1424.3759616015193</v>
      </c>
      <c r="T48" s="60">
        <f>Tabella2[[#This Row],[New_Recovered_fit]]*NOT(ISBLANK(Tabella2[[#This Row],[New recovered]]))</f>
        <v>1424.3759616015193</v>
      </c>
      <c r="U48" s="10">
        <f>Tabella2[[#This Row],[New_Recovered_fit]]+CId</f>
        <v>2004.4931572547248</v>
      </c>
      <c r="V48" s="10">
        <f>MAX(Tabella2[[#This Row],[New_Recovered_fit]]-CId,0)</f>
        <v>844.25876594831379</v>
      </c>
      <c r="W48" s="10">
        <f>'dpc-covid19-ita-andamento-naz'!K42</f>
        <v>15362</v>
      </c>
      <c r="X48" s="26">
        <f>Tabella2[[#This Row],[Cum_deaths]]-W47</f>
        <v>681</v>
      </c>
      <c r="Y48" s="64">
        <f>Tabella2[[#This Row],[New deaths]]*NOT(ISBLANK(Tabella2[[#This Row],[New deaths]]))</f>
        <v>681</v>
      </c>
      <c r="Z48" s="126">
        <f>(Kt^(1-pt)-(1-pt)*EXP(-(Tabella2[[#This Row],[Day]]-t0t)/wt))^(1/(1-pt))</f>
        <v>15204.859659548063</v>
      </c>
      <c r="AA48" s="10">
        <f>(1/wt)*EXP(-(Tabella2[[#This Row],[Day]]-t0t)/wt)*(Tabella2[[#This Row],[Cum_D_fit]])^pt</f>
        <v>700.10273114266931</v>
      </c>
      <c r="AB48" s="64">
        <f>Tabella2[[#This Row],[New_Deaths_fit]]*NOT(ISBLANK(Tabella2[[#This Row],[New deaths]]))</f>
        <v>700.10273114266931</v>
      </c>
      <c r="AC48" s="10">
        <f>Tabella2[[#This Row],[New_Deaths_fit]]+CIt</f>
        <v>853.43512277329501</v>
      </c>
      <c r="AD48" s="10">
        <f>MAX(Tabella2[[#This Row],[New_Deaths_fit]]-CIt,0)</f>
        <v>546.77033951204362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126">
        <f>(Kn^(1-pn)-(1-pn)*EXP(-(Tabella2[[#This Row],[Day]]-t0n)/wn))^(1/(1-pn))</f>
        <v>129387.10155140562</v>
      </c>
      <c r="H49" s="126">
        <f>(1/wn)*EXP(-(Tabella2[[#This Row],[Day]]-t0n)/wn)*(Tabella2[[#This Row],[Cum_fit]])^pn</f>
        <v>4294.8319014268318</v>
      </c>
      <c r="I49" s="56">
        <f>Tabella2[[#This Row],[New_cases_fit]]*NOT(ISBLANK(Tabella2[[#This Row],[New cases]]))</f>
        <v>4294.8319014268318</v>
      </c>
      <c r="J49" s="10">
        <f>Tabella2[[#This Row],[New_cases_fit]]+CIn</f>
        <v>5456.8070528778353</v>
      </c>
      <c r="K49" s="10">
        <f>MAX(Tabella2[[#This Row],[New_cases_fit]]-CIn,0)</f>
        <v>3132.8567499758287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2149.498122501233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126">
        <f>(Kd^(1-pd)-(1-pd)*EXP(-(Tabella2[[#This Row],[Day]]-t0d)/wd))^(1/(1-pd))</f>
        <v>22351.017567413535</v>
      </c>
      <c r="S49" s="126">
        <f>(1/wd)*EXP(-(Tabella2[[#This Row],[Day]]-t0d)/wd)*(Tabella2[[#This Row],[Cum_R_fit]])^pd</f>
        <v>1467.0828892280674</v>
      </c>
      <c r="T49" s="60">
        <f>Tabella2[[#This Row],[New_Recovered_fit]]*NOT(ISBLANK(Tabella2[[#This Row],[New recovered]]))</f>
        <v>1467.0828892280674</v>
      </c>
      <c r="U49" s="10">
        <f>Tabella2[[#This Row],[New_Recovered_fit]]+CId</f>
        <v>2047.2000848812729</v>
      </c>
      <c r="V49" s="10">
        <f>MAX(Tabella2[[#This Row],[New_Recovered_fit]]-CId,0)</f>
        <v>886.96569357486192</v>
      </c>
      <c r="W49" s="10">
        <f>'dpc-covid19-ita-andamento-naz'!K43</f>
        <v>15887</v>
      </c>
      <c r="X49" s="26">
        <f>Tabella2[[#This Row],[Cum_deaths]]-W48</f>
        <v>525</v>
      </c>
      <c r="Y49" s="64">
        <f>Tabella2[[#This Row],[New deaths]]*NOT(ISBLANK(Tabella2[[#This Row],[New deaths]]))</f>
        <v>525</v>
      </c>
      <c r="Z49" s="126">
        <f>(Kt^(1-pt)-(1-pt)*EXP(-(Tabella2[[#This Row],[Day]]-t0t)/wt))^(1/(1-pt))</f>
        <v>15894.172243512125</v>
      </c>
      <c r="AA49" s="10">
        <f>(1/wt)*EXP(-(Tabella2[[#This Row],[Day]]-t0t)/wt)*(Tabella2[[#This Row],[Cum_D_fit]])^pt</f>
        <v>678.25088969753142</v>
      </c>
      <c r="AB49" s="64">
        <f>Tabella2[[#This Row],[New_Deaths_fit]]*NOT(ISBLANK(Tabella2[[#This Row],[New deaths]]))</f>
        <v>678.25088969753142</v>
      </c>
      <c r="AC49" s="10">
        <f>Tabella2[[#This Row],[New_Deaths_fit]]+CIt</f>
        <v>831.58328132815711</v>
      </c>
      <c r="AD49" s="10">
        <f>MAX(Tabella2[[#This Row],[New_Deaths_fit]]-CIt,0)</f>
        <v>524.91849806690573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126">
        <f>(Kn^(1-pn)-(1-pn)*EXP(-(Tabella2[[#This Row],[Day]]-t0n)/wn))^(1/(1-pn))</f>
        <v>133597.97680725256</v>
      </c>
      <c r="H50" s="126">
        <f>(1/wn)*EXP(-(Tabella2[[#This Row],[Day]]-t0n)/wn)*(Tabella2[[#This Row],[Cum_fit]])^pn</f>
        <v>4126.4243118687209</v>
      </c>
      <c r="I50" s="56">
        <f>Tabella2[[#This Row],[New_cases_fit]]*NOT(ISBLANK(Tabella2[[#This Row],[New cases]]))</f>
        <v>4126.4243118687209</v>
      </c>
      <c r="J50" s="10">
        <f>Tabella2[[#This Row],[New_cases_fit]]+CIn</f>
        <v>5288.3994633197235</v>
      </c>
      <c r="K50" s="10">
        <f>MAX(Tabella2[[#This Row],[New_cases_fit]]-CIn,0)</f>
        <v>2964.4491604177178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1963.5029400778301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126">
        <f>(Kd^(1-pd)-(1-pd)*EXP(-(Tabella2[[#This Row],[Day]]-t0d)/wd))^(1/(1-pd))</f>
        <v>23838.698423072325</v>
      </c>
      <c r="S50" s="126">
        <f>(1/wd)*EXP(-(Tabella2[[#This Row],[Day]]-t0d)/wd)*(Tabella2[[#This Row],[Cum_R_fit]])^pd</f>
        <v>1507.9687174176274</v>
      </c>
      <c r="T50" s="60">
        <f>Tabella2[[#This Row],[New_Recovered_fit]]*NOT(ISBLANK(Tabella2[[#This Row],[New recovered]]))</f>
        <v>1507.9687174176274</v>
      </c>
      <c r="U50" s="10">
        <f>Tabella2[[#This Row],[New_Recovered_fit]]+CId</f>
        <v>2088.0859130708332</v>
      </c>
      <c r="V50" s="10">
        <f>MAX(Tabella2[[#This Row],[New_Recovered_fit]]-CId,0)</f>
        <v>927.85152176442193</v>
      </c>
      <c r="W50" s="10">
        <f>'dpc-covid19-ita-andamento-naz'!K44</f>
        <v>16523</v>
      </c>
      <c r="X50" s="26">
        <f>Tabella2[[#This Row],[Cum_deaths]]-W49</f>
        <v>636</v>
      </c>
      <c r="Y50" s="64">
        <f>Tabella2[[#This Row],[New deaths]]*NOT(ISBLANK(Tabella2[[#This Row],[New deaths]]))</f>
        <v>636</v>
      </c>
      <c r="Z50" s="126">
        <f>(Kt^(1-pt)-(1-pt)*EXP(-(Tabella2[[#This Row],[Day]]-t0t)/wt))^(1/(1-pt))</f>
        <v>16560.87961280641</v>
      </c>
      <c r="AA50" s="10">
        <f>(1/wt)*EXP(-(Tabella2[[#This Row],[Day]]-t0t)/wt)*(Tabella2[[#This Row],[Cum_D_fit]])^pt</f>
        <v>654.95265437326339</v>
      </c>
      <c r="AB50" s="64">
        <f>Tabella2[[#This Row],[New_Deaths_fit]]*NOT(ISBLANK(Tabella2[[#This Row],[New deaths]]))</f>
        <v>654.95265437326339</v>
      </c>
      <c r="AC50" s="10">
        <f>Tabella2[[#This Row],[New_Deaths_fit]]+CIt</f>
        <v>808.28504600388908</v>
      </c>
      <c r="AD50" s="10">
        <f>MAX(Tabella2[[#This Row],[New_Deaths_fit]]-CIt,0)</f>
        <v>501.62026274263769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126">
        <f>(Kn^(1-pn)-(1-pn)*EXP(-(Tabella2[[#This Row],[Day]]-t0n)/wn))^(1/(1-pn))</f>
        <v>137639.21837380814</v>
      </c>
      <c r="H51" s="126">
        <f>(1/wn)*EXP(-(Tabella2[[#This Row],[Day]]-t0n)/wn)*(Tabella2[[#This Row],[Cum_fit]])^pn</f>
        <v>3955.8154384545392</v>
      </c>
      <c r="I51" s="56">
        <f>Tabella2[[#This Row],[New_cases_fit]]*NOT(ISBLANK(Tabella2[[#This Row],[New cases]]))</f>
        <v>3955.8154384545392</v>
      </c>
      <c r="J51" s="10">
        <f>Tabella2[[#This Row],[New_cases_fit]]+CIn</f>
        <v>5117.7905899055422</v>
      </c>
      <c r="K51" s="10">
        <f>MAX(Tabella2[[#This Row],[New_cases_fit]]-CIn,0)</f>
        <v>2793.8402870035361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1778.3007986797625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126">
        <f>(Kd^(1-pd)-(1-pd)*EXP(-(Tabella2[[#This Row],[Day]]-t0d)/wd))^(1/(1-pd))</f>
        <v>25366.322938389865</v>
      </c>
      <c r="S51" s="126">
        <f>(1/wd)*EXP(-(Tabella2[[#This Row],[Day]]-t0d)/wd)*(Tabella2[[#This Row],[Cum_R_fit]])^pd</f>
        <v>1546.9587435694928</v>
      </c>
      <c r="T51" s="60">
        <f>Tabella2[[#This Row],[New_Recovered_fit]]*NOT(ISBLANK(Tabella2[[#This Row],[New recovered]]))</f>
        <v>1546.9587435694928</v>
      </c>
      <c r="U51" s="10">
        <f>Tabella2[[#This Row],[New_Recovered_fit]]+CId</f>
        <v>2127.0759392226983</v>
      </c>
      <c r="V51" s="10">
        <f>MAX(Tabella2[[#This Row],[New_Recovered_fit]]-CId,0)</f>
        <v>966.84154791628725</v>
      </c>
      <c r="W51" s="10">
        <f>'dpc-covid19-ita-andamento-naz'!K45</f>
        <v>17127</v>
      </c>
      <c r="X51" s="26">
        <f>Tabella2[[#This Row],[Cum_deaths]]-W50</f>
        <v>604</v>
      </c>
      <c r="Y51" s="64">
        <f>Tabella2[[#This Row],[New deaths]]*NOT(ISBLANK(Tabella2[[#This Row],[New deaths]]))</f>
        <v>604</v>
      </c>
      <c r="Z51" s="126">
        <f>(Kt^(1-pt)-(1-pt)*EXP(-(Tabella2[[#This Row],[Day]]-t0t)/wt))^(1/(1-pt))</f>
        <v>17203.711711531476</v>
      </c>
      <c r="AA51" s="10">
        <f>(1/wt)*EXP(-(Tabella2[[#This Row],[Day]]-t0t)/wt)*(Tabella2[[#This Row],[Cum_D_fit]])^pt</f>
        <v>630.55589620528417</v>
      </c>
      <c r="AB51" s="64">
        <f>Tabella2[[#This Row],[New_Deaths_fit]]*NOT(ISBLANK(Tabella2[[#This Row],[New deaths]]))</f>
        <v>630.55589620528417</v>
      </c>
      <c r="AC51" s="10">
        <f>Tabella2[[#This Row],[New_Deaths_fit]]+CIt</f>
        <v>783.88828783590986</v>
      </c>
      <c r="AD51" s="10">
        <f>MAX(Tabella2[[#This Row],[New_Deaths_fit]]-CIt,0)</f>
        <v>477.22350457465848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126">
        <f>(Kn^(1-pn)-(1-pn)*EXP(-(Tabella2[[#This Row],[Day]]-t0n)/wn))^(1/(1-pn))</f>
        <v>141509.3485141178</v>
      </c>
      <c r="H52" s="126">
        <f>(1/wn)*EXP(-(Tabella2[[#This Row],[Day]]-t0n)/wn)*(Tabella2[[#This Row],[Cum_fit]])^pn</f>
        <v>3784.4233300986725</v>
      </c>
      <c r="I52" s="56">
        <f>Tabella2[[#This Row],[New_cases_fit]]*NOT(ISBLANK(Tabella2[[#This Row],[New cases]]))</f>
        <v>3784.4233300986725</v>
      </c>
      <c r="J52" s="10">
        <f>Tabella2[[#This Row],[New_cases_fit]]+CIn</f>
        <v>4946.3984815496751</v>
      </c>
      <c r="K52" s="10">
        <f>MAX(Tabella2[[#This Row],[New_cases_fit]]-CIn,0)</f>
        <v>2622.4481786476695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1595.054770379295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126">
        <f>(Kd^(1-pd)-(1-pd)*EXP(-(Tabella2[[#This Row],[Day]]-t0d)/wd))^(1/(1-pd))</f>
        <v>26931.96284329459</v>
      </c>
      <c r="S52" s="126">
        <f>(1/wd)*EXP(-(Tabella2[[#This Row],[Day]]-t0d)/wd)*(Tabella2[[#This Row],[Cum_R_fit]])^pd</f>
        <v>1583.9899442628964</v>
      </c>
      <c r="T52" s="60">
        <f>Tabella2[[#This Row],[New_Recovered_fit]]*NOT(ISBLANK(Tabella2[[#This Row],[New recovered]]))</f>
        <v>1583.9899442628964</v>
      </c>
      <c r="U52" s="10">
        <f>Tabella2[[#This Row],[New_Recovered_fit]]+CId</f>
        <v>2164.1071399161019</v>
      </c>
      <c r="V52" s="10">
        <f>MAX(Tabella2[[#This Row],[New_Recovered_fit]]-CId,0)</f>
        <v>1003.8727486096909</v>
      </c>
      <c r="W52" s="10">
        <f>'dpc-covid19-ita-andamento-naz'!K46</f>
        <v>17669</v>
      </c>
      <c r="X52" s="26">
        <f>Tabella2[[#This Row],[Cum_deaths]]-W51</f>
        <v>542</v>
      </c>
      <c r="Y52" s="64">
        <f>Tabella2[[#This Row],[New deaths]]*NOT(ISBLANK(Tabella2[[#This Row],[New deaths]]))</f>
        <v>542</v>
      </c>
      <c r="Z52" s="126">
        <f>(Kt^(1-pt)-(1-pt)*EXP(-(Tabella2[[#This Row],[Day]]-t0t)/wt))^(1/(1-pt))</f>
        <v>17821.731579080708</v>
      </c>
      <c r="AA52" s="10">
        <f>(1/wt)*EXP(-(Tabella2[[#This Row],[Day]]-t0t)/wt)*(Tabella2[[#This Row],[Cum_D_fit]])^pt</f>
        <v>605.37861545648082</v>
      </c>
      <c r="AB52" s="64">
        <f>Tabella2[[#This Row],[New_Deaths_fit]]*NOT(ISBLANK(Tabella2[[#This Row],[New deaths]]))</f>
        <v>605.37861545648082</v>
      </c>
      <c r="AC52" s="10">
        <f>Tabella2[[#This Row],[New_Deaths_fit]]+CIt</f>
        <v>758.71100708710651</v>
      </c>
      <c r="AD52" s="10">
        <f>MAX(Tabella2[[#This Row],[New_Deaths_fit]]-CIt,0)</f>
        <v>452.04622382585512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126">
        <f>(Kn^(1-pn)-(1-pn)*EXP(-(Tabella2[[#This Row],[Day]]-t0n)/wn))^(1/(1-pn))</f>
        <v>145208.22132438462</v>
      </c>
      <c r="H53" s="126">
        <f>(1/wn)*EXP(-(Tabella2[[#This Row],[Day]]-t0n)/wn)*(Tabella2[[#This Row],[Cum_fit]])^pn</f>
        <v>3613.4946132470682</v>
      </c>
      <c r="I53" s="56">
        <f>Tabella2[[#This Row],[New_cases_fit]]*NOT(ISBLANK(Tabella2[[#This Row],[New cases]]))</f>
        <v>3613.4946132470682</v>
      </c>
      <c r="J53" s="10">
        <f>Tabella2[[#This Row],[New_cases_fit]]+CIn</f>
        <v>4775.4697646980712</v>
      </c>
      <c r="K53" s="10">
        <f>MAX(Tabella2[[#This Row],[New_cases_fit]]-CIn,0)</f>
        <v>2451.5194617960651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1414.7764553602819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126">
        <f>(Kd^(1-pd)-(1-pd)*EXP(-(Tabella2[[#This Row],[Day]]-t0d)/wd))^(1/(1-pd))</f>
        <v>28533.632508486615</v>
      </c>
      <c r="S53" s="126">
        <f>(1/wd)*EXP(-(Tabella2[[#This Row],[Day]]-t0d)/wd)*(Tabella2[[#This Row],[Cum_R_fit]])^pd</f>
        <v>1619.0105491125669</v>
      </c>
      <c r="T53" s="60">
        <f>Tabella2[[#This Row],[New_Recovered_fit]]*NOT(ISBLANK(Tabella2[[#This Row],[New recovered]]))</f>
        <v>1619.0105491125669</v>
      </c>
      <c r="U53" s="10">
        <f>Tabella2[[#This Row],[New_Recovered_fit]]+CId</f>
        <v>2199.1277447657721</v>
      </c>
      <c r="V53" s="10">
        <f>MAX(Tabella2[[#This Row],[New_Recovered_fit]]-CId,0)</f>
        <v>1038.8933534593614</v>
      </c>
      <c r="W53" s="10">
        <f>'dpc-covid19-ita-andamento-naz'!K47</f>
        <v>18279</v>
      </c>
      <c r="X53" s="26">
        <f>Tabella2[[#This Row],[Cum_deaths]]-W52</f>
        <v>610</v>
      </c>
      <c r="Y53" s="64">
        <f>Tabella2[[#This Row],[New deaths]]*NOT(ISBLANK(Tabella2[[#This Row],[New deaths]]))</f>
        <v>610</v>
      </c>
      <c r="Z53" s="126">
        <f>(Kt^(1-pt)-(1-pt)*EXP(-(Tabella2[[#This Row],[Day]]-t0t)/wt))^(1/(1-pt))</f>
        <v>18414.304718329804</v>
      </c>
      <c r="AA53" s="10">
        <f>(1/wt)*EXP(-(Tabella2[[#This Row],[Day]]-t0t)/wt)*(Tabella2[[#This Row],[Cum_D_fit]])^pt</f>
        <v>579.70760877421935</v>
      </c>
      <c r="AB53" s="64">
        <f>Tabella2[[#This Row],[New_Deaths_fit]]*NOT(ISBLANK(Tabella2[[#This Row],[New deaths]]))</f>
        <v>579.70760877421935</v>
      </c>
      <c r="AC53" s="10">
        <f>Tabella2[[#This Row],[New_Deaths_fit]]+CIt</f>
        <v>733.04000040484505</v>
      </c>
      <c r="AD53" s="10">
        <f>MAX(Tabella2[[#This Row],[New_Deaths_fit]]-CIt,0)</f>
        <v>426.37521714359366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126">
        <f>(Kn^(1-pn)-(1-pn)*EXP(-(Tabella2[[#This Row],[Day]]-t0n)/wn))^(1/(1-pn))</f>
        <v>148736.85475062169</v>
      </c>
      <c r="H54" s="126">
        <f>(1/wn)*EXP(-(Tabella2[[#This Row],[Day]]-t0n)/wn)*(Tabella2[[#This Row],[Cum_fit]])^pn</f>
        <v>3444.1117572461817</v>
      </c>
      <c r="I54" s="56">
        <f>Tabella2[[#This Row],[New_cases_fit]]*NOT(ISBLANK(Tabella2[[#This Row],[New cases]]))</f>
        <v>3444.1117572461817</v>
      </c>
      <c r="J54" s="10">
        <f>Tabella2[[#This Row],[New_cases_fit]]+CIn</f>
        <v>4606.0869086971852</v>
      </c>
      <c r="K54" s="10">
        <f>MAX(Tabella2[[#This Row],[New_cases_fit]]-CIn,0)</f>
        <v>2282.1366057951786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1238.3340294429065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126">
        <f>(Kd^(1-pd)-(1-pd)*EXP(-(Tabella2[[#This Row],[Day]]-t0d)/wd))^(1/(1-pd))</f>
        <v>30169.299964923208</v>
      </c>
      <c r="S54" s="126">
        <f>(1/wd)*EXP(-(Tabella2[[#This Row],[Day]]-t0d)/wd)*(Tabella2[[#This Row],[Cum_R_fit]])^pd</f>
        <v>1651.979566495781</v>
      </c>
      <c r="T54" s="60">
        <f>Tabella2[[#This Row],[New_Recovered_fit]]*NOT(ISBLANK(Tabella2[[#This Row],[New recovered]]))</f>
        <v>1651.979566495781</v>
      </c>
      <c r="U54" s="10">
        <f>Tabella2[[#This Row],[New_Recovered_fit]]+CId</f>
        <v>2232.0967621489863</v>
      </c>
      <c r="V54" s="10">
        <f>MAX(Tabella2[[#This Row],[New_Recovered_fit]]-CId,0)</f>
        <v>1071.8623708425755</v>
      </c>
      <c r="W54" s="10">
        <f>'dpc-covid19-ita-andamento-naz'!K48</f>
        <v>18849</v>
      </c>
      <c r="X54" s="26">
        <f>Tabella2[[#This Row],[Cum_deaths]]-W53</f>
        <v>570</v>
      </c>
      <c r="Y54" s="64">
        <f>Tabella2[[#This Row],[New deaths]]*NOT(ISBLANK(Tabella2[[#This Row],[New deaths]]))</f>
        <v>570</v>
      </c>
      <c r="Z54" s="126">
        <f>(Kt^(1-pt)-(1-pt)*EXP(-(Tabella2[[#This Row],[Day]]-t0t)/wt))^(1/(1-pt))</f>
        <v>18981.067661690206</v>
      </c>
      <c r="AA54" s="10">
        <f>(1/wt)*EXP(-(Tabella2[[#This Row],[Day]]-t0t)/wt)*(Tabella2[[#This Row],[Cum_D_fit]])^pt</f>
        <v>553.79816130749418</v>
      </c>
      <c r="AB54" s="64">
        <f>Tabella2[[#This Row],[New_Deaths_fit]]*NOT(ISBLANK(Tabella2[[#This Row],[New deaths]]))</f>
        <v>553.79816130749418</v>
      </c>
      <c r="AC54" s="10">
        <f>Tabella2[[#This Row],[New_Deaths_fit]]+CIt</f>
        <v>707.13055293811988</v>
      </c>
      <c r="AD54" s="10">
        <f>MAX(Tabella2[[#This Row],[New_Deaths_fit]]-CIt,0)</f>
        <v>400.46576967686849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Tabella2[[#This Row],[New cases]]*NOT(ISBLANK(Tabella2[[#This Row],[New cases]]))</f>
        <v>4694</v>
      </c>
      <c r="G55" s="126">
        <f>(Kn^(1-pn)-(1-pn)*EXP(-(Tabella2[[#This Row],[Day]]-t0n)/wn))^(1/(1-pn))</f>
        <v>152097.27091429106</v>
      </c>
      <c r="H55" s="126">
        <f>(1/wn)*EXP(-(Tabella2[[#This Row],[Day]]-t0n)/wn)*(Tabella2[[#This Row],[Cum_fit]])^pn</f>
        <v>3277.2023129882023</v>
      </c>
      <c r="I55" s="56">
        <f>Tabella2[[#This Row],[New_cases_fit]]*NOT(ISBLANK(Tabella2[[#This Row],[New cases]]))</f>
        <v>3277.2023129882023</v>
      </c>
      <c r="J55" s="10">
        <f>Tabella2[[#This Row],[New_cases_fit]]+CIn</f>
        <v>4439.1774644392053</v>
      </c>
      <c r="K55" s="10">
        <f>MAX(Tabella2[[#This Row],[New_cases_fit]]-CIn,0)</f>
        <v>2115.2271615371992</v>
      </c>
      <c r="L55" s="54">
        <f>'dpc-covid19-ita-andamento-naz'!G49</f>
        <v>100269</v>
      </c>
      <c r="M55" s="54">
        <f>'dpc-covid19-ita-andamento-naz'!H49</f>
        <v>1996</v>
      </c>
      <c r="N55" s="54">
        <f>Tabella2[[#This Row],[New_cases_fit]]-Tabella2[[#This Row],[New_Recovered_fit]]-Tabella2[[#This Row],[New_Deaths_fit]]</f>
        <v>1066.4614886526824</v>
      </c>
      <c r="O55" s="10">
        <f>'dpc-covid19-ita-andamento-naz'!J49</f>
        <v>32534</v>
      </c>
      <c r="P55" s="48">
        <f>Tabella2[[#This Row],[Cum_recov]]-O54</f>
        <v>2079</v>
      </c>
      <c r="Q55" s="60">
        <f>Tabella2[[#This Row],[New recovered]]*NOT(ISBLANK(Tabella2[[#This Row],[New recovered]]))</f>
        <v>2079</v>
      </c>
      <c r="R55" s="126">
        <f>(Kd^(1-pd)-(1-pd)*EXP(-(Tabella2[[#This Row],[Day]]-t0d)/wd))^(1/(1-pd))</f>
        <v>31836.897429113233</v>
      </c>
      <c r="S55" s="126">
        <f>(1/wd)*EXP(-(Tabella2[[#This Row],[Day]]-t0d)/wd)*(Tabella2[[#This Row],[Cum_R_fit]])^pd</f>
        <v>1682.8662710149499</v>
      </c>
      <c r="T55" s="60">
        <f>Tabella2[[#This Row],[New_Recovered_fit]]*NOT(ISBLANK(Tabella2[[#This Row],[New recovered]]))</f>
        <v>1682.8662710149499</v>
      </c>
      <c r="U55" s="10">
        <f>Tabella2[[#This Row],[New_Recovered_fit]]+CId</f>
        <v>2262.9834666681554</v>
      </c>
      <c r="V55" s="10">
        <f>MAX(Tabella2[[#This Row],[New_Recovered_fit]]-CId,0)</f>
        <v>1102.7490753617444</v>
      </c>
      <c r="W55" s="10">
        <f>'dpc-covid19-ita-andamento-naz'!K49</f>
        <v>19468</v>
      </c>
      <c r="X55" s="26">
        <f>Tabella2[[#This Row],[Cum_deaths]]-W54</f>
        <v>619</v>
      </c>
      <c r="Y55" s="64">
        <f>Tabella2[[#This Row],[New deaths]]*NOT(ISBLANK(Tabella2[[#This Row],[New deaths]]))</f>
        <v>619</v>
      </c>
      <c r="Z55" s="126">
        <f>(Kt^(1-pt)-(1-pt)*EXP(-(Tabella2[[#This Row],[Day]]-t0t)/wt))^(1/(1-pt))</f>
        <v>19521.896653304895</v>
      </c>
      <c r="AA55" s="10">
        <f>(1/wt)*EXP(-(Tabella2[[#This Row],[Day]]-t0t)/wt)*(Tabella2[[#This Row],[Cum_D_fit]])^pt</f>
        <v>527.87455332056993</v>
      </c>
      <c r="AB55" s="64">
        <f>Tabella2[[#This Row],[New_Deaths_fit]]*NOT(ISBLANK(Tabella2[[#This Row],[New deaths]]))</f>
        <v>527.87455332056993</v>
      </c>
      <c r="AC55" s="10">
        <f>Tabella2[[#This Row],[New_Deaths_fit]]+CIt</f>
        <v>681.20694495119562</v>
      </c>
      <c r="AD55" s="10">
        <f>MAX(Tabella2[[#This Row],[New_Deaths_fit]]-CIt,0)</f>
        <v>374.54216168994424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Tabella2[[#This Row],[New cases]]*NOT(ISBLANK(Tabella2[[#This Row],[New cases]]))</f>
        <v>4092</v>
      </c>
      <c r="G56" s="126">
        <f>(Kn^(1-pn)-(1-pn)*EXP(-(Tabella2[[#This Row],[Day]]-t0n)/wn))^(1/(1-pn))</f>
        <v>155292.34639512718</v>
      </c>
      <c r="H56" s="126">
        <f>(1/wn)*EXP(-(Tabella2[[#This Row],[Day]]-t0n)/wn)*(Tabella2[[#This Row],[Cum_fit]])^pn</f>
        <v>3113.549491108377</v>
      </c>
      <c r="I56" s="56">
        <f>Tabella2[[#This Row],[New_cases_fit]]*NOT(ISBLANK(Tabella2[[#This Row],[New cases]]))</f>
        <v>3113.549491108377</v>
      </c>
      <c r="J56" s="10">
        <f>Tabella2[[#This Row],[New_cases_fit]]+CIn</f>
        <v>4275.5246425593796</v>
      </c>
      <c r="K56" s="10">
        <f>MAX(Tabella2[[#This Row],[New_cases_fit]]-CIn,0)</f>
        <v>1951.5743396573739</v>
      </c>
      <c r="L56" s="54">
        <f>'dpc-covid19-ita-andamento-naz'!G50</f>
        <v>102253</v>
      </c>
      <c r="M56" s="54">
        <f>'dpc-covid19-ita-andamento-naz'!H50</f>
        <v>1984</v>
      </c>
      <c r="N56" s="54">
        <f>Tabella2[[#This Row],[New_cases_fit]]-Tabella2[[#This Row],[New_Recovered_fit]]-Tabella2[[#This Row],[New_Deaths_fit]]</f>
        <v>899.76863813501404</v>
      </c>
      <c r="O56" s="10">
        <f>'dpc-covid19-ita-andamento-naz'!J50</f>
        <v>34211</v>
      </c>
      <c r="P56" s="48">
        <f>Tabella2[[#This Row],[Cum_recov]]-O55</f>
        <v>1677</v>
      </c>
      <c r="Q56" s="60">
        <f>Tabella2[[#This Row],[New recovered]]*NOT(ISBLANK(Tabella2[[#This Row],[New recovered]]))</f>
        <v>1677</v>
      </c>
      <c r="R56" s="126">
        <f>(Kd^(1-pd)-(1-pd)*EXP(-(Tabella2[[#This Row],[Day]]-t0d)/wd))^(1/(1-pd))</f>
        <v>33534.331300527927</v>
      </c>
      <c r="S56" s="126">
        <f>(1/wd)*EXP(-(Tabella2[[#This Row],[Day]]-t0d)/wd)*(Tabella2[[#This Row],[Cum_R_fit]])^pd</f>
        <v>1711.6496616964155</v>
      </c>
      <c r="T56" s="60">
        <f>Tabella2[[#This Row],[New_Recovered_fit]]*NOT(ISBLANK(Tabella2[[#This Row],[New recovered]]))</f>
        <v>1711.6496616964155</v>
      </c>
      <c r="U56" s="10">
        <f>Tabella2[[#This Row],[New_Recovered_fit]]+CId</f>
        <v>2291.7668573496212</v>
      </c>
      <c r="V56" s="10">
        <f>MAX(Tabella2[[#This Row],[New_Recovered_fit]]-CId,0)</f>
        <v>1131.53246604321</v>
      </c>
      <c r="W56" s="10">
        <f>'dpc-covid19-ita-andamento-naz'!K50</f>
        <v>19899</v>
      </c>
      <c r="X56" s="26">
        <f>Tabella2[[#This Row],[Cum_deaths]]-W55</f>
        <v>431</v>
      </c>
      <c r="Y56" s="64">
        <f>Tabella2[[#This Row],[New deaths]]*NOT(ISBLANK(Tabella2[[#This Row],[New deaths]]))</f>
        <v>431</v>
      </c>
      <c r="Z56" s="126">
        <f>(Kt^(1-pt)-(1-pt)*EXP(-(Tabella2[[#This Row],[Day]]-t0t)/wt))^(1/(1-pt))</f>
        <v>20036.877165000209</v>
      </c>
      <c r="AA56" s="10">
        <f>(1/wt)*EXP(-(Tabella2[[#This Row],[Day]]-t0t)/wt)*(Tabella2[[#This Row],[Cum_D_fit]])^pt</f>
        <v>502.1311912769475</v>
      </c>
      <c r="AB56" s="64">
        <f>Tabella2[[#This Row],[New_Deaths_fit]]*NOT(ISBLANK(Tabella2[[#This Row],[New deaths]]))</f>
        <v>502.1311912769475</v>
      </c>
      <c r="AC56" s="10">
        <f>Tabella2[[#This Row],[New_Deaths_fit]]+CIt</f>
        <v>655.46358290757325</v>
      </c>
      <c r="AD56" s="10">
        <f>MAX(Tabella2[[#This Row],[New_Deaths_fit]]-CIt,0)</f>
        <v>348.79879964632175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Tabella2[[#This Row],[New cases]]*NOT(ISBLANK(Tabella2[[#This Row],[New cases]]))</f>
        <v>3153</v>
      </c>
      <c r="G57" s="126">
        <f>(Kn^(1-pn)-(1-pn)*EXP(-(Tabella2[[#This Row],[Day]]-t0n)/wn))^(1/(1-pn))</f>
        <v>158325.67353678378</v>
      </c>
      <c r="H57" s="126">
        <f>(1/wn)*EXP(-(Tabella2[[#This Row],[Day]]-t0n)/wn)*(Tabella2[[#This Row],[Cum_fit]])^pn</f>
        <v>2953.8035504287691</v>
      </c>
      <c r="I57" s="56">
        <f>Tabella2[[#This Row],[New_cases_fit]]*NOT(ISBLANK(Tabella2[[#This Row],[New cases]]))</f>
        <v>2953.8035504287691</v>
      </c>
      <c r="J57" s="10">
        <f>Tabella2[[#This Row],[New_cases_fit]]+CIn</f>
        <v>4115.7787018797717</v>
      </c>
      <c r="K57" s="10">
        <f>MAX(Tabella2[[#This Row],[New_cases_fit]]-CIn,0)</f>
        <v>1791.828398977766</v>
      </c>
      <c r="L57" s="54">
        <f>'dpc-covid19-ita-andamento-naz'!G51</f>
        <v>103616</v>
      </c>
      <c r="M57" s="54">
        <f>'dpc-covid19-ita-andamento-naz'!H51</f>
        <v>1363</v>
      </c>
      <c r="N57" s="54">
        <f>Tabella2[[#This Row],[New_cases_fit]]-Tabella2[[#This Row],[New_Recovered_fit]]-Tabella2[[#This Row],[New_Deaths_fit]]</f>
        <v>738.7514547292285</v>
      </c>
      <c r="O57" s="10">
        <f>'dpc-covid19-ita-andamento-naz'!J51</f>
        <v>35435</v>
      </c>
      <c r="P57" s="48">
        <f>Tabella2[[#This Row],[Cum_recov]]-O56</f>
        <v>1224</v>
      </c>
      <c r="Q57" s="60">
        <f>Tabella2[[#This Row],[New recovered]]*NOT(ISBLANK(Tabella2[[#This Row],[New recovered]]))</f>
        <v>1224</v>
      </c>
      <c r="R57" s="126">
        <f>(Kd^(1-pd)-(1-pd)*EXP(-(Tabella2[[#This Row],[Day]]-t0d)/wd))^(1/(1-pd))</f>
        <v>35259.491606008734</v>
      </c>
      <c r="S57" s="126">
        <f>(1/wd)*EXP(-(Tabella2[[#This Row],[Day]]-t0d)/wd)*(Tabella2[[#This Row],[Cum_R_fit]])^pd</f>
        <v>1738.3178990741235</v>
      </c>
      <c r="T57" s="60">
        <f>Tabella2[[#This Row],[New_Recovered_fit]]*NOT(ISBLANK(Tabella2[[#This Row],[New recovered]]))</f>
        <v>1738.3178990741235</v>
      </c>
      <c r="U57" s="10">
        <f>Tabella2[[#This Row],[New_Recovered_fit]]+CId</f>
        <v>2318.4350947273288</v>
      </c>
      <c r="V57" s="10">
        <f>MAX(Tabella2[[#This Row],[New_Recovered_fit]]-CId,0)</f>
        <v>1158.200703420918</v>
      </c>
      <c r="W57" s="10">
        <f>'dpc-covid19-ita-andamento-naz'!K51</f>
        <v>20465</v>
      </c>
      <c r="X57" s="26">
        <f>Tabella2[[#This Row],[Cum_deaths]]-W56</f>
        <v>566</v>
      </c>
      <c r="Y57" s="64">
        <f>Tabella2[[#This Row],[New deaths]]*NOT(ISBLANK(Tabella2[[#This Row],[New deaths]]))</f>
        <v>566</v>
      </c>
      <c r="Z57" s="126">
        <f>(Kt^(1-pt)-(1-pt)*EXP(-(Tabella2[[#This Row],[Day]]-t0t)/wt))^(1/(1-pt))</f>
        <v>20526.274785033507</v>
      </c>
      <c r="AA57" s="10">
        <f>(1/wt)*EXP(-(Tabella2[[#This Row],[Day]]-t0t)/wt)*(Tabella2[[#This Row],[Cum_D_fit]])^pt</f>
        <v>476.7341966254171</v>
      </c>
      <c r="AB57" s="64">
        <f>Tabella2[[#This Row],[New_Deaths_fit]]*NOT(ISBLANK(Tabella2[[#This Row],[New deaths]]))</f>
        <v>476.7341966254171</v>
      </c>
      <c r="AC57" s="10">
        <f>Tabella2[[#This Row],[New_Deaths_fit]]+CIt</f>
        <v>630.06658825604279</v>
      </c>
      <c r="AD57" s="10">
        <f>MAX(Tabella2[[#This Row],[New_Deaths_fit]]-CIt,0)</f>
        <v>323.40180499479141</v>
      </c>
    </row>
    <row r="58" spans="2:30" x14ac:dyDescent="0.3">
      <c r="B58" s="9">
        <v>43935</v>
      </c>
      <c r="C58" s="4">
        <f t="shared" si="0"/>
        <v>50</v>
      </c>
      <c r="D58" s="10">
        <f>'dpc-covid19-ita-andamento-naz'!L52</f>
        <v>162488</v>
      </c>
      <c r="E58" s="30">
        <f>'dpc-covid19-ita-andamento-naz'!I52</f>
        <v>2972</v>
      </c>
      <c r="F58" s="56">
        <f>Tabella2[[#This Row],[New cases]]*NOT(ISBLANK(Tabella2[[#This Row],[New cases]]))</f>
        <v>2972</v>
      </c>
      <c r="G58" s="126">
        <f>(Kn^(1-pn)-(1-pn)*EXP(-(Tabella2[[#This Row],[Day]]-t0n)/wn))^(1/(1-pn))</f>
        <v>161201.43336256844</v>
      </c>
      <c r="H58" s="126">
        <f>(1/wn)*EXP(-(Tabella2[[#This Row],[Day]]-t0n)/wn)*(Tabella2[[#This Row],[Cum_fit]])^pn</f>
        <v>2798.493564328433</v>
      </c>
      <c r="I58" s="56">
        <f>Tabella2[[#This Row],[New_cases_fit]]*NOT(ISBLANK(Tabella2[[#This Row],[New cases]]))</f>
        <v>2798.493564328433</v>
      </c>
      <c r="J58" s="10">
        <f>Tabella2[[#This Row],[New_cases_fit]]+CIn</f>
        <v>3960.468715779436</v>
      </c>
      <c r="K58" s="10">
        <f>MAX(Tabella2[[#This Row],[New_cases_fit]]-CIn,0)</f>
        <v>1636.5184128774299</v>
      </c>
      <c r="L58" s="54">
        <f>'dpc-covid19-ita-andamento-naz'!G52</f>
        <v>104291</v>
      </c>
      <c r="M58" s="54">
        <f>'dpc-covid19-ita-andamento-naz'!H52</f>
        <v>675</v>
      </c>
      <c r="N58" s="54">
        <f>Tabella2[[#This Row],[New_cases_fit]]-Tabella2[[#This Row],[New_Recovered_fit]]-Tabella2[[#This Row],[New_Deaths_fit]]</f>
        <v>583.80252621485238</v>
      </c>
      <c r="O58" s="10">
        <f>'dpc-covid19-ita-andamento-naz'!J52</f>
        <v>37130</v>
      </c>
      <c r="P58" s="48">
        <f>Tabella2[[#This Row],[Cum_recov]]-O57</f>
        <v>1695</v>
      </c>
      <c r="Q58" s="60">
        <f>Tabella2[[#This Row],[New recovered]]*NOT(ISBLANK(Tabella2[[#This Row],[New recovered]]))</f>
        <v>1695</v>
      </c>
      <c r="R58" s="126">
        <f>(Kd^(1-pd)-(1-pd)*EXP(-(Tabella2[[#This Row],[Day]]-t0d)/wd))^(1/(1-pd))</f>
        <v>37010.260873785002</v>
      </c>
      <c r="S58" s="126">
        <f>(1/wd)*EXP(-(Tabella2[[#This Row],[Day]]-t0d)/wd)*(Tabella2[[#This Row],[Cum_R_fit]])^pd</f>
        <v>1762.8677284774128</v>
      </c>
      <c r="T58" s="60">
        <f>Tabella2[[#This Row],[New_Recovered_fit]]*NOT(ISBLANK(Tabella2[[#This Row],[New recovered]]))</f>
        <v>1762.8677284774128</v>
      </c>
      <c r="U58" s="10">
        <f>Tabella2[[#This Row],[New_Recovered_fit]]+CId</f>
        <v>2342.9849241306183</v>
      </c>
      <c r="V58" s="10">
        <f>MAX(Tabella2[[#This Row],[New_Recovered_fit]]-CId,0)</f>
        <v>1182.7505328242073</v>
      </c>
      <c r="W58" s="10">
        <f>'dpc-covid19-ita-andamento-naz'!K52</f>
        <v>21067</v>
      </c>
      <c r="X58" s="26">
        <f>Tabella2[[#This Row],[Cum_deaths]]-W57</f>
        <v>602</v>
      </c>
      <c r="Y58" s="64">
        <f>Tabella2[[#This Row],[New deaths]]*NOT(ISBLANK(Tabella2[[#This Row],[New deaths]]))</f>
        <v>602</v>
      </c>
      <c r="Z58" s="126">
        <f>(Kt^(1-pt)-(1-pt)*EXP(-(Tabella2[[#This Row],[Day]]-t0t)/wt))^(1/(1-pt))</f>
        <v>20990.507864058425</v>
      </c>
      <c r="AA58" s="10">
        <f>(1/wt)*EXP(-(Tabella2[[#This Row],[Day]]-t0t)/wt)*(Tabella2[[#This Row],[Cum_D_fit]])^pt</f>
        <v>451.82330963616783</v>
      </c>
      <c r="AB58" s="64">
        <f>Tabella2[[#This Row],[New_Deaths_fit]]*NOT(ISBLANK(Tabella2[[#This Row],[New deaths]]))</f>
        <v>451.82330963616783</v>
      </c>
      <c r="AC58" s="10">
        <f>Tabella2[[#This Row],[New_Deaths_fit]]+CIt</f>
        <v>605.15570126679359</v>
      </c>
      <c r="AD58" s="10">
        <f>MAX(Tabella2[[#This Row],[New_Deaths_fit]]-CIt,0)</f>
        <v>298.49091800554208</v>
      </c>
    </row>
    <row r="59" spans="2:30" x14ac:dyDescent="0.3">
      <c r="B59" s="9">
        <v>43936</v>
      </c>
      <c r="C59" s="4">
        <f t="shared" si="0"/>
        <v>51</v>
      </c>
      <c r="D59" s="10">
        <f>'dpc-covid19-ita-andamento-naz'!L53</f>
        <v>165155</v>
      </c>
      <c r="E59" s="30">
        <f>'dpc-covid19-ita-andamento-naz'!I53</f>
        <v>2667</v>
      </c>
      <c r="F59" s="56">
        <f>Tabella2[[#This Row],[New cases]]*NOT(ISBLANK(Tabella2[[#This Row],[New cases]]))</f>
        <v>2667</v>
      </c>
      <c r="G59" s="126">
        <f>(Kn^(1-pn)-(1-pn)*EXP(-(Tabella2[[#This Row],[Day]]-t0n)/wn))^(1/(1-pn))</f>
        <v>163924.28029909465</v>
      </c>
      <c r="H59" s="126">
        <f>(1/wn)*EXP(-(Tabella2[[#This Row],[Day]]-t0n)/wn)*(Tabella2[[#This Row],[Cum_fit]])^pn</f>
        <v>2648.0392202184166</v>
      </c>
      <c r="I59" s="56">
        <f>Tabella2[[#This Row],[New_cases_fit]]*NOT(ISBLANK(Tabella2[[#This Row],[New cases]]))</f>
        <v>2648.0392202184166</v>
      </c>
      <c r="J59" s="10">
        <f>Tabella2[[#This Row],[New_cases_fit]]+CIn</f>
        <v>3810.0143716694197</v>
      </c>
      <c r="K59" s="10">
        <f>MAX(Tabella2[[#This Row],[New_cases_fit]]-CIn,0)</f>
        <v>1486.0640687674136</v>
      </c>
      <c r="L59" s="54">
        <f>'dpc-covid19-ita-andamento-naz'!G53</f>
        <v>105418</v>
      </c>
      <c r="M59" s="54">
        <f>'dpc-covid19-ita-andamento-naz'!H53</f>
        <v>1127</v>
      </c>
      <c r="N59" s="54">
        <f>Tabella2[[#This Row],[New_cases_fit]]-Tabella2[[#This Row],[New_Recovered_fit]]-Tabella2[[#This Row],[New_Deaths_fit]]</f>
        <v>435.2213349794909</v>
      </c>
      <c r="O59" s="10">
        <f>'dpc-covid19-ita-andamento-naz'!J53</f>
        <v>38092</v>
      </c>
      <c r="P59" s="48">
        <f>Tabella2[[#This Row],[Cum_recov]]-O58</f>
        <v>962</v>
      </c>
      <c r="Q59" s="60">
        <f>Tabella2[[#This Row],[New recovered]]*NOT(ISBLANK(Tabella2[[#This Row],[New recovered]]))</f>
        <v>962</v>
      </c>
      <c r="R59" s="126">
        <f>(Kd^(1-pd)-(1-pd)*EXP(-(Tabella2[[#This Row],[Day]]-t0d)/wd))^(1/(1-pd))</f>
        <v>38784.522426630247</v>
      </c>
      <c r="S59" s="126">
        <f>(1/wd)*EXP(-(Tabella2[[#This Row],[Day]]-t0d)/wd)*(Tabella2[[#This Row],[Cum_R_fit]])^pd</f>
        <v>1785.3038960432705</v>
      </c>
      <c r="T59" s="60">
        <f>Tabella2[[#This Row],[New_Recovered_fit]]*NOT(ISBLANK(Tabella2[[#This Row],[New recovered]]))</f>
        <v>1785.3038960432705</v>
      </c>
      <c r="U59" s="10">
        <f>Tabella2[[#This Row],[New_Recovered_fit]]+CId</f>
        <v>2365.4210916964757</v>
      </c>
      <c r="V59" s="10">
        <f>MAX(Tabella2[[#This Row],[New_Recovered_fit]]-CId,0)</f>
        <v>1205.186700390065</v>
      </c>
      <c r="W59" s="10">
        <f>'dpc-covid19-ita-andamento-naz'!K53</f>
        <v>21645</v>
      </c>
      <c r="X59" s="26">
        <f>Tabella2[[#This Row],[Cum_deaths]]-W58</f>
        <v>578</v>
      </c>
      <c r="Y59" s="64">
        <f>Tabella2[[#This Row],[New deaths]]*NOT(ISBLANK(Tabella2[[#This Row],[New deaths]]))</f>
        <v>578</v>
      </c>
      <c r="Z59" s="126">
        <f>(Kt^(1-pt)-(1-pt)*EXP(-(Tabella2[[#This Row],[Day]]-t0t)/wt))^(1/(1-pt))</f>
        <v>21430.122171880041</v>
      </c>
      <c r="AA59" s="10">
        <f>(1/wt)*EXP(-(Tabella2[[#This Row],[Day]]-t0t)/wt)*(Tabella2[[#This Row],[Cum_D_fit]])^pt</f>
        <v>427.51398919565526</v>
      </c>
      <c r="AB59" s="64">
        <f>Tabella2[[#This Row],[New_Deaths_fit]]*NOT(ISBLANK(Tabella2[[#This Row],[New deaths]]))</f>
        <v>427.51398919565526</v>
      </c>
      <c r="AC59" s="10">
        <f>Tabella2[[#This Row],[New_Deaths_fit]]+CIt</f>
        <v>580.84638082628101</v>
      </c>
      <c r="AD59" s="10">
        <f>MAX(Tabella2[[#This Row],[New_Deaths_fit]]-CIt,0)</f>
        <v>274.18159756502951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126">
        <f>(Kn^(1-pn)-(1-pn)*EXP(-(Tabella2[[#This Row],[Day]]-t0n)/wn))^(1/(1-pn))</f>
        <v>166499.23860162558</v>
      </c>
      <c r="H60" s="126">
        <f>(1/wn)*EXP(-(Tabella2[[#This Row],[Day]]-t0n)/wn)*(Tabella2[[#This Row],[Cum_fit]])^pn</f>
        <v>2502.7623845414778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293.22420979167129</v>
      </c>
      <c r="P60" s="48"/>
      <c r="Q60" s="60">
        <f>Tabella2[[#This Row],[New recovered]]*NOT(ISBLANK(Tabella2[[#This Row],[New recovered]]))</f>
        <v>0</v>
      </c>
      <c r="R60" s="126">
        <f>(Kd^(1-pd)-(1-pd)*EXP(-(Tabella2[[#This Row],[Day]]-t0d)/wd))^(1/(1-pd))</f>
        <v>40580.168089823928</v>
      </c>
      <c r="S60" s="126">
        <f>(1/wd)*EXP(-(Tabella2[[#This Row],[Day]]-t0d)/wd)*(Tabella2[[#This Row],[Cum_R_fit]])^pd</f>
        <v>1805.638563212086</v>
      </c>
      <c r="T60" s="60">
        <f>Tabella2[[#This Row],[New_Recovered_fit]]*NOT(ISBLANK(Tabella2[[#This Row],[New recovered]]))</f>
        <v>0</v>
      </c>
      <c r="X60" s="26"/>
      <c r="Y60" s="64">
        <f>Tabella2[[#This Row],[New deaths]]*NOT(ISBLANK(Tabella2[[#This Row],[New deaths]]))</f>
        <v>0</v>
      </c>
      <c r="Z60" s="126">
        <f>(Kt^(1-pt)-(1-pt)*EXP(-(Tabella2[[#This Row],[Day]]-t0t)/wt))^(1/(1-pt))</f>
        <v>21845.767710679902</v>
      </c>
      <c r="AA60" s="10">
        <f>(1/wt)*EXP(-(Tabella2[[#This Row],[Day]]-t0t)/wt)*(Tabella2[[#This Row],[Cum_D_fit]])^pt</f>
        <v>403.89961153772055</v>
      </c>
      <c r="AB60" s="64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126">
        <f>(Kn^(1-pn)-(1-pn)*EXP(-(Tabella2[[#This Row],[Day]]-t0n)/wn))^(1/(1-pn))</f>
        <v>168931.61014113706</v>
      </c>
      <c r="H61" s="126">
        <f>(1/wn)*EXP(-(Tabella2[[#This Row],[Day]]-t0n)/wn)*(Tabella2[[#This Row],[Cum_fit]])^pn</f>
        <v>2362.8982324151762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157.95381678152455</v>
      </c>
      <c r="P61" s="48"/>
      <c r="Q61" s="60">
        <f>Tabella2[[#This Row],[New recovered]]*NOT(ISBLANK(Tabella2[[#This Row],[New recovered]]))</f>
        <v>0</v>
      </c>
      <c r="R61" s="126">
        <f>(Kd^(1-pd)-(1-pd)*EXP(-(Tabella2[[#This Row],[Day]]-t0d)/wd))^(1/(1-pd))</f>
        <v>42395.105314977984</v>
      </c>
      <c r="S61" s="126">
        <f>(1/wd)*EXP(-(Tabella2[[#This Row],[Day]]-t0d)/wd)*(Tabella2[[#This Row],[Cum_R_fit]])^pd</f>
        <v>1823.8907247459533</v>
      </c>
      <c r="T61" s="60">
        <f>Tabella2[[#This Row],[New_Recovered_fit]]*NOT(ISBLANK(Tabella2[[#This Row],[New recovered]]))</f>
        <v>0</v>
      </c>
      <c r="X61" s="26"/>
      <c r="Y61" s="64">
        <f>Tabella2[[#This Row],[New deaths]]*NOT(ISBLANK(Tabella2[[#This Row],[New deaths]]))</f>
        <v>0</v>
      </c>
      <c r="Z61" s="126">
        <f>(Kt^(1-pt)-(1-pt)*EXP(-(Tabella2[[#This Row],[Day]]-t0t)/wt))^(1/(1-pt))</f>
        <v>22238.177743612068</v>
      </c>
      <c r="AA61" s="10">
        <f>(1/wt)*EXP(-(Tabella2[[#This Row],[Day]]-t0t)/wt)*(Tabella2[[#This Row],[Cum_D_fit]])^pt</f>
        <v>381.05369088769828</v>
      </c>
      <c r="AB61" s="64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126">
        <f>(Kn^(1-pn)-(1-pn)*EXP(-(Tabella2[[#This Row],[Day]]-t0n)/wn))^(1/(1-pn))</f>
        <v>171226.89304088638</v>
      </c>
      <c r="H62" s="126">
        <f>(1/wn)*EXP(-(Tabella2[[#This Row],[Day]]-t0n)/wn)*(Tabella2[[#This Row],[Cum_fit]])^pn</f>
        <v>2228.6057975643484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29.488100302317889</v>
      </c>
      <c r="P62" s="48"/>
      <c r="Q62" s="60">
        <f>Tabella2[[#This Row],[New recovered]]*NOT(ISBLANK(Tabella2[[#This Row],[New recovered]]))</f>
        <v>0</v>
      </c>
      <c r="R62" s="126">
        <f>(Kd^(1-pd)-(1-pd)*EXP(-(Tabella2[[#This Row],[Day]]-t0d)/wd))^(1/(1-pd))</f>
        <v>44227.263725489633</v>
      </c>
      <c r="S62" s="126">
        <f>(1/wd)*EXP(-(Tabella2[[#This Row],[Day]]-t0d)/wd)*(Tabella2[[#This Row],[Cum_R_fit]])^pd</f>
        <v>1840.0856346339585</v>
      </c>
      <c r="T62" s="60">
        <f>Tabella2[[#This Row],[New_Recovered_fit]]*NOT(ISBLANK(Tabella2[[#This Row],[New recovered]]))</f>
        <v>0</v>
      </c>
      <c r="X62" s="26"/>
      <c r="Y62" s="64">
        <f>Tabella2[[#This Row],[New deaths]]*NOT(ISBLANK(Tabella2[[#This Row],[New deaths]]))</f>
        <v>0</v>
      </c>
      <c r="Z62" s="126">
        <f>(Kt^(1-pt)-(1-pt)*EXP(-(Tabella2[[#This Row],[Day]]-t0t)/wt))^(1/(1-pt))</f>
        <v>22608.150029516502</v>
      </c>
      <c r="AA62" s="10">
        <f>(1/wt)*EXP(-(Tabella2[[#This Row],[Day]]-t0t)/wt)*(Tabella2[[#This Row],[Cum_D_fit]])^pt</f>
        <v>359.03206262807203</v>
      </c>
      <c r="AB62" s="64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126">
        <f>(Kn^(1-pn)-(1-pn)*EXP(-(Tabella2[[#This Row],[Day]]-t0n)/wn))^(1/(1-pn))</f>
        <v>173390.71053085479</v>
      </c>
      <c r="H63" s="126">
        <f>(1/wn)*EXP(-(Tabella2[[#This Row],[Day]]-t0n)/wn)*(Tabella2[[#This Row],[Cum_fit]])^pn</f>
        <v>2099.9778452240516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-92.151383180666869</v>
      </c>
      <c r="P63" s="48"/>
      <c r="Q63" s="60">
        <f>Tabella2[[#This Row],[New recovered]]*NOT(ISBLANK(Tabella2[[#This Row],[New recovered]]))</f>
        <v>0</v>
      </c>
      <c r="R63" s="126">
        <f>(Kd^(1-pd)-(1-pd)*EXP(-(Tabella2[[#This Row],[Day]]-t0d)/wd))^(1/(1-pd))</f>
        <v>46074.601093423451</v>
      </c>
      <c r="S63" s="126">
        <f>(1/wd)*EXP(-(Tabella2[[#This Row],[Day]]-t0d)/wd)*(Tabella2[[#This Row],[Cum_R_fit]])^pd</f>
        <v>1854.2542436207025</v>
      </c>
      <c r="T63" s="60">
        <f>Tabella2[[#This Row],[New_Recovered_fit]]*NOT(ISBLANK(Tabella2[[#This Row],[New recovered]]))</f>
        <v>0</v>
      </c>
      <c r="X63" s="26"/>
      <c r="Y63" s="64">
        <f>Tabella2[[#This Row],[New deaths]]*NOT(ISBLANK(Tabella2[[#This Row],[New deaths]]))</f>
        <v>0</v>
      </c>
      <c r="Z63" s="126">
        <f>(Kt^(1-pt)-(1-pt)*EXP(-(Tabella2[[#This Row],[Day]]-t0t)/wt))^(1/(1-pt))</f>
        <v>22956.53020315132</v>
      </c>
      <c r="AA63" s="10">
        <f>(1/wt)*EXP(-(Tabella2[[#This Row],[Day]]-t0t)/wt)*(Tabella2[[#This Row],[Cum_D_fit]])^pt</f>
        <v>337.87498478401602</v>
      </c>
      <c r="AB63" s="64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126">
        <f>(Kn^(1-pn)-(1-pn)*EXP(-(Tabella2[[#This Row],[Day]]-t0n)/wn))^(1/(1-pn))</f>
        <v>175428.74931078739</v>
      </c>
      <c r="H64" s="126">
        <f>(1/wn)*EXP(-(Tabella2[[#This Row],[Day]]-t0n)/wn)*(Tabella2[[#This Row],[Cum_fit]])^pn</f>
        <v>1977.0500090743585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-206.99176885563998</v>
      </c>
      <c r="P64" s="48"/>
      <c r="Q64" s="60">
        <f>Tabella2[[#This Row],[New recovered]]*NOT(ISBLANK(Tabella2[[#This Row],[New recovered]]))</f>
        <v>0</v>
      </c>
      <c r="R64" s="126">
        <f>(Kd^(1-pd)-(1-pd)*EXP(-(Tabella2[[#This Row],[Day]]-t0d)/wd))^(1/(1-pd))</f>
        <v>47935.108761072712</v>
      </c>
      <c r="S64" s="126">
        <f>(1/wd)*EXP(-(Tabella2[[#This Row],[Day]]-t0d)/wd)*(Tabella2[[#This Row],[Cum_R_fit]])^pd</f>
        <v>1866.4326515139139</v>
      </c>
      <c r="T64" s="60">
        <f>Tabella2[[#This Row],[New_Recovered_fit]]*NOT(ISBLANK(Tabella2[[#This Row],[New recovered]]))</f>
        <v>0</v>
      </c>
      <c r="X64" s="26"/>
      <c r="Y64" s="64">
        <f>Tabella2[[#This Row],[New deaths]]*NOT(ISBLANK(Tabella2[[#This Row],[New deaths]]))</f>
        <v>0</v>
      </c>
      <c r="Z64" s="126">
        <f>(Kt^(1-pt)-(1-pt)*EXP(-(Tabella2[[#This Row],[Day]]-t0t)/wt))^(1/(1-pt))</f>
        <v>23284.197202436135</v>
      </c>
      <c r="AA64" s="10">
        <f>(1/wt)*EXP(-(Tabella2[[#This Row],[Day]]-t0t)/wt)*(Tabella2[[#This Row],[Cum_D_fit]])^pt</f>
        <v>317.60912641608456</v>
      </c>
      <c r="AB64" s="64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126">
        <f>(Kn^(1-pn)-(1-pn)*EXP(-(Tabella2[[#This Row],[Day]]-t0n)/wn))^(1/(1-pn))</f>
        <v>177346.70666896325</v>
      </c>
      <c r="H65" s="126">
        <f>(1/wn)*EXP(-(Tabella2[[#This Row],[Day]]-t0n)/wn)*(Tabella2[[#This Row],[Cum_fit]])^pn</f>
        <v>1859.8091639761972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-315.10183498757249</v>
      </c>
      <c r="P65" s="48"/>
      <c r="Q65" s="60">
        <f>Tabella2[[#This Row],[New recovered]]*NOT(ISBLANK(Tabella2[[#This Row],[New recovered]]))</f>
        <v>0</v>
      </c>
      <c r="R65" s="126">
        <f>(Kd^(1-pd)-(1-pd)*EXP(-(Tabella2[[#This Row],[Day]]-t0d)/wd))^(1/(1-pd))</f>
        <v>49806.816523330468</v>
      </c>
      <c r="S65" s="126">
        <f>(1/wd)*EXP(-(Tabella2[[#This Row],[Day]]-t0d)/wd)*(Tabella2[[#This Row],[Cum_R_fit]])^pd</f>
        <v>1876.6615768939944</v>
      </c>
      <c r="T65" s="60">
        <f>Tabella2[[#This Row],[New_Recovered_fit]]*NOT(ISBLANK(Tabella2[[#This Row],[New recovered]]))</f>
        <v>0</v>
      </c>
      <c r="X65" s="26"/>
      <c r="Y65" s="64">
        <f>Tabella2[[#This Row],[New deaths]]*NOT(ISBLANK(Tabella2[[#This Row],[New deaths]]))</f>
        <v>0</v>
      </c>
      <c r="Z65" s="126">
        <f>(Kt^(1-pt)-(1-pt)*EXP(-(Tabella2[[#This Row],[Day]]-t0t)/wt))^(1/(1-pt))</f>
        <v>23592.050618527737</v>
      </c>
      <c r="AA65" s="10">
        <f>(1/wt)*EXP(-(Tabella2[[#This Row],[Day]]-t0t)/wt)*(Tabella2[[#This Row],[Cum_D_fit]])^pt</f>
        <v>298.24942206977528</v>
      </c>
      <c r="AB65" s="64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126">
        <f>(Kn^(1-pn)-(1-pn)*EXP(-(Tabella2[[#This Row],[Day]]-t0n)/wn))^(1/(1-pn))</f>
        <v>179150.24558942713</v>
      </c>
      <c r="H66" s="126">
        <f>(1/wn)*EXP(-(Tabella2[[#This Row],[Day]]-t0n)/wn)*(Tabella2[[#This Row],[Cum_fit]])^pn</f>
        <v>1748.2010303324755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-416.58559598866913</v>
      </c>
      <c r="P66" s="48"/>
      <c r="Q66" s="60">
        <f>Tabella2[[#This Row],[New recovered]]*NOT(ISBLANK(Tabella2[[#This Row],[New recovered]]))</f>
        <v>0</v>
      </c>
      <c r="R66" s="126">
        <f>(Kd^(1-pd)-(1-pd)*EXP(-(Tabella2[[#This Row],[Day]]-t0d)/wd))^(1/(1-pd))</f>
        <v>51687.796989381059</v>
      </c>
      <c r="S66" s="126">
        <f>(1/wd)*EXP(-(Tabella2[[#This Row],[Day]]-t0d)/wd)*(Tabella2[[#This Row],[Cum_R_fit]])^pd</f>
        <v>1884.9858463622579</v>
      </c>
      <c r="T66" s="60">
        <f>Tabella2[[#This Row],[New_Recovered_fit]]*NOT(ISBLANK(Tabella2[[#This Row],[New recovered]]))</f>
        <v>0</v>
      </c>
      <c r="X66" s="26"/>
      <c r="Y66" s="64">
        <f>Tabella2[[#This Row],[New deaths]]*NOT(ISBLANK(Tabella2[[#This Row],[New deaths]]))</f>
        <v>0</v>
      </c>
      <c r="Z66" s="126">
        <f>(Kt^(1-pt)-(1-pt)*EXP(-(Tabella2[[#This Row],[Day]]-t0t)/wt))^(1/(1-pt))</f>
        <v>23880.999827891621</v>
      </c>
      <c r="AA66" s="10">
        <f>(1/wt)*EXP(-(Tabella2[[#This Row],[Day]]-t0t)/wt)*(Tabella2[[#This Row],[Cum_D_fit]])^pt</f>
        <v>279.80077995888672</v>
      </c>
      <c r="AB66" s="64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126">
        <f>(Kn^(1-pn)-(1-pn)*EXP(-(Tabella2[[#This Row],[Day]]-t0n)/wn))^(1/(1-pn))</f>
        <v>180844.95708434144</v>
      </c>
      <c r="H67" s="126">
        <f>(1/wn)*EXP(-(Tabella2[[#This Row],[Day]]-t0n)/wn)*(Tabella2[[#This Row],[Cum_fit]])^pn</f>
        <v>1642.1370242135445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-511.57651911513307</v>
      </c>
      <c r="P67" s="48"/>
      <c r="Q67" s="60">
        <f>Tabella2[[#This Row],[New recovered]]*NOT(ISBLANK(Tabella2[[#This Row],[New recovered]]))</f>
        <v>0</v>
      </c>
      <c r="R67" s="126">
        <f>(Kd^(1-pd)-(1-pd)*EXP(-(Tabella2[[#This Row],[Day]]-t0d)/wd))^(1/(1-pd))</f>
        <v>53576.169444133622</v>
      </c>
      <c r="S67" s="126">
        <f>(1/wd)*EXP(-(Tabella2[[#This Row],[Day]]-t0d)/wd)*(Tabella2[[#This Row],[Cum_R_fit]])^pd</f>
        <v>1891.4539050240367</v>
      </c>
      <c r="T67" s="60">
        <f>Tabella2[[#This Row],[New_Recovered_fit]]*NOT(ISBLANK(Tabella2[[#This Row],[New recovered]]))</f>
        <v>0</v>
      </c>
      <c r="X67" s="26"/>
      <c r="Y67" s="64">
        <f>Tabella2[[#This Row],[New deaths]]*NOT(ISBLANK(Tabella2[[#This Row],[New deaths]]))</f>
        <v>0</v>
      </c>
      <c r="Z67" s="126">
        <f>(Kt^(1-pt)-(1-pt)*EXP(-(Tabella2[[#This Row],[Day]]-t0t)/wt))^(1/(1-pt))</f>
        <v>24151.954756906489</v>
      </c>
      <c r="AA67" s="10">
        <f>(1/wt)*EXP(-(Tabella2[[#This Row],[Day]]-t0t)/wt)*(Tabella2[[#This Row],[Cum_D_fit]])^pt</f>
        <v>262.25963830464087</v>
      </c>
      <c r="AB67" s="64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126">
        <f>(Kn^(1-pn)-(1-pn)*EXP(-(Tabella2[[#This Row],[Day]]-t0n)/wn))^(1/(1-pn))</f>
        <v>182436.32901068122</v>
      </c>
      <c r="H68" s="126">
        <f>(1/wn)*EXP(-(Tabella2[[#This Row],[Day]]-t0n)/wn)*(Tabella2[[#This Row],[Cum_fit]])^pn</f>
        <v>1541.5003809366169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-600.23233801726235</v>
      </c>
      <c r="P68" s="48"/>
      <c r="Q68" s="60">
        <f>Tabella2[[#This Row],[New recovered]]*NOT(ISBLANK(Tabella2[[#This Row],[New recovered]]))</f>
        <v>0</v>
      </c>
      <c r="R68" s="126">
        <f>(Kd^(1-pd)-(1-pd)*EXP(-(Tabella2[[#This Row],[Day]]-t0d)/wd))^(1/(1-pd))</f>
        <v>55470.10323131211</v>
      </c>
      <c r="S68" s="126">
        <f>(1/wd)*EXP(-(Tabella2[[#This Row],[Day]]-t0d)/wd)*(Tabella2[[#This Row],[Cum_R_fit]])^pd</f>
        <v>1896.1173495058677</v>
      </c>
      <c r="T68" s="60">
        <f>Tabella2[[#This Row],[New_Recovered_fit]]*NOT(ISBLANK(Tabella2[[#This Row],[New recovered]]))</f>
        <v>0</v>
      </c>
      <c r="X68" s="26"/>
      <c r="Y68" s="64">
        <f>Tabella2[[#This Row],[New deaths]]*NOT(ISBLANK(Tabella2[[#This Row],[New deaths]]))</f>
        <v>0</v>
      </c>
      <c r="Z68" s="126">
        <f>(Kt^(1-pt)-(1-pt)*EXP(-(Tabella2[[#This Row],[Day]]-t0t)/wt))^(1/(1-pt))</f>
        <v>24405.81812647096</v>
      </c>
      <c r="AA68" s="10">
        <f>(1/wt)*EXP(-(Tabella2[[#This Row],[Day]]-t0t)/wt)*(Tabella2[[#This Row],[Cum_D_fit]])^pt</f>
        <v>245.61536944801159</v>
      </c>
      <c r="AB68" s="64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126">
        <f>(Kn^(1-pn)-(1-pn)*EXP(-(Tabella2[[#This Row],[Day]]-t0n)/wn))^(1/(1-pn))</f>
        <v>183929.72066219043</v>
      </c>
      <c r="H69" s="126">
        <f>(1/wn)*EXP(-(Tabella2[[#This Row],[Day]]-t0n)/wn)*(Tabella2[[#This Row],[Cum_fit]])^pn</f>
        <v>1446.1515893439166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-682.73043035493788</v>
      </c>
      <c r="P69" s="48"/>
      <c r="Q69" s="60">
        <f>Tabella2[[#This Row],[New recovered]]*NOT(ISBLANK(Tabella2[[#This Row],[New recovered]]))</f>
        <v>0</v>
      </c>
      <c r="R69" s="126">
        <f>(Kd^(1-pd)-(1-pd)*EXP(-(Tabella2[[#This Row],[Day]]-t0d)/wd))^(1/(1-pd))</f>
        <v>57367.820681236539</v>
      </c>
      <c r="S69" s="126">
        <f>(1/wd)*EXP(-(Tabella2[[#This Row],[Day]]-t0d)/wd)*(Tabella2[[#This Row],[Cum_R_fit]])^pd</f>
        <v>1899.0304844511395</v>
      </c>
      <c r="T69" s="60">
        <f>Tabella2[[#This Row],[New_Recovered_fit]]*NOT(ISBLANK(Tabella2[[#This Row],[New recovered]]))</f>
        <v>0</v>
      </c>
      <c r="X69" s="26"/>
      <c r="Y69" s="64">
        <f>Tabella2[[#This Row],[New deaths]]*NOT(ISBLANK(Tabella2[[#This Row],[New deaths]]))</f>
        <v>0</v>
      </c>
      <c r="Z69" s="126">
        <f>(Kt^(1-pt)-(1-pt)*EXP(-(Tabella2[[#This Row],[Day]]-t0t)/wt))^(1/(1-pt))</f>
        <v>24643.479026041125</v>
      </c>
      <c r="AA69" s="10">
        <f>(1/wt)*EXP(-(Tabella2[[#This Row],[Day]]-t0t)/wt)*(Tabella2[[#This Row],[Cum_D_fit]])^pt</f>
        <v>229.85153524771499</v>
      </c>
      <c r="AB69" s="64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126">
        <f>(Kn^(1-pn)-(1-pn)*EXP(-(Tabella2[[#This Row],[Day]]-t0n)/wn))^(1/(1-pn))</f>
        <v>185330.34246918091</v>
      </c>
      <c r="H70" s="126">
        <f>(1/wn)*EXP(-(Tabella2[[#This Row],[Day]]-t0n)/wn)*(Tabella2[[#This Row],[Cum_fit]])^pn</f>
        <v>1355.9331803703417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-759.26372283050239</v>
      </c>
      <c r="P70" s="48"/>
      <c r="Q70" s="60">
        <f>Tabella2[[#This Row],[New recovered]]*NOT(ISBLANK(Tabella2[[#This Row],[New recovered]]))</f>
        <v>0</v>
      </c>
      <c r="R70" s="126">
        <f>(Kd^(1-pd)-(1-pd)*EXP(-(Tabella2[[#This Row],[Day]]-t0d)/wd))^(1/(1-pd))</f>
        <v>59267.599607114862</v>
      </c>
      <c r="S70" s="126">
        <f>(1/wd)*EXP(-(Tabella2[[#This Row],[Day]]-t0d)/wd)*(Tabella2[[#This Row],[Cum_R_fit]])^pd</f>
        <v>1900.2499031229834</v>
      </c>
      <c r="T70" s="60">
        <f>Tabella2[[#This Row],[New_Recovered_fit]]*NOT(ISBLANK(Tabella2[[#This Row],[New recovered]]))</f>
        <v>0</v>
      </c>
      <c r="X70" s="26"/>
      <c r="Y70" s="64">
        <f>Tabella2[[#This Row],[New deaths]]*NOT(ISBLANK(Tabella2[[#This Row],[New deaths]]))</f>
        <v>0</v>
      </c>
      <c r="Z70" s="126">
        <f>(Kt^(1-pt)-(1-pt)*EXP(-(Tabella2[[#This Row],[Day]]-t0t)/wt))^(1/(1-pt))</f>
        <v>24865.807671135986</v>
      </c>
      <c r="AA70" s="10">
        <f>(1/wt)*EXP(-(Tabella2[[#This Row],[Day]]-t0t)/wt)*(Tabella2[[#This Row],[Cum_D_fit]])^pt</f>
        <v>214.94700007786071</v>
      </c>
      <c r="AB70" s="64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126">
        <f>(Kn^(1-pn)-(1-pn)*EXP(-(Tabella2[[#This Row],[Day]]-t0n)/wn))^(1/(1-pn))</f>
        <v>186643.24018339929</v>
      </c>
      <c r="H71" s="126">
        <f>(1/wn)*EXP(-(Tabella2[[#This Row],[Day]]-t0n)/wn)*(Tabella2[[#This Row],[Cum_fit]])^pn</f>
        <v>1270.6739172331845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-830.03708489587757</v>
      </c>
      <c r="P71" s="48"/>
      <c r="Q71" s="60">
        <f>Tabella2[[#This Row],[New recovered]]*NOT(ISBLANK(Tabella2[[#This Row],[New recovered]]))</f>
        <v>0</v>
      </c>
      <c r="R71" s="126">
        <f>(Kd^(1-pd)-(1-pd)*EXP(-(Tabella2[[#This Row],[Day]]-t0d)/wd))^(1/(1-pd))</f>
        <v>61167.775394145909</v>
      </c>
      <c r="S71" s="126">
        <f>(1/wd)*EXP(-(Tabella2[[#This Row],[Day]]-t0d)/wd)*(Tabella2[[#This Row],[Cum_R_fit]])^pd</f>
        <v>1899.834092464909</v>
      </c>
      <c r="T71" s="60">
        <f>Tabella2[[#This Row],[New_Recovered_fit]]*NOT(ISBLANK(Tabella2[[#This Row],[New recovered]]))</f>
        <v>0</v>
      </c>
      <c r="X71" s="26"/>
      <c r="Y71" s="64">
        <f>Tabella2[[#This Row],[New deaths]]*NOT(ISBLANK(Tabella2[[#This Row],[New deaths]]))</f>
        <v>0</v>
      </c>
      <c r="Z71" s="126">
        <f>(Kt^(1-pt)-(1-pt)*EXP(-(Tabella2[[#This Row],[Day]]-t0t)/wt))^(1/(1-pt))</f>
        <v>25073.651206118397</v>
      </c>
      <c r="AA71" s="10">
        <f>(1/wt)*EXP(-(Tabella2[[#This Row],[Day]]-t0t)/wt)*(Tabella2[[#This Row],[Cum_D_fit]])^pt</f>
        <v>200.87690966415317</v>
      </c>
      <c r="AB71" s="64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126">
        <f>(Kn^(1-pn)-(1-pn)*EXP(-(Tabella2[[#This Row],[Day]]-t0n)/wn))^(1/(1-pn))</f>
        <v>187873.28297473476</v>
      </c>
      <c r="H72" s="126">
        <f>(1/wn)*EXP(-(Tabella2[[#This Row],[Day]]-t0n)/wn)*(Tabella2[[#This Row],[Cum_fit]])^pn</f>
        <v>1190.1924363063738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-895.26417162381404</v>
      </c>
      <c r="P72" s="48"/>
      <c r="Q72" s="60">
        <f>Tabella2[[#This Row],[New recovered]]*NOT(ISBLANK(Tabella2[[#This Row],[New recovered]]))</f>
        <v>0</v>
      </c>
      <c r="R72" s="126">
        <f>(Kd^(1-pd)-(1-pd)*EXP(-(Tabella2[[#This Row],[Day]]-t0d)/wd))^(1/(1-pd))</f>
        <v>63066.74270596751</v>
      </c>
      <c r="S72" s="126">
        <f>(1/wd)*EXP(-(Tabella2[[#This Row],[Day]]-t0d)/wd)*(Tabella2[[#This Row],[Cum_R_fit]])^pd</f>
        <v>1897.8430627260138</v>
      </c>
      <c r="T72" s="60">
        <f>Tabella2[[#This Row],[New_Recovered_fit]]*NOT(ISBLANK(Tabella2[[#This Row],[New recovered]]))</f>
        <v>0</v>
      </c>
      <c r="X72" s="26"/>
      <c r="Y72" s="64">
        <f>Tabella2[[#This Row],[New deaths]]*NOT(ISBLANK(Tabella2[[#This Row],[New deaths]]))</f>
        <v>0</v>
      </c>
      <c r="Z72" s="126">
        <f>(Kt^(1-pt)-(1-pt)*EXP(-(Tabella2[[#This Row],[Day]]-t0t)/wt))^(1/(1-pt))</f>
        <v>25267.830422585204</v>
      </c>
      <c r="AA72" s="10">
        <f>(1/wt)*EXP(-(Tabella2[[#This Row],[Day]]-t0t)/wt)*(Tabella2[[#This Row],[Cum_D_fit]])^pt</f>
        <v>187.61354520417405</v>
      </c>
      <c r="AB72" s="64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126">
        <f>(Kn^(1-pn)-(1-pn)*EXP(-(Tabella2[[#This Row],[Day]]-t0n)/wn))^(1/(1-pn))</f>
        <v>189025.15491406329</v>
      </c>
      <c r="H73" s="126">
        <f>(1/wn)*EXP(-(Tabella2[[#This Row],[Day]]-t0n)/wn)*(Tabella2[[#This Row],[Cum_fit]])^pn</f>
        <v>1114.3003878877876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-955.16467653030611</v>
      </c>
      <c r="P73" s="48"/>
      <c r="Q73" s="60">
        <f>Tabella2[[#This Row],[New recovered]]*NOT(ISBLANK(Tabella2[[#This Row],[New recovered]]))</f>
        <v>0</v>
      </c>
      <c r="R73" s="126">
        <f>(Kd^(1-pd)-(1-pd)*EXP(-(Tabella2[[#This Row],[Day]]-t0d)/wd))^(1/(1-pd))</f>
        <v>64962.956832975207</v>
      </c>
      <c r="S73" s="126">
        <f>(1/wd)*EXP(-(Tabella2[[#This Row],[Day]]-t0d)/wd)*(Tabella2[[#This Row],[Cum_R_fit]])^pd</f>
        <v>1894.3380015460732</v>
      </c>
      <c r="T73" s="60">
        <f>Tabella2[[#This Row],[New_Recovered_fit]]*NOT(ISBLANK(Tabella2[[#This Row],[New recovered]]))</f>
        <v>0</v>
      </c>
      <c r="X73" s="26"/>
      <c r="Y73" s="64">
        <f>Tabella2[[#This Row],[New deaths]]*NOT(ISBLANK(Tabella2[[#This Row],[New deaths]]))</f>
        <v>0</v>
      </c>
      <c r="Z73" s="126">
        <f>(Kt^(1-pt)-(1-pt)*EXP(-(Tabella2[[#This Row],[Day]]-t0t)/wt))^(1/(1-pt))</f>
        <v>25449.137273665834</v>
      </c>
      <c r="AA73" s="10">
        <f>(1/wt)*EXP(-(Tabella2[[#This Row],[Day]]-t0t)/wt)*(Tabella2[[#This Row],[Cum_D_fit]])^pt</f>
        <v>175.1270628720205</v>
      </c>
      <c r="AB73" s="64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137" si="1">C73+1</f>
        <v>66</v>
      </c>
      <c r="F74" s="56">
        <f>Tabella2[[#This Row],[New cases]]*NOT(ISBLANK(Tabella2[[#This Row],[New cases]]))</f>
        <v>0</v>
      </c>
      <c r="G74" s="126">
        <f>(Kn^(1-pn)-(1-pn)*EXP(-(Tabella2[[#This Row],[Day]]-t0n)/wn))^(1/(1-pn))</f>
        <v>190103.34936759315</v>
      </c>
      <c r="H74" s="126">
        <f>(1/wn)*EXP(-(Tabella2[[#This Row],[Day]]-t0n)/wn)*(Tabella2[[#This Row],[Cum_fit]])^pn</f>
        <v>1042.8051250730907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-1009.9619561733258</v>
      </c>
      <c r="P74" s="48"/>
      <c r="Q74" s="60">
        <f>Tabella2[[#This Row],[New recovered]]*NOT(ISBLANK(Tabella2[[#This Row],[New recovered]]))</f>
        <v>0</v>
      </c>
      <c r="R74" s="126">
        <f>(Kd^(1-pd)-(1-pd)*EXP(-(Tabella2[[#This Row],[Day]]-t0d)/wd))^(1/(1-pd))</f>
        <v>66854.93470684372</v>
      </c>
      <c r="S74" s="126">
        <f>(1/wd)*EXP(-(Tabella2[[#This Row],[Day]]-t0d)/wd)*(Tabella2[[#This Row],[Cum_R_fit]])^pd</f>
        <v>1889.3809522139588</v>
      </c>
      <c r="T74" s="60">
        <f>Tabella2[[#This Row],[New_Recovered_fit]]*NOT(ISBLANK(Tabella2[[#This Row],[New recovered]]))</f>
        <v>0</v>
      </c>
      <c r="X74" s="26"/>
      <c r="Y74" s="64">
        <f>Tabella2[[#This Row],[New deaths]]*NOT(ISBLANK(Tabella2[[#This Row],[New deaths]]))</f>
        <v>0</v>
      </c>
      <c r="Z74" s="126">
        <f>(Kt^(1-pt)-(1-pt)*EXP(-(Tabella2[[#This Row],[Day]]-t0t)/wt))^(1/(1-pt))</f>
        <v>25618.333074925336</v>
      </c>
      <c r="AA74" s="10">
        <f>(1/wt)*EXP(-(Tabella2[[#This Row],[Day]]-t0t)/wt)*(Tabella2[[#This Row],[Cum_D_fit]])^pt</f>
        <v>163.38612903245769</v>
      </c>
      <c r="AB74" s="64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126">
        <f>(Kn^(1-pn)-(1-pn)*EXP(-(Tabella2[[#This Row],[Day]]-t0n)/wn))^(1/(1-pn))</f>
        <v>191112.16587307039</v>
      </c>
      <c r="H75" s="126">
        <f>(1/wn)*EXP(-(Tabella2[[#This Row],[Day]]-t0n)/wn)*(Tabella2[[#This Row],[Cum_fit]])^pn</f>
        <v>975.51198707415438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-1059.8809899733496</v>
      </c>
      <c r="P75" s="48"/>
      <c r="Q75" s="60">
        <f>Tabella2[[#This Row],[New recovered]]*NOT(ISBLANK(Tabella2[[#This Row],[New recovered]]))</f>
        <v>0</v>
      </c>
      <c r="R75" s="126">
        <f>(Kd^(1-pd)-(1-pd)*EXP(-(Tabella2[[#This Row],[Day]]-t0d)/wd))^(1/(1-pd))</f>
        <v>68741.255605216094</v>
      </c>
      <c r="S75" s="126">
        <f>(1/wd)*EXP(-(Tabella2[[#This Row],[Day]]-t0d)/wd)*(Tabella2[[#This Row],[Cum_R_fit]])^pd</f>
        <v>1883.0345156581088</v>
      </c>
      <c r="T75" s="60">
        <f>Tabella2[[#This Row],[New_Recovered_fit]]*NOT(ISBLANK(Tabella2[[#This Row],[New recovered]]))</f>
        <v>0</v>
      </c>
      <c r="X75" s="26"/>
      <c r="Y75" s="64">
        <f>Tabella2[[#This Row],[New deaths]]*NOT(ISBLANK(Tabella2[[#This Row],[New deaths]]))</f>
        <v>0</v>
      </c>
      <c r="Z75" s="126">
        <f>(Kt^(1-pt)-(1-pt)*EXP(-(Tabella2[[#This Row],[Day]]-t0t)/wt))^(1/(1-pt))</f>
        <v>25776.147292495047</v>
      </c>
      <c r="AA75" s="10">
        <f>(1/wt)*EXP(-(Tabella2[[#This Row],[Day]]-t0t)/wt)*(Tabella2[[#This Row],[Cum_D_fit]])^pt</f>
        <v>152.35846138939507</v>
      </c>
      <c r="AB75" s="64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126">
        <f>(Kn^(1-pn)-(1-pn)*EXP(-(Tabella2[[#This Row],[Day]]-t0n)/wn))^(1/(1-pn))</f>
        <v>192055.70911519899</v>
      </c>
      <c r="H76" s="126">
        <f>(1/wn)*EXP(-(Tabella2[[#This Row],[Day]]-t0n)/wn)*(Tabella2[[#This Row],[Cum_fit]])^pn</f>
        <v>912.22622088626827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-1105.146640677302</v>
      </c>
      <c r="P76" s="48"/>
      <c r="Q76" s="60">
        <f>Tabella2[[#This Row],[New recovered]]*NOT(ISBLANK(Tabella2[[#This Row],[New recovered]]))</f>
        <v>0</v>
      </c>
      <c r="R76" s="126">
        <f>(Kd^(1-pd)-(1-pd)*EXP(-(Tabella2[[#This Row],[Day]]-t0d)/wd))^(1/(1-pd))</f>
        <v>70620.561570015678</v>
      </c>
      <c r="S76" s="126">
        <f>(1/wd)*EXP(-(Tabella2[[#This Row],[Day]]-t0d)/wd)*(Tabella2[[#This Row],[Cum_R_fit]])^pd</f>
        <v>1875.3615755978522</v>
      </c>
      <c r="T76" s="60">
        <f>Tabella2[[#This Row],[New_Recovered_fit]]*NOT(ISBLANK(Tabella2[[#This Row],[New recovered]]))</f>
        <v>0</v>
      </c>
      <c r="X76" s="26"/>
      <c r="Y76" s="64">
        <f>Tabella2[[#This Row],[New deaths]]*NOT(ISBLANK(Tabella2[[#This Row],[New deaths]]))</f>
        <v>0</v>
      </c>
      <c r="Z76" s="126">
        <f>(Kt^(1-pt)-(1-pt)*EXP(-(Tabella2[[#This Row],[Day]]-t0t)/wt))^(1/(1-pt))</f>
        <v>25923.27682956912</v>
      </c>
      <c r="AA76" s="10">
        <f>(1/wt)*EXP(-(Tabella2[[#This Row],[Day]]-t0t)/wt)*(Tabella2[[#This Row],[Cum_D_fit]])^pt</f>
        <v>142.01128596571814</v>
      </c>
      <c r="AB76" s="64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126">
        <f>(Kn^(1-pn)-(1-pn)*EXP(-(Tabella2[[#This Row],[Day]]-t0n)/wn))^(1/(1-pn))</f>
        <v>192937.88965902769</v>
      </c>
      <c r="H77" s="126">
        <f>(1/wn)*EXP(-(Tabella2[[#This Row],[Day]]-t0n)/wn)*(Tabella2[[#This Row],[Cum_fit]])^pn</f>
        <v>852.75458237660405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-1145.9821831154645</v>
      </c>
      <c r="P77" s="48"/>
      <c r="Q77" s="60">
        <f>Tabella2[[#This Row],[New recovered]]*NOT(ISBLANK(Tabella2[[#This Row],[New recovered]]))</f>
        <v>0</v>
      </c>
      <c r="R77" s="126">
        <f>(Kd^(1-pd)-(1-pd)*EXP(-(Tabella2[[#This Row],[Day]]-t0d)/wd))^(1/(1-pd))</f>
        <v>72491.557562210597</v>
      </c>
      <c r="S77" s="126">
        <f>(1/wd)*EXP(-(Tabella2[[#This Row],[Day]]-t0d)/wd)*(Tabella2[[#This Row],[Cum_R_fit]])^pd</f>
        <v>1866.4250461768947</v>
      </c>
      <c r="T77" s="60">
        <f>Tabella2[[#This Row],[New_Recovered_fit]]*NOT(ISBLANK(Tabella2[[#This Row],[New recovered]]))</f>
        <v>0</v>
      </c>
      <c r="X77" s="26"/>
      <c r="Y77" s="64">
        <f>Tabella2[[#This Row],[New deaths]]*NOT(ISBLANK(Tabella2[[#This Row],[New deaths]]))</f>
        <v>0</v>
      </c>
      <c r="Z77" s="126">
        <f>(Kt^(1-pt)-(1-pt)*EXP(-(Tabella2[[#This Row],[Day]]-t0t)/wt))^(1/(1-pt))</f>
        <v>26060.385731642655</v>
      </c>
      <c r="AA77" s="10">
        <f>(1/wt)*EXP(-(Tabella2[[#This Row],[Day]]-t0t)/wt)*(Tabella2[[#This Row],[Cum_D_fit]])^pt</f>
        <v>132.3117193151738</v>
      </c>
      <c r="AB77" s="64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126">
        <f>(Kn^(1-pn)-(1-pn)*EXP(-(Tabella2[[#This Row],[Day]]-t0n)/wn))^(1/(1-pn))</f>
        <v>193762.42614002063</v>
      </c>
      <c r="H78" s="126">
        <f>(1/wn)*EXP(-(Tabella2[[#This Row],[Day]]-t0n)/wn)*(Tabella2[[#This Row],[Cum_fit]])^pn</f>
        <v>796.90665483050441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-1182.6080712528492</v>
      </c>
      <c r="P78" s="48"/>
      <c r="Q78" s="60">
        <f>Tabella2[[#This Row],[New recovered]]*NOT(ISBLANK(Tabella2[[#This Row],[New recovered]]))</f>
        <v>0</v>
      </c>
      <c r="R78" s="126">
        <f>(Kd^(1-pd)-(1-pd)*EXP(-(Tabella2[[#This Row],[Day]]-t0d)/wd))^(1/(1-pd))</f>
        <v>74353.011375137197</v>
      </c>
      <c r="S78" s="126">
        <f>(1/wd)*EXP(-(Tabella2[[#This Row],[Day]]-t0d)/wd)*(Tabella2[[#This Row],[Cum_R_fit]])^pd</f>
        <v>1856.2876413131355</v>
      </c>
      <c r="T78" s="60">
        <f>Tabella2[[#This Row],[New_Recovered_fit]]*NOT(ISBLANK(Tabella2[[#This Row],[New recovered]]))</f>
        <v>0</v>
      </c>
      <c r="X78" s="26"/>
      <c r="Y78" s="64">
        <f>Tabella2[[#This Row],[New deaths]]*NOT(ISBLANK(Tabella2[[#This Row],[New deaths]]))</f>
        <v>0</v>
      </c>
      <c r="Z78" s="126">
        <f>(Kt^(1-pt)-(1-pt)*EXP(-(Tabella2[[#This Row],[Day]]-t0t)/wt))^(1/(1-pt))</f>
        <v>26188.105240335793</v>
      </c>
      <c r="AA78" s="10">
        <f>(1/wt)*EXP(-(Tabella2[[#This Row],[Day]]-t0t)/wt)*(Tabella2[[#This Row],[Cum_D_fit]])^pt</f>
        <v>123.2270847702179</v>
      </c>
      <c r="AB78" s="64">
        <f>Tabella2[[#This Row],[New_Deaths_fit]]*NOT(ISBLANK(Tabella2[[#This Row],[New deaths]]))</f>
        <v>0</v>
      </c>
    </row>
  </sheetData>
  <mergeCells count="10">
    <mergeCell ref="AT14:AT17"/>
    <mergeCell ref="AT24:AT27"/>
    <mergeCell ref="B2:H2"/>
    <mergeCell ref="B4:G4"/>
    <mergeCell ref="B5:G5"/>
    <mergeCell ref="H3:H6"/>
    <mergeCell ref="AI2:AM2"/>
    <mergeCell ref="AI3:AM3"/>
    <mergeCell ref="AI4:AM4"/>
    <mergeCell ref="AI5:AM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80</vt:i4>
      </vt:variant>
    </vt:vector>
  </HeadingPairs>
  <TitlesOfParts>
    <vt:vector size="83" baseType="lpstr">
      <vt:lpstr>dpc-covid19-ita-andamento-naz</vt:lpstr>
      <vt:lpstr>Cumul_confirmed - Gompertz</vt:lpstr>
      <vt:lpstr>New_confirmed - Gompertz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Kf</vt:lpstr>
      <vt:lpstr>Kh</vt:lpstr>
      <vt:lpstr>Kl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</vt:lpstr>
      <vt:lpstr>pd</vt:lpstr>
      <vt:lpstr>Peak</vt:lpstr>
      <vt:lpstr>Peak_d</vt:lpstr>
      <vt:lpstr>Peak_h</vt:lpstr>
      <vt:lpstr>Peak_n</vt:lpstr>
      <vt:lpstr>Peak_r</vt:lpstr>
      <vt:lpstr>Peak_t</vt:lpstr>
      <vt:lpstr>pf</vt:lpstr>
      <vt:lpstr>ph</vt:lpstr>
      <vt:lpstr>pl</vt:lpstr>
      <vt:lpstr>pn</vt:lpstr>
      <vt:lpstr>pr</vt:lpstr>
      <vt:lpstr>pt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t0l</vt:lpstr>
      <vt:lpstr>t0n</vt:lpstr>
      <vt:lpstr>t0r</vt:lpstr>
      <vt:lpstr>t0t</vt:lpstr>
      <vt:lpstr>w</vt:lpstr>
      <vt:lpstr>wd</vt:lpstr>
      <vt:lpstr>wf</vt:lpstr>
      <vt:lpstr>wh</vt:lpstr>
      <vt:lpstr>wl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2020-04-15T21:38:24Z</dcterms:modified>
</cp:coreProperties>
</file>