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15F6AC02-6EF4-43B2-968C-89EB83B42B7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dpc-covid19-ita-andamento-naz" sheetId="18" r:id="rId1"/>
    <sheet name="dpc-covid19-ita-regioni" sheetId="20" r:id="rId2"/>
    <sheet name="Cumul_deaths - GGoM" sheetId="22" r:id="rId3"/>
    <sheet name="New_deaths - GGoM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GGoM'!$Z$16</definedName>
    <definedName name="CIa">'New_deaths - GGoM'!$AF$41</definedName>
    <definedName name="CIf">'New_deaths - GGoM'!$AF$54</definedName>
    <definedName name="CIl">'New_deaths - GGoM'!$AF$28</definedName>
    <definedName name="CIo">'Cumul_deaths - GGoM'!$Z$38</definedName>
    <definedName name="CIr">'Cumul_deaths - GGoM'!$Z$27</definedName>
    <definedName name="CIt">'Cumul_deaths - GGoM'!$Z$49</definedName>
    <definedName name="CIw">'New_deaths - GGoM'!$AF$16</definedName>
    <definedName name="Critical_t">'Cumul_deaths - GGoM'!$Z$15</definedName>
    <definedName name="Critical_ta">'New_deaths - GGoM'!$AF$40</definedName>
    <definedName name="Critical_tf">'New_deaths - GGoM'!$AF$53</definedName>
    <definedName name="Critical_tl">'New_deaths - GGoM'!$AF$27</definedName>
    <definedName name="Critical_to">'Cumul_deaths - GGoM'!$Z$37</definedName>
    <definedName name="Critical_tr">'Cumul_deaths - GGoM'!$Z$26</definedName>
    <definedName name="Critical_tt">'Cumul_deaths - GGoM'!$Z$48</definedName>
    <definedName name="Critical_tw">'New_deaths - GGoM'!$AF$15</definedName>
    <definedName name="DatiEsterni_1" localSheetId="0" hidden="1">'dpc-covid19-ita-andamento-naz'!$A$1:$O$53</definedName>
    <definedName name="DatiEsterni_1" localSheetId="1" hidden="1">'dpc-covid19-ita-regioni'!$A$1:$S$1093</definedName>
    <definedName name="DatiEsterni_2" localSheetId="0" hidden="1">'dpc-covid19-ita-andamento-naz'!#REF!</definedName>
    <definedName name="df">'Cumul_deaths - GGoM'!$Z$12</definedName>
    <definedName name="dfa">'New_deaths - GGoM'!$AF$37</definedName>
    <definedName name="dff">'New_deaths - GGoM'!$AF$50</definedName>
    <definedName name="dfl">'New_deaths - GGoM'!$AF$24</definedName>
    <definedName name="dfo">'Cumul_deaths - GGoM'!$Z$34</definedName>
    <definedName name="dfr">'Cumul_deaths - GGoM'!$Z$23</definedName>
    <definedName name="dft">'Cumul_deaths - GGoM'!$Z$45</definedName>
    <definedName name="dfw">'New_deaths - GGoM'!$AF$12</definedName>
    <definedName name="Ka">'New_deaths - GGoM'!$AF$33</definedName>
    <definedName name="Kf">'New_deaths - GGoM'!$AF$46</definedName>
    <definedName name="Kl">'New_deaths - GGoM'!$AF$20</definedName>
    <definedName name="Ko">'Cumul_deaths - GGoM'!$Z$30</definedName>
    <definedName name="Kr">'Cumul_deaths - GGoM'!$Z$19</definedName>
    <definedName name="Kt">'Cumul_deaths - GGoM'!$Z$41</definedName>
    <definedName name="Mean_of_y">'Cumul_deaths - GGoM'!$Z$11</definedName>
    <definedName name="Mean_of_ya">'New_deaths - GGoM'!$AF$36</definedName>
    <definedName name="Mean_of_yf">'New_deaths - GGoM'!$AF$49</definedName>
    <definedName name="Mean_of_yl">'New_deaths - GGoM'!$AF$23</definedName>
    <definedName name="Mean_of_yo">'Cumul_deaths - GGoM'!$Z$33</definedName>
    <definedName name="Mean_of_yr">'Cumul_deaths - GGoM'!$Z$22</definedName>
    <definedName name="Mean_of_yt">'Cumul_deaths - GGoM'!$Z$44</definedName>
    <definedName name="Mean_of_yw">'New_deaths - GGoM'!$AF$11</definedName>
    <definedName name="pa">'New_deaths - GGoM'!$AF$44</definedName>
    <definedName name="Peak_w">'New_deaths - GGoM'!$AF$17</definedName>
    <definedName name="pf">'New_deaths - GGoM'!$AF$57</definedName>
    <definedName name="pl">'New_deaths - GGoM'!$AF$31</definedName>
    <definedName name="po">'Cumul_deaths - GGoM'!$Z$39</definedName>
    <definedName name="pr">'Cumul_deaths - GGoM'!$Z$28</definedName>
    <definedName name="pt">'Cumul_deaths - GGoM'!$Z$50</definedName>
    <definedName name="RSQ">'Cumul_deaths - GGoM'!$Z$14</definedName>
    <definedName name="RSQa">'New_deaths - GGoM'!$AF$39</definedName>
    <definedName name="RSQf">'New_deaths - GGoM'!$AF$52</definedName>
    <definedName name="RSQl">'New_deaths - GGoM'!$AF$26</definedName>
    <definedName name="RSQo">'Cumul_deaths - GGoM'!$Z$36</definedName>
    <definedName name="RSQr">'Cumul_deaths - GGoM'!$Z$25</definedName>
    <definedName name="RSQt">'Cumul_deaths - GGoM'!$Z$47</definedName>
    <definedName name="RSQw">'New_deaths - GGoM'!$AF$14</definedName>
    <definedName name="SE_of_y">'Cumul_deaths - GGoM'!$Z$13</definedName>
    <definedName name="SE_of_ya">'New_deaths - GGoM'!$AF$38</definedName>
    <definedName name="SE_of_yf">'New_deaths - GGoM'!$AF$51</definedName>
    <definedName name="SE_of_yl">'New_deaths - GGoM'!$AF$25</definedName>
    <definedName name="SE_of_yo">'Cumul_deaths - GGoM'!$Z$35</definedName>
    <definedName name="SE_of_yr">'Cumul_deaths - GGoM'!$Z$24</definedName>
    <definedName name="SE_of_yt">'Cumul_deaths - GGoM'!$Z$46</definedName>
    <definedName name="SE_of_yw">'New_deaths - GGoM'!$AF$13</definedName>
    <definedName name="solver_adj" localSheetId="2" hidden="1">'Cumul_deaths - GGoM'!$Z$41,'Cumul_deaths - GGoM'!$Z$42,'Cumul_deaths - GGoM'!$Z$43,'Cumul_deaths - GGoM'!$Z$50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'Cumul_deaths - GGoM'!$Z$50</definedName>
    <definedName name="solver_lhs2" localSheetId="2" hidden="1">'Cumul_deaths - GGoM'!$Z$50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'Cumul_deaths - GGoM'!$Z$47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hs1" localSheetId="2" hidden="1">0.999999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</definedName>
    <definedName name="solver_typ" localSheetId="2" hidden="1">1</definedName>
    <definedName name="solver_val" localSheetId="2" hidden="1">0</definedName>
    <definedName name="solver_ver" localSheetId="2" hidden="1">3</definedName>
    <definedName name="t0a">'New_deaths - GGoM'!$AF$34</definedName>
    <definedName name="t0f">'New_deaths - GGoM'!$AF$47</definedName>
    <definedName name="t0l">'New_deaths - GGoM'!$AF$21</definedName>
    <definedName name="t0o">'Cumul_deaths - GGoM'!$Z$31</definedName>
    <definedName name="t0r">'Cumul_deaths - GGoM'!$Z$20</definedName>
    <definedName name="t0t">'Cumul_deaths - GGoM'!$Z$42</definedName>
    <definedName name="wa">'New_deaths - GGoM'!$AF$35</definedName>
    <definedName name="wf">'New_deaths - GGoM'!$AF$48</definedName>
    <definedName name="wl">'New_deaths - GGoM'!$AF$22</definedName>
    <definedName name="wo">'Cumul_deaths - GGoM'!$Z$32</definedName>
    <definedName name="wr">'Cumul_deaths - GGoM'!$Z$21</definedName>
    <definedName name="wt">'Cumul_deaths - GGoM'!$Z$43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7" i="23" l="1"/>
  <c r="W57" i="23"/>
  <c r="V58" i="23"/>
  <c r="W58" i="23"/>
  <c r="V59" i="23"/>
  <c r="W59" i="23"/>
  <c r="O58" i="23"/>
  <c r="P58" i="23"/>
  <c r="O59" i="23"/>
  <c r="P59" i="23"/>
  <c r="N56" i="23"/>
  <c r="N57" i="23"/>
  <c r="N58" i="23"/>
  <c r="N59" i="23"/>
  <c r="D56" i="23"/>
  <c r="E57" i="23" s="1"/>
  <c r="E56" i="23"/>
  <c r="D57" i="23"/>
  <c r="E58" i="23" s="1"/>
  <c r="D58" i="23"/>
  <c r="E59" i="23" s="1"/>
  <c r="D59" i="23"/>
  <c r="R57" i="22"/>
  <c r="R58" i="22"/>
  <c r="R59" i="22"/>
  <c r="D57" i="22"/>
  <c r="D58" i="22"/>
  <c r="D59" i="22"/>
  <c r="L58" i="22"/>
  <c r="L59" i="22"/>
  <c r="L57" i="22"/>
  <c r="AN43" i="22" l="1"/>
  <c r="AN42" i="22"/>
  <c r="AN41" i="22"/>
  <c r="AN40" i="22"/>
  <c r="AN39" i="22"/>
  <c r="AN33" i="22"/>
  <c r="AN32" i="22"/>
  <c r="AN31" i="22"/>
  <c r="AN30" i="22"/>
  <c r="AN29" i="22"/>
  <c r="AN23" i="22"/>
  <c r="AN22" i="22"/>
  <c r="AN21" i="22"/>
  <c r="AN20" i="22"/>
  <c r="AN19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T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8" i="22"/>
  <c r="AF57" i="23"/>
  <c r="AF44" i="23"/>
  <c r="AF31" i="23"/>
  <c r="L35" i="22"/>
  <c r="L32" i="22"/>
  <c r="L55" i="22"/>
  <c r="L31" i="22"/>
  <c r="L47" i="22"/>
  <c r="L33" i="22"/>
  <c r="L43" i="22"/>
  <c r="L13" i="22"/>
  <c r="L25" i="22"/>
  <c r="L45" i="22"/>
  <c r="L44" i="22"/>
  <c r="L14" i="22"/>
  <c r="L15" i="22"/>
  <c r="L36" i="22"/>
  <c r="L20" i="22"/>
  <c r="L41" i="22"/>
  <c r="L53" i="22"/>
  <c r="L54" i="22"/>
  <c r="L9" i="22"/>
  <c r="L26" i="22"/>
  <c r="L27" i="22"/>
  <c r="L17" i="22"/>
  <c r="L48" i="22"/>
  <c r="L39" i="22"/>
  <c r="L21" i="22"/>
  <c r="L8" i="22"/>
  <c r="L51" i="22"/>
  <c r="L16" i="22"/>
  <c r="L18" i="22"/>
  <c r="L40" i="22"/>
  <c r="L37" i="22"/>
  <c r="L12" i="22"/>
  <c r="L23" i="22"/>
  <c r="L19" i="22"/>
  <c r="L10" i="22"/>
  <c r="L38" i="22"/>
  <c r="L28" i="22"/>
  <c r="L52" i="22"/>
  <c r="L11" i="22"/>
  <c r="L22" i="22"/>
  <c r="L50" i="22"/>
  <c r="L24" i="22"/>
  <c r="L46" i="22"/>
  <c r="L29" i="22"/>
  <c r="L49" i="22"/>
  <c r="L42" i="22"/>
  <c r="L34" i="22"/>
  <c r="L56" i="22"/>
  <c r="L30" i="22"/>
  <c r="N30" i="23" l="1"/>
  <c r="N34" i="23"/>
  <c r="N42" i="23"/>
  <c r="N49" i="23"/>
  <c r="N29" i="23"/>
  <c r="N46" i="23"/>
  <c r="N24" i="23"/>
  <c r="N50" i="23"/>
  <c r="N22" i="23"/>
  <c r="N11" i="23"/>
  <c r="N52" i="23"/>
  <c r="N28" i="23"/>
  <c r="N38" i="23"/>
  <c r="N10" i="23"/>
  <c r="N19" i="23"/>
  <c r="N23" i="23"/>
  <c r="N12" i="23"/>
  <c r="N37" i="23"/>
  <c r="N40" i="23"/>
  <c r="N18" i="23"/>
  <c r="N16" i="23"/>
  <c r="N51" i="23"/>
  <c r="Z23" i="22"/>
  <c r="N21" i="23"/>
  <c r="N39" i="23"/>
  <c r="N48" i="23"/>
  <c r="N17" i="23"/>
  <c r="N27" i="23"/>
  <c r="N26" i="23"/>
  <c r="N9" i="23"/>
  <c r="N54" i="23"/>
  <c r="N53" i="23"/>
  <c r="N41" i="23"/>
  <c r="N20" i="23"/>
  <c r="N36" i="23"/>
  <c r="N15" i="23"/>
  <c r="N14" i="23"/>
  <c r="N44" i="23"/>
  <c r="N45" i="23"/>
  <c r="N25" i="23"/>
  <c r="N13" i="23"/>
  <c r="N43" i="23"/>
  <c r="N33" i="23"/>
  <c r="N47" i="23"/>
  <c r="N31" i="23"/>
  <c r="N55" i="23"/>
  <c r="N32" i="23"/>
  <c r="N35" i="23"/>
  <c r="N8" i="23"/>
  <c r="O57" i="23" l="1"/>
  <c r="V56" i="23"/>
  <c r="O56" i="23"/>
  <c r="D56" i="22"/>
  <c r="R56" i="22" s="1"/>
  <c r="O55" i="23" l="1"/>
  <c r="D55" i="23"/>
  <c r="D55" i="22"/>
  <c r="R55" i="22" s="1"/>
  <c r="V55" i="23" l="1"/>
  <c r="W56" i="23" s="1"/>
  <c r="P8" i="23"/>
  <c r="P57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AF48" i="23"/>
  <c r="AF47" i="23"/>
  <c r="AF46" i="23"/>
  <c r="AF35" i="23"/>
  <c r="AF34" i="23"/>
  <c r="AF33" i="23"/>
  <c r="AF22" i="23"/>
  <c r="AF21" i="23"/>
  <c r="AF20" i="23"/>
  <c r="O54" i="23"/>
  <c r="P54" i="23" s="1"/>
  <c r="P55" i="23"/>
  <c r="P56" i="23"/>
  <c r="Z17" i="22"/>
  <c r="AF55" i="23" l="1"/>
  <c r="AF42" i="23"/>
  <c r="Q8" i="23"/>
  <c r="AF29" i="23"/>
  <c r="Q15" i="23"/>
  <c r="Q27" i="23"/>
  <c r="Q39" i="23"/>
  <c r="Q51" i="23"/>
  <c r="Q63" i="23"/>
  <c r="Q75" i="23"/>
  <c r="Q62" i="23"/>
  <c r="Q16" i="23"/>
  <c r="Q28" i="23"/>
  <c r="Q40" i="23"/>
  <c r="Q52" i="23"/>
  <c r="Q64" i="23"/>
  <c r="Q76" i="23"/>
  <c r="Q74" i="23"/>
  <c r="Q17" i="23"/>
  <c r="Q29" i="23"/>
  <c r="Q41" i="23"/>
  <c r="Q53" i="23"/>
  <c r="Q65" i="23"/>
  <c r="Q77" i="23"/>
  <c r="Q14" i="23"/>
  <c r="Q18" i="23"/>
  <c r="Q30" i="23"/>
  <c r="Q42" i="23"/>
  <c r="Q54" i="23"/>
  <c r="Q66" i="23"/>
  <c r="Q78" i="23"/>
  <c r="Q26" i="23"/>
  <c r="Q19" i="23"/>
  <c r="Q31" i="23"/>
  <c r="Q43" i="23"/>
  <c r="Q55" i="23"/>
  <c r="Q67" i="23"/>
  <c r="Q20" i="23"/>
  <c r="Q32" i="23"/>
  <c r="Q44" i="23"/>
  <c r="Q56" i="23"/>
  <c r="Q68" i="23"/>
  <c r="Q9" i="23"/>
  <c r="Q21" i="23"/>
  <c r="Q33" i="23"/>
  <c r="Q45" i="23"/>
  <c r="Q57" i="23"/>
  <c r="Q69" i="23"/>
  <c r="Q10" i="23"/>
  <c r="Q22" i="23"/>
  <c r="Q34" i="23"/>
  <c r="Q46" i="23"/>
  <c r="Q58" i="23"/>
  <c r="Q70" i="23"/>
  <c r="Q50" i="23"/>
  <c r="Q11" i="23"/>
  <c r="Q23" i="23"/>
  <c r="Q35" i="23"/>
  <c r="Q47" i="23"/>
  <c r="Q59" i="23"/>
  <c r="Q71" i="23"/>
  <c r="Q12" i="23"/>
  <c r="Q24" i="23"/>
  <c r="Q36" i="23"/>
  <c r="Q48" i="23"/>
  <c r="Q60" i="23"/>
  <c r="Q72" i="23"/>
  <c r="Q13" i="23"/>
  <c r="Q25" i="23"/>
  <c r="Q37" i="23"/>
  <c r="Q49" i="23"/>
  <c r="Q61" i="23"/>
  <c r="Q73" i="23"/>
  <c r="Q38" i="23"/>
  <c r="R14" i="23"/>
  <c r="R26" i="23"/>
  <c r="R38" i="23"/>
  <c r="R50" i="23"/>
  <c r="R62" i="23"/>
  <c r="R74" i="23"/>
  <c r="R15" i="23"/>
  <c r="R27" i="23"/>
  <c r="R39" i="23"/>
  <c r="R51" i="23"/>
  <c r="R63" i="23"/>
  <c r="R75" i="23"/>
  <c r="R16" i="23"/>
  <c r="R28" i="23"/>
  <c r="R40" i="23"/>
  <c r="R52" i="23"/>
  <c r="R64" i="23"/>
  <c r="R76" i="23"/>
  <c r="R17" i="23"/>
  <c r="R29" i="23"/>
  <c r="R41" i="23"/>
  <c r="R53" i="23"/>
  <c r="R65" i="23"/>
  <c r="R77" i="23"/>
  <c r="R18" i="23"/>
  <c r="R30" i="23"/>
  <c r="R42" i="23"/>
  <c r="R54" i="23"/>
  <c r="R66" i="23"/>
  <c r="R78" i="23"/>
  <c r="R25" i="23"/>
  <c r="R19" i="23"/>
  <c r="R31" i="23"/>
  <c r="R43" i="23"/>
  <c r="R55" i="23"/>
  <c r="R67" i="23"/>
  <c r="R8" i="23"/>
  <c r="R73" i="23"/>
  <c r="R20" i="23"/>
  <c r="R32" i="23"/>
  <c r="R44" i="23"/>
  <c r="R56" i="23"/>
  <c r="R68" i="23"/>
  <c r="R9" i="23"/>
  <c r="R21" i="23"/>
  <c r="R33" i="23"/>
  <c r="R45" i="23"/>
  <c r="R57" i="23"/>
  <c r="R69" i="23"/>
  <c r="R10" i="23"/>
  <c r="R22" i="23"/>
  <c r="R34" i="23"/>
  <c r="R46" i="23"/>
  <c r="R58" i="23"/>
  <c r="R70" i="23"/>
  <c r="R37" i="23"/>
  <c r="R11" i="23"/>
  <c r="R23" i="23"/>
  <c r="R35" i="23"/>
  <c r="R47" i="23"/>
  <c r="R59" i="23"/>
  <c r="R71" i="23"/>
  <c r="R49" i="23"/>
  <c r="R12" i="23"/>
  <c r="R24" i="23"/>
  <c r="R36" i="23"/>
  <c r="R48" i="23"/>
  <c r="R60" i="23"/>
  <c r="R72" i="23"/>
  <c r="R13" i="23"/>
  <c r="R61" i="23"/>
  <c r="Z18" i="23"/>
  <c r="Z30" i="23"/>
  <c r="Z42" i="23"/>
  <c r="Z54" i="23"/>
  <c r="Z66" i="23"/>
  <c r="Z78" i="23"/>
  <c r="Y19" i="23"/>
  <c r="Y31" i="23"/>
  <c r="Y43" i="23"/>
  <c r="Y55" i="23"/>
  <c r="Y67" i="23"/>
  <c r="Y8" i="23"/>
  <c r="Z19" i="23"/>
  <c r="Z31" i="23"/>
  <c r="Z43" i="23"/>
  <c r="Z55" i="23"/>
  <c r="Z67" i="23"/>
  <c r="Z8" i="23"/>
  <c r="AA8" i="23" s="1"/>
  <c r="Y20" i="23"/>
  <c r="Y32" i="23"/>
  <c r="Y44" i="23"/>
  <c r="Y56" i="23"/>
  <c r="Y68" i="23"/>
  <c r="Z20" i="23"/>
  <c r="Z32" i="23"/>
  <c r="Z44" i="23"/>
  <c r="Z56" i="23"/>
  <c r="Z68" i="23"/>
  <c r="Y9" i="23"/>
  <c r="Y21" i="23"/>
  <c r="Y33" i="23"/>
  <c r="Y45" i="23"/>
  <c r="Y57" i="23"/>
  <c r="Y69" i="23"/>
  <c r="Z9" i="23"/>
  <c r="Z21" i="23"/>
  <c r="Z33" i="23"/>
  <c r="Z45" i="23"/>
  <c r="Z57" i="23"/>
  <c r="Z69" i="23"/>
  <c r="Y10" i="23"/>
  <c r="Y22" i="23"/>
  <c r="Y34" i="23"/>
  <c r="Y46" i="23"/>
  <c r="Y58" i="23"/>
  <c r="Y70" i="23"/>
  <c r="Z10" i="23"/>
  <c r="Z22" i="23"/>
  <c r="Z34" i="23"/>
  <c r="Z46" i="23"/>
  <c r="Z58" i="23"/>
  <c r="Z70" i="23"/>
  <c r="Y11" i="23"/>
  <c r="Y23" i="23"/>
  <c r="Y35" i="23"/>
  <c r="Y47" i="23"/>
  <c r="Y59" i="23"/>
  <c r="Y71" i="23"/>
  <c r="Z11" i="23"/>
  <c r="Z23" i="23"/>
  <c r="Z35" i="23"/>
  <c r="Z47" i="23"/>
  <c r="Z59" i="23"/>
  <c r="Z71" i="23"/>
  <c r="Y12" i="23"/>
  <c r="Y24" i="23"/>
  <c r="Y36" i="23"/>
  <c r="Y48" i="23"/>
  <c r="Y60" i="23"/>
  <c r="Y72" i="23"/>
  <c r="Z77" i="23"/>
  <c r="Y18" i="23"/>
  <c r="Z12" i="23"/>
  <c r="Z24" i="23"/>
  <c r="Z36" i="23"/>
  <c r="Z48" i="23"/>
  <c r="Z60" i="23"/>
  <c r="Z72" i="23"/>
  <c r="Y13" i="23"/>
  <c r="Y25" i="23"/>
  <c r="Y37" i="23"/>
  <c r="Y49" i="23"/>
  <c r="Y61" i="23"/>
  <c r="Y73" i="23"/>
  <c r="Z41" i="23"/>
  <c r="Y78" i="23"/>
  <c r="Z13" i="23"/>
  <c r="Z25" i="23"/>
  <c r="Z37" i="23"/>
  <c r="Z49" i="23"/>
  <c r="Z61" i="23"/>
  <c r="Z73" i="23"/>
  <c r="Y14" i="23"/>
  <c r="Y26" i="23"/>
  <c r="Y38" i="23"/>
  <c r="Y50" i="23"/>
  <c r="Y62" i="23"/>
  <c r="Y74" i="23"/>
  <c r="Z53" i="23"/>
  <c r="Y42" i="23"/>
  <c r="Z14" i="23"/>
  <c r="Z26" i="23"/>
  <c r="Z38" i="23"/>
  <c r="Z50" i="23"/>
  <c r="Z62" i="23"/>
  <c r="Z74" i="23"/>
  <c r="Y15" i="23"/>
  <c r="Y27" i="23"/>
  <c r="Y39" i="23"/>
  <c r="Y51" i="23"/>
  <c r="Y63" i="23"/>
  <c r="Y75" i="23"/>
  <c r="Z65" i="23"/>
  <c r="Y30" i="23"/>
  <c r="Z15" i="23"/>
  <c r="Z27" i="23"/>
  <c r="Z39" i="23"/>
  <c r="Z51" i="23"/>
  <c r="Z63" i="23"/>
  <c r="Z75" i="23"/>
  <c r="Y16" i="23"/>
  <c r="Y28" i="23"/>
  <c r="Y40" i="23"/>
  <c r="Y52" i="23"/>
  <c r="Y64" i="23"/>
  <c r="Y76" i="23"/>
  <c r="Z29" i="23"/>
  <c r="Y66" i="23"/>
  <c r="Z16" i="23"/>
  <c r="Z28" i="23"/>
  <c r="Z40" i="23"/>
  <c r="Z52" i="23"/>
  <c r="Z64" i="23"/>
  <c r="Z76" i="23"/>
  <c r="Y17" i="23"/>
  <c r="Y29" i="23"/>
  <c r="Y41" i="23"/>
  <c r="Y53" i="23"/>
  <c r="Y65" i="23"/>
  <c r="Y77" i="23"/>
  <c r="Z17" i="23"/>
  <c r="Y54" i="23"/>
  <c r="I10" i="23"/>
  <c r="I22" i="23"/>
  <c r="I34" i="23"/>
  <c r="I46" i="23"/>
  <c r="I58" i="23"/>
  <c r="I70" i="23"/>
  <c r="I49" i="23"/>
  <c r="I69" i="23"/>
  <c r="I11" i="23"/>
  <c r="I23" i="23"/>
  <c r="I35" i="23"/>
  <c r="I47" i="23"/>
  <c r="I59" i="23"/>
  <c r="I71" i="23"/>
  <c r="I37" i="23"/>
  <c r="I12" i="23"/>
  <c r="I24" i="23"/>
  <c r="I36" i="23"/>
  <c r="I48" i="23"/>
  <c r="I60" i="23"/>
  <c r="I72" i="23"/>
  <c r="I25" i="23"/>
  <c r="I73" i="23"/>
  <c r="I13" i="23"/>
  <c r="I61" i="23"/>
  <c r="I14" i="23"/>
  <c r="I26" i="23"/>
  <c r="I38" i="23"/>
  <c r="I50" i="23"/>
  <c r="I62" i="23"/>
  <c r="I74" i="23"/>
  <c r="I15" i="23"/>
  <c r="I27" i="23"/>
  <c r="I39" i="23"/>
  <c r="I51" i="23"/>
  <c r="I63" i="23"/>
  <c r="I75" i="23"/>
  <c r="I21" i="23"/>
  <c r="I16" i="23"/>
  <c r="I28" i="23"/>
  <c r="I40" i="23"/>
  <c r="I52" i="23"/>
  <c r="I64" i="23"/>
  <c r="I76" i="23"/>
  <c r="I17" i="23"/>
  <c r="I29" i="23"/>
  <c r="I41" i="23"/>
  <c r="I53" i="23"/>
  <c r="I65" i="23"/>
  <c r="I77" i="23"/>
  <c r="I9" i="23"/>
  <c r="I18" i="23"/>
  <c r="I30" i="23"/>
  <c r="I42" i="23"/>
  <c r="I54" i="23"/>
  <c r="I66" i="23"/>
  <c r="I78" i="23"/>
  <c r="I45" i="23"/>
  <c r="I19" i="23"/>
  <c r="I31" i="23"/>
  <c r="I43" i="23"/>
  <c r="I55" i="23"/>
  <c r="I67" i="23"/>
  <c r="I8" i="23"/>
  <c r="K8" i="23" s="1"/>
  <c r="I57" i="23"/>
  <c r="I20" i="23"/>
  <c r="I32" i="23"/>
  <c r="I44" i="23"/>
  <c r="I56" i="23"/>
  <c r="I68" i="23"/>
  <c r="I33" i="23"/>
  <c r="D9" i="22"/>
  <c r="R9" i="22" s="1"/>
  <c r="S9" i="22" s="1"/>
  <c r="D10" i="22"/>
  <c r="R10" i="22" s="1"/>
  <c r="S10" i="22" s="1"/>
  <c r="D11" i="22"/>
  <c r="D12" i="22"/>
  <c r="D13" i="22"/>
  <c r="R13" i="22" s="1"/>
  <c r="S13" i="22" s="1"/>
  <c r="D14" i="22"/>
  <c r="R14" i="22" s="1"/>
  <c r="S14" i="22" s="1"/>
  <c r="D15" i="22"/>
  <c r="D16" i="22"/>
  <c r="E16" i="22" s="1"/>
  <c r="D17" i="22"/>
  <c r="E17" i="22" s="1"/>
  <c r="D18" i="22"/>
  <c r="E18" i="22" s="1"/>
  <c r="D19" i="22"/>
  <c r="R19" i="22" s="1"/>
  <c r="S19" i="22" s="1"/>
  <c r="D20" i="22"/>
  <c r="E20" i="22" s="1"/>
  <c r="D21" i="22"/>
  <c r="E21" i="22" s="1"/>
  <c r="D22" i="22"/>
  <c r="E22" i="22" s="1"/>
  <c r="D23" i="22"/>
  <c r="E23" i="22" s="1"/>
  <c r="D24" i="22"/>
  <c r="D25" i="22"/>
  <c r="R25" i="22" s="1"/>
  <c r="S25" i="22" s="1"/>
  <c r="D26" i="22"/>
  <c r="E26" i="22" s="1"/>
  <c r="D27" i="22"/>
  <c r="R27" i="22" s="1"/>
  <c r="S27" i="22" s="1"/>
  <c r="D28" i="22"/>
  <c r="E28" i="22" s="1"/>
  <c r="D29" i="22"/>
  <c r="D30" i="22"/>
  <c r="D31" i="22"/>
  <c r="R31" i="22" s="1"/>
  <c r="S31" i="22" s="1"/>
  <c r="D32" i="22"/>
  <c r="R32" i="22" s="1"/>
  <c r="S32" i="22" s="1"/>
  <c r="D33" i="22"/>
  <c r="D34" i="22"/>
  <c r="E34" i="22" s="1"/>
  <c r="D35" i="22"/>
  <c r="R35" i="22" s="1"/>
  <c r="S35" i="22" s="1"/>
  <c r="D36" i="22"/>
  <c r="E36" i="22" s="1"/>
  <c r="D37" i="22"/>
  <c r="E37" i="22" s="1"/>
  <c r="D38" i="22"/>
  <c r="D39" i="22"/>
  <c r="E39" i="22" s="1"/>
  <c r="D40" i="22"/>
  <c r="E40" i="22" s="1"/>
  <c r="D41" i="22"/>
  <c r="E41" i="22" s="1"/>
  <c r="D42" i="22"/>
  <c r="E42" i="22" s="1"/>
  <c r="D43" i="22"/>
  <c r="R43" i="22" s="1"/>
  <c r="S43" i="22" s="1"/>
  <c r="D44" i="22"/>
  <c r="R44" i="22" s="1"/>
  <c r="S44" i="22" s="1"/>
  <c r="D45" i="22"/>
  <c r="R45" i="22" s="1"/>
  <c r="S45" i="22" s="1"/>
  <c r="D46" i="22"/>
  <c r="R46" i="22" s="1"/>
  <c r="S46" i="22" s="1"/>
  <c r="D47" i="22"/>
  <c r="E47" i="22" s="1"/>
  <c r="D48" i="22"/>
  <c r="R48" i="22" s="1"/>
  <c r="S48" i="22" s="1"/>
  <c r="D49" i="22"/>
  <c r="E49" i="22" s="1"/>
  <c r="D50" i="22"/>
  <c r="R50" i="22" s="1"/>
  <c r="S50" i="22" s="1"/>
  <c r="D51" i="22"/>
  <c r="D52" i="22"/>
  <c r="R52" i="22" s="1"/>
  <c r="S52" i="22" s="1"/>
  <c r="D53" i="22"/>
  <c r="R53" i="22" s="1"/>
  <c r="S53" i="22" s="1"/>
  <c r="D54" i="22"/>
  <c r="R54" i="22" s="1"/>
  <c r="S55" i="22"/>
  <c r="S56" i="22"/>
  <c r="D8" i="22"/>
  <c r="D9" i="23"/>
  <c r="D10" i="23"/>
  <c r="V10" i="23" s="1"/>
  <c r="D11" i="23"/>
  <c r="D12" i="23"/>
  <c r="V12" i="23" s="1"/>
  <c r="D13" i="23"/>
  <c r="D14" i="23"/>
  <c r="D15" i="23"/>
  <c r="D16" i="23"/>
  <c r="D17" i="23"/>
  <c r="V17" i="23" s="1"/>
  <c r="D18" i="23"/>
  <c r="D19" i="23"/>
  <c r="D20" i="23"/>
  <c r="D21" i="23"/>
  <c r="D22" i="23"/>
  <c r="V22" i="23" s="1"/>
  <c r="D23" i="23"/>
  <c r="D24" i="23"/>
  <c r="V24" i="23" s="1"/>
  <c r="D25" i="23"/>
  <c r="V25" i="23" s="1"/>
  <c r="D26" i="23"/>
  <c r="D27" i="23"/>
  <c r="V27" i="23" s="1"/>
  <c r="D28" i="23"/>
  <c r="V28" i="23" s="1"/>
  <c r="D29" i="23"/>
  <c r="D30" i="23"/>
  <c r="V30" i="23" s="1"/>
  <c r="D31" i="23"/>
  <c r="D32" i="23"/>
  <c r="D33" i="23"/>
  <c r="D34" i="23"/>
  <c r="V34" i="23" s="1"/>
  <c r="D35" i="23"/>
  <c r="D36" i="23"/>
  <c r="V36" i="23" s="1"/>
  <c r="D37" i="23"/>
  <c r="D38" i="23"/>
  <c r="D39" i="23"/>
  <c r="D40" i="23"/>
  <c r="V40" i="23" s="1"/>
  <c r="D41" i="23"/>
  <c r="V41" i="23" s="1"/>
  <c r="D42" i="23"/>
  <c r="V42" i="23" s="1"/>
  <c r="D43" i="23"/>
  <c r="D44" i="23"/>
  <c r="D45" i="23"/>
  <c r="D46" i="23"/>
  <c r="V46" i="23" s="1"/>
  <c r="D47" i="23"/>
  <c r="D48" i="23"/>
  <c r="V48" i="23" s="1"/>
  <c r="D49" i="23"/>
  <c r="D50" i="23"/>
  <c r="D51" i="23"/>
  <c r="V51" i="23" s="1"/>
  <c r="D52" i="23"/>
  <c r="V52" i="23" s="1"/>
  <c r="D53" i="23"/>
  <c r="V53" i="23" s="1"/>
  <c r="D54" i="23"/>
  <c r="D8" i="23"/>
  <c r="V8" i="23" s="1"/>
  <c r="X78" i="23"/>
  <c r="F78" i="23"/>
  <c r="X77" i="23"/>
  <c r="F77" i="23"/>
  <c r="X76" i="23"/>
  <c r="F76" i="23"/>
  <c r="X75" i="23"/>
  <c r="F75" i="23"/>
  <c r="X74" i="23"/>
  <c r="F74" i="23"/>
  <c r="X73" i="23"/>
  <c r="F73" i="23"/>
  <c r="X72" i="23"/>
  <c r="F72" i="23"/>
  <c r="X71" i="23"/>
  <c r="F71" i="23"/>
  <c r="X70" i="23"/>
  <c r="F70" i="23"/>
  <c r="X69" i="23"/>
  <c r="F69" i="23"/>
  <c r="X68" i="23"/>
  <c r="F68" i="23"/>
  <c r="X67" i="23"/>
  <c r="F67" i="23"/>
  <c r="X66" i="23"/>
  <c r="F66" i="23"/>
  <c r="X65" i="23"/>
  <c r="F65" i="23"/>
  <c r="X64" i="23"/>
  <c r="F64" i="23"/>
  <c r="X63" i="23"/>
  <c r="F63" i="23"/>
  <c r="X62" i="23"/>
  <c r="F62" i="23"/>
  <c r="X61" i="23"/>
  <c r="F61" i="23"/>
  <c r="X60" i="23"/>
  <c r="F60" i="23"/>
  <c r="X59" i="23"/>
  <c r="F59" i="23"/>
  <c r="X58" i="23"/>
  <c r="F58" i="23"/>
  <c r="X57" i="23"/>
  <c r="F57" i="23"/>
  <c r="O53" i="23"/>
  <c r="P53" i="23" s="1"/>
  <c r="O52" i="23"/>
  <c r="P52" i="23" s="1"/>
  <c r="O51" i="23"/>
  <c r="P51" i="23" s="1"/>
  <c r="O50" i="23"/>
  <c r="P50" i="23" s="1"/>
  <c r="O49" i="23"/>
  <c r="P49" i="23" s="1"/>
  <c r="O48" i="23"/>
  <c r="P48" i="23" s="1"/>
  <c r="O47" i="23"/>
  <c r="P47" i="23" s="1"/>
  <c r="AS46" i="23"/>
  <c r="O46" i="23"/>
  <c r="P46" i="23" s="1"/>
  <c r="AS45" i="23"/>
  <c r="O45" i="23"/>
  <c r="P45" i="23" s="1"/>
  <c r="AS44" i="23"/>
  <c r="O44" i="23"/>
  <c r="P44" i="23" s="1"/>
  <c r="O43" i="23"/>
  <c r="P43" i="23" s="1"/>
  <c r="O42" i="23"/>
  <c r="P42" i="23" s="1"/>
  <c r="O41" i="23"/>
  <c r="P41" i="23" s="1"/>
  <c r="O40" i="23"/>
  <c r="P40" i="23" s="1"/>
  <c r="O39" i="23"/>
  <c r="P39" i="23" s="1"/>
  <c r="O38" i="23"/>
  <c r="P38" i="23" s="1"/>
  <c r="O37" i="23"/>
  <c r="P37" i="23" s="1"/>
  <c r="O36" i="23"/>
  <c r="P36" i="23" s="1"/>
  <c r="O35" i="23"/>
  <c r="P35" i="23" s="1"/>
  <c r="O34" i="23"/>
  <c r="P34" i="23" s="1"/>
  <c r="AS33" i="23"/>
  <c r="O33" i="23"/>
  <c r="P33" i="23" s="1"/>
  <c r="AS32" i="23"/>
  <c r="O32" i="23"/>
  <c r="P32" i="23" s="1"/>
  <c r="AS31" i="23"/>
  <c r="O31" i="23"/>
  <c r="P31" i="23" s="1"/>
  <c r="AS30" i="23"/>
  <c r="O30" i="23"/>
  <c r="P30" i="23" s="1"/>
  <c r="AS29" i="23"/>
  <c r="O29" i="23"/>
  <c r="P29" i="23" s="1"/>
  <c r="O28" i="23"/>
  <c r="P28" i="23" s="1"/>
  <c r="O27" i="23"/>
  <c r="P27" i="23" s="1"/>
  <c r="O26" i="23"/>
  <c r="P26" i="23" s="1"/>
  <c r="O25" i="23"/>
  <c r="P25" i="23" s="1"/>
  <c r="O24" i="23"/>
  <c r="P24" i="23" s="1"/>
  <c r="AS23" i="23"/>
  <c r="O23" i="23"/>
  <c r="P23" i="23" s="1"/>
  <c r="AS22" i="23"/>
  <c r="O22" i="23"/>
  <c r="P22" i="23" s="1"/>
  <c r="AS21" i="23"/>
  <c r="O21" i="23"/>
  <c r="P21" i="23" s="1"/>
  <c r="AS20" i="23"/>
  <c r="O20" i="23"/>
  <c r="P20" i="23" s="1"/>
  <c r="AS19" i="23"/>
  <c r="O19" i="23"/>
  <c r="P19" i="23" s="1"/>
  <c r="O18" i="23"/>
  <c r="P18" i="23" s="1"/>
  <c r="O17" i="23"/>
  <c r="P17" i="23" s="1"/>
  <c r="O16" i="23"/>
  <c r="P16" i="23" s="1"/>
  <c r="O15" i="23"/>
  <c r="P15" i="23" s="1"/>
  <c r="O14" i="23"/>
  <c r="P14" i="23" s="1"/>
  <c r="O13" i="23"/>
  <c r="P13" i="23" s="1"/>
  <c r="O12" i="23"/>
  <c r="P12" i="23" s="1"/>
  <c r="O11" i="23"/>
  <c r="P11" i="23" s="1"/>
  <c r="O10" i="23"/>
  <c r="P10" i="23" s="1"/>
  <c r="O9" i="23"/>
  <c r="AF24" i="23" s="1"/>
  <c r="C9" i="23"/>
  <c r="X8" i="23"/>
  <c r="F8" i="23"/>
  <c r="S78" i="22"/>
  <c r="M78" i="22"/>
  <c r="E78" i="22"/>
  <c r="S77" i="22"/>
  <c r="M77" i="22"/>
  <c r="E77" i="22"/>
  <c r="S76" i="22"/>
  <c r="M76" i="22"/>
  <c r="E76" i="22"/>
  <c r="S75" i="22"/>
  <c r="M75" i="22"/>
  <c r="E75" i="22"/>
  <c r="S74" i="22"/>
  <c r="M74" i="22"/>
  <c r="E74" i="22"/>
  <c r="S73" i="22"/>
  <c r="M73" i="22"/>
  <c r="E73" i="22"/>
  <c r="S72" i="22"/>
  <c r="M72" i="22"/>
  <c r="E72" i="22"/>
  <c r="S71" i="22"/>
  <c r="M71" i="22"/>
  <c r="E71" i="22"/>
  <c r="S70" i="22"/>
  <c r="M70" i="22"/>
  <c r="E70" i="22"/>
  <c r="S69" i="22"/>
  <c r="M69" i="22"/>
  <c r="E69" i="22"/>
  <c r="S68" i="22"/>
  <c r="M68" i="22"/>
  <c r="E68" i="22"/>
  <c r="S67" i="22"/>
  <c r="M67" i="22"/>
  <c r="E67" i="22"/>
  <c r="S66" i="22"/>
  <c r="M66" i="22"/>
  <c r="E66" i="22"/>
  <c r="S65" i="22"/>
  <c r="M65" i="22"/>
  <c r="E65" i="22"/>
  <c r="S64" i="22"/>
  <c r="M64" i="22"/>
  <c r="E64" i="22"/>
  <c r="S63" i="22"/>
  <c r="M63" i="22"/>
  <c r="E63" i="22"/>
  <c r="S62" i="22"/>
  <c r="M62" i="22"/>
  <c r="E62" i="22"/>
  <c r="S61" i="22"/>
  <c r="M61" i="22"/>
  <c r="E61" i="22"/>
  <c r="S60" i="22"/>
  <c r="M60" i="22"/>
  <c r="E60" i="22"/>
  <c r="S59" i="22"/>
  <c r="M59" i="22"/>
  <c r="E59" i="22"/>
  <c r="S58" i="22"/>
  <c r="M58" i="22"/>
  <c r="E58" i="22"/>
  <c r="S57" i="22"/>
  <c r="M57" i="22"/>
  <c r="E57" i="22"/>
  <c r="M56" i="22"/>
  <c r="E56" i="22"/>
  <c r="M55" i="22"/>
  <c r="M54" i="22"/>
  <c r="M53" i="22"/>
  <c r="E53" i="22"/>
  <c r="M52" i="22"/>
  <c r="M51" i="22"/>
  <c r="M50" i="22"/>
  <c r="M49" i="22"/>
  <c r="M48" i="22"/>
  <c r="M47" i="22"/>
  <c r="M46" i="22"/>
  <c r="M45" i="22"/>
  <c r="M44" i="22"/>
  <c r="M43" i="22"/>
  <c r="M42" i="22"/>
  <c r="R41" i="22"/>
  <c r="S41" i="22" s="1"/>
  <c r="M41" i="22"/>
  <c r="M40" i="22"/>
  <c r="M39" i="22"/>
  <c r="M38" i="22"/>
  <c r="M37" i="22"/>
  <c r="M36" i="22"/>
  <c r="M35" i="22"/>
  <c r="M34" i="22"/>
  <c r="M33" i="22"/>
  <c r="M32" i="22"/>
  <c r="M31" i="22"/>
  <c r="M30" i="22"/>
  <c r="M29" i="22"/>
  <c r="M28" i="22"/>
  <c r="M27" i="22"/>
  <c r="M26" i="22"/>
  <c r="M25" i="22"/>
  <c r="M24" i="22"/>
  <c r="Z26" i="22"/>
  <c r="M23" i="22"/>
  <c r="Z22" i="22"/>
  <c r="M22" i="22"/>
  <c r="M21" i="22"/>
  <c r="M20" i="22"/>
  <c r="M19" i="22"/>
  <c r="M18" i="22"/>
  <c r="M17" i="22"/>
  <c r="R16" i="22"/>
  <c r="S16" i="22" s="1"/>
  <c r="M16" i="22"/>
  <c r="M15" i="22"/>
  <c r="M14" i="22"/>
  <c r="M13" i="22"/>
  <c r="M12" i="22"/>
  <c r="M11" i="22"/>
  <c r="M10" i="22"/>
  <c r="M9" i="22"/>
  <c r="C9" i="22"/>
  <c r="M8" i="22"/>
  <c r="R17" i="22" l="1"/>
  <c r="S17" i="22" s="1"/>
  <c r="Z45" i="22"/>
  <c r="Z48" i="22" s="1"/>
  <c r="E35" i="22"/>
  <c r="E45" i="22"/>
  <c r="C10" i="22"/>
  <c r="E19" i="22"/>
  <c r="E27" i="22"/>
  <c r="R21" i="22"/>
  <c r="S21" i="22" s="1"/>
  <c r="E48" i="22"/>
  <c r="E9" i="22"/>
  <c r="R23" i="22"/>
  <c r="S23" i="22" s="1"/>
  <c r="U10" i="22"/>
  <c r="AF23" i="23"/>
  <c r="P9" i="23"/>
  <c r="R40" i="22"/>
  <c r="S40" i="22" s="1"/>
  <c r="E43" i="22"/>
  <c r="R49" i="22"/>
  <c r="S49" i="22" s="1"/>
  <c r="R28" i="22"/>
  <c r="S28" i="22" s="1"/>
  <c r="E51" i="23"/>
  <c r="F51" i="23" s="1"/>
  <c r="E39" i="23"/>
  <c r="F39" i="23" s="1"/>
  <c r="E27" i="23"/>
  <c r="F27" i="23" s="1"/>
  <c r="E15" i="23"/>
  <c r="F15" i="23" s="1"/>
  <c r="E38" i="23"/>
  <c r="F38" i="23" s="1"/>
  <c r="E50" i="22"/>
  <c r="E14" i="22"/>
  <c r="R20" i="22"/>
  <c r="S20" i="22" s="1"/>
  <c r="E46" i="23"/>
  <c r="F46" i="23" s="1"/>
  <c r="E34" i="23"/>
  <c r="F34" i="23" s="1"/>
  <c r="E22" i="23"/>
  <c r="F22" i="23" s="1"/>
  <c r="E10" i="23"/>
  <c r="F10" i="23" s="1"/>
  <c r="I9" i="22"/>
  <c r="E26" i="23"/>
  <c r="F26" i="23" s="1"/>
  <c r="E31" i="22"/>
  <c r="V54" i="23"/>
  <c r="E55" i="23"/>
  <c r="F55" i="23" s="1"/>
  <c r="R42" i="22"/>
  <c r="S42" i="22" s="1"/>
  <c r="E14" i="23"/>
  <c r="F14" i="23" s="1"/>
  <c r="E10" i="22"/>
  <c r="V37" i="23"/>
  <c r="W37" i="23" s="1"/>
  <c r="X37" i="23" s="1"/>
  <c r="E25" i="22"/>
  <c r="R36" i="22"/>
  <c r="S36" i="22" s="1"/>
  <c r="E46" i="22"/>
  <c r="E44" i="23"/>
  <c r="F44" i="23" s="1"/>
  <c r="E32" i="23"/>
  <c r="F32" i="23" s="1"/>
  <c r="E20" i="23"/>
  <c r="F20" i="23" s="1"/>
  <c r="R37" i="22"/>
  <c r="S37" i="22" s="1"/>
  <c r="R22" i="22"/>
  <c r="S22" i="22" s="1"/>
  <c r="R26" i="22"/>
  <c r="S26" i="22" s="1"/>
  <c r="V14" i="23"/>
  <c r="E50" i="23"/>
  <c r="F50" i="23" s="1"/>
  <c r="E36" i="23"/>
  <c r="F36" i="23" s="1"/>
  <c r="E48" i="23"/>
  <c r="F48" i="23" s="1"/>
  <c r="E24" i="23"/>
  <c r="F24" i="23" s="1"/>
  <c r="E12" i="23"/>
  <c r="F12" i="23" s="1"/>
  <c r="V11" i="23"/>
  <c r="W11" i="23" s="1"/>
  <c r="X11" i="23" s="1"/>
  <c r="R34" i="22"/>
  <c r="S34" i="22" s="1"/>
  <c r="R47" i="22"/>
  <c r="S47" i="22" s="1"/>
  <c r="E45" i="23"/>
  <c r="F45" i="23" s="1"/>
  <c r="E33" i="23"/>
  <c r="F33" i="23" s="1"/>
  <c r="V20" i="23"/>
  <c r="E21" i="23"/>
  <c r="F21" i="23" s="1"/>
  <c r="V49" i="23"/>
  <c r="W49" i="23" s="1"/>
  <c r="X49" i="23" s="1"/>
  <c r="F56" i="23"/>
  <c r="E43" i="23"/>
  <c r="F43" i="23" s="1"/>
  <c r="E19" i="23"/>
  <c r="F19" i="23" s="1"/>
  <c r="V38" i="23"/>
  <c r="E31" i="23"/>
  <c r="F31" i="23" s="1"/>
  <c r="V18" i="23"/>
  <c r="W18" i="23" s="1"/>
  <c r="X18" i="23" s="1"/>
  <c r="V45" i="23"/>
  <c r="W46" i="23" s="1"/>
  <c r="X46" i="23" s="1"/>
  <c r="E54" i="23"/>
  <c r="F54" i="23" s="1"/>
  <c r="E42" i="23"/>
  <c r="F42" i="23" s="1"/>
  <c r="E30" i="23"/>
  <c r="F30" i="23" s="1"/>
  <c r="E18" i="23"/>
  <c r="F18" i="23" s="1"/>
  <c r="V29" i="23"/>
  <c r="W29" i="23" s="1"/>
  <c r="X29" i="23" s="1"/>
  <c r="E53" i="23"/>
  <c r="F53" i="23" s="1"/>
  <c r="E41" i="23"/>
  <c r="F41" i="23" s="1"/>
  <c r="E29" i="23"/>
  <c r="F29" i="23" s="1"/>
  <c r="E17" i="23"/>
  <c r="F17" i="23" s="1"/>
  <c r="V13" i="23"/>
  <c r="W13" i="23" s="1"/>
  <c r="X13" i="23" s="1"/>
  <c r="E52" i="23"/>
  <c r="F52" i="23" s="1"/>
  <c r="E40" i="23"/>
  <c r="F40" i="23" s="1"/>
  <c r="E28" i="23"/>
  <c r="F28" i="23" s="1"/>
  <c r="E16" i="23"/>
  <c r="F16" i="23" s="1"/>
  <c r="V9" i="23"/>
  <c r="W10" i="23" s="1"/>
  <c r="X10" i="23" s="1"/>
  <c r="E49" i="23"/>
  <c r="F49" i="23" s="1"/>
  <c r="E37" i="23"/>
  <c r="F37" i="23" s="1"/>
  <c r="E25" i="23"/>
  <c r="F25" i="23" s="1"/>
  <c r="E13" i="23"/>
  <c r="F13" i="23" s="1"/>
  <c r="V21" i="23"/>
  <c r="W22" i="23" s="1"/>
  <c r="X22" i="23" s="1"/>
  <c r="E47" i="23"/>
  <c r="F47" i="23" s="1"/>
  <c r="E35" i="23"/>
  <c r="F35" i="23" s="1"/>
  <c r="E23" i="23"/>
  <c r="F23" i="23" s="1"/>
  <c r="E11" i="23"/>
  <c r="F11" i="23" s="1"/>
  <c r="H8" i="23"/>
  <c r="J8" i="23" s="1"/>
  <c r="G8" i="23"/>
  <c r="S8" i="23"/>
  <c r="W53" i="23"/>
  <c r="X53" i="23" s="1"/>
  <c r="W41" i="23"/>
  <c r="X41" i="23" s="1"/>
  <c r="W25" i="23"/>
  <c r="X25" i="23" s="1"/>
  <c r="E44" i="22"/>
  <c r="V19" i="23"/>
  <c r="V32" i="23"/>
  <c r="V44" i="23"/>
  <c r="W52" i="23"/>
  <c r="X52" i="23" s="1"/>
  <c r="W42" i="23"/>
  <c r="X42" i="23" s="1"/>
  <c r="W28" i="23"/>
  <c r="X28" i="23" s="1"/>
  <c r="V16" i="23"/>
  <c r="W17" i="23" s="1"/>
  <c r="X17" i="23" s="1"/>
  <c r="V31" i="23"/>
  <c r="V15" i="23"/>
  <c r="V26" i="23"/>
  <c r="W27" i="23" s="1"/>
  <c r="X27" i="23" s="1"/>
  <c r="V43" i="23"/>
  <c r="V23" i="23"/>
  <c r="W24" i="23" s="1"/>
  <c r="X24" i="23" s="1"/>
  <c r="AF27" i="23"/>
  <c r="E9" i="23"/>
  <c r="C10" i="23"/>
  <c r="V33" i="23"/>
  <c r="W34" i="23" s="1"/>
  <c r="X34" i="23" s="1"/>
  <c r="V35" i="23"/>
  <c r="W36" i="23" s="1"/>
  <c r="X36" i="23" s="1"/>
  <c r="V47" i="23"/>
  <c r="W48" i="23" s="1"/>
  <c r="X48" i="23" s="1"/>
  <c r="V39" i="23"/>
  <c r="W40" i="23" s="1"/>
  <c r="X40" i="23" s="1"/>
  <c r="V50" i="23"/>
  <c r="W51" i="23" s="1"/>
  <c r="X51" i="23" s="1"/>
  <c r="O8" i="22"/>
  <c r="F8" i="22"/>
  <c r="G8" i="22" s="1"/>
  <c r="I8" i="22"/>
  <c r="U9" i="22"/>
  <c r="R18" i="22"/>
  <c r="S18" i="22" s="1"/>
  <c r="E24" i="22"/>
  <c r="R24" i="22"/>
  <c r="S24" i="22" s="1"/>
  <c r="R15" i="22"/>
  <c r="S15" i="22" s="1"/>
  <c r="E15" i="22"/>
  <c r="O9" i="22"/>
  <c r="E29" i="22"/>
  <c r="R29" i="22"/>
  <c r="S29" i="22" s="1"/>
  <c r="R12" i="22"/>
  <c r="S12" i="22" s="1"/>
  <c r="E12" i="22"/>
  <c r="R11" i="22"/>
  <c r="S11" i="22" s="1"/>
  <c r="E11" i="22"/>
  <c r="Z11" i="22"/>
  <c r="Z12" i="22"/>
  <c r="Z15" i="22" s="1"/>
  <c r="R8" i="22"/>
  <c r="E8" i="22"/>
  <c r="Z44" i="22"/>
  <c r="E32" i="22"/>
  <c r="R39" i="22"/>
  <c r="S39" i="22" s="1"/>
  <c r="R51" i="22"/>
  <c r="S51" i="22" s="1"/>
  <c r="E51" i="22"/>
  <c r="R33" i="22"/>
  <c r="S33" i="22" s="1"/>
  <c r="E33" i="22"/>
  <c r="S54" i="22"/>
  <c r="E54" i="22"/>
  <c r="E13" i="22"/>
  <c r="R30" i="22"/>
  <c r="S30" i="22" s="1"/>
  <c r="E30" i="22"/>
  <c r="R38" i="22"/>
  <c r="S38" i="22" s="1"/>
  <c r="E38" i="22"/>
  <c r="E52" i="22"/>
  <c r="E55" i="22"/>
  <c r="Z34" i="22" l="1"/>
  <c r="Z37" i="22" s="1"/>
  <c r="W54" i="23"/>
  <c r="X54" i="23" s="1"/>
  <c r="W55" i="23"/>
  <c r="AF50" i="23"/>
  <c r="I10" i="22"/>
  <c r="C11" i="22"/>
  <c r="W14" i="23"/>
  <c r="X14" i="23" s="1"/>
  <c r="W20" i="23"/>
  <c r="X20" i="23" s="1"/>
  <c r="X56" i="23"/>
  <c r="W30" i="23"/>
  <c r="X30" i="23" s="1"/>
  <c r="W12" i="23"/>
  <c r="X12" i="23" s="1"/>
  <c r="W9" i="23"/>
  <c r="W38" i="23"/>
  <c r="X38" i="23" s="1"/>
  <c r="AF11" i="23"/>
  <c r="W21" i="23"/>
  <c r="X21" i="23" s="1"/>
  <c r="W45" i="23"/>
  <c r="X45" i="23" s="1"/>
  <c r="X55" i="23"/>
  <c r="G9" i="23"/>
  <c r="W44" i="23"/>
  <c r="X44" i="23" s="1"/>
  <c r="W19" i="23"/>
  <c r="X19" i="23" s="1"/>
  <c r="W32" i="23"/>
  <c r="X32" i="23" s="1"/>
  <c r="W16" i="23"/>
  <c r="X16" i="23" s="1"/>
  <c r="W43" i="23"/>
  <c r="X43" i="23" s="1"/>
  <c r="W33" i="23"/>
  <c r="X33" i="23" s="1"/>
  <c r="W50" i="23"/>
  <c r="X50" i="23" s="1"/>
  <c r="W26" i="23"/>
  <c r="X26" i="23" s="1"/>
  <c r="W39" i="23"/>
  <c r="X39" i="23" s="1"/>
  <c r="W47" i="23"/>
  <c r="X47" i="23" s="1"/>
  <c r="K10" i="23"/>
  <c r="AA10" i="23"/>
  <c r="C11" i="23"/>
  <c r="W23" i="23"/>
  <c r="X23" i="23" s="1"/>
  <c r="H9" i="23"/>
  <c r="S9" i="23"/>
  <c r="W31" i="23"/>
  <c r="X31" i="23" s="1"/>
  <c r="AF12" i="23"/>
  <c r="AF15" i="23" s="1"/>
  <c r="F9" i="23"/>
  <c r="AF49" i="23"/>
  <c r="K9" i="23"/>
  <c r="W15" i="23"/>
  <c r="W35" i="23"/>
  <c r="X35" i="23" s="1"/>
  <c r="F9" i="22"/>
  <c r="G9" i="22" s="1"/>
  <c r="F10" i="22"/>
  <c r="G10" i="22" s="1"/>
  <c r="O10" i="22"/>
  <c r="Z33" i="22"/>
  <c r="U8" i="22"/>
  <c r="S8" i="22"/>
  <c r="X9" i="23" l="1"/>
  <c r="AF37" i="23"/>
  <c r="AF40" i="23" s="1"/>
  <c r="AF53" i="23"/>
  <c r="K11" i="23"/>
  <c r="AA11" i="23"/>
  <c r="I11" i="22"/>
  <c r="C12" i="22"/>
  <c r="U11" i="22"/>
  <c r="AA9" i="23"/>
  <c r="G10" i="23"/>
  <c r="X15" i="23"/>
  <c r="H10" i="23"/>
  <c r="S10" i="23"/>
  <c r="C12" i="23"/>
  <c r="AF36" i="23"/>
  <c r="J9" i="23"/>
  <c r="AA12" i="23" l="1"/>
  <c r="C13" i="22"/>
  <c r="I12" i="22"/>
  <c r="U12" i="22"/>
  <c r="O11" i="22"/>
  <c r="F11" i="22"/>
  <c r="G11" i="22" s="1"/>
  <c r="J10" i="23"/>
  <c r="H11" i="23"/>
  <c r="J11" i="23" s="1"/>
  <c r="S11" i="23"/>
  <c r="K12" i="23"/>
  <c r="C13" i="23"/>
  <c r="G11" i="23"/>
  <c r="K13" i="23" l="1"/>
  <c r="AA13" i="23"/>
  <c r="O12" i="22"/>
  <c r="F12" i="22"/>
  <c r="G12" i="22" s="1"/>
  <c r="I13" i="22"/>
  <c r="C14" i="22"/>
  <c r="U13" i="22"/>
  <c r="H12" i="23"/>
  <c r="S12" i="23"/>
  <c r="C14" i="23"/>
  <c r="G12" i="23"/>
  <c r="K14" i="23" l="1"/>
  <c r="C15" i="22"/>
  <c r="I14" i="22"/>
  <c r="U14" i="22"/>
  <c r="F13" i="22"/>
  <c r="G13" i="22" s="1"/>
  <c r="O13" i="22"/>
  <c r="J12" i="23"/>
  <c r="G13" i="23"/>
  <c r="H13" i="23"/>
  <c r="J13" i="23" s="1"/>
  <c r="S13" i="23"/>
  <c r="C15" i="23"/>
  <c r="AA14" i="23"/>
  <c r="AA15" i="23" l="1"/>
  <c r="O14" i="22"/>
  <c r="F14" i="22"/>
  <c r="G14" i="22" s="1"/>
  <c r="I15" i="22"/>
  <c r="U15" i="22"/>
  <c r="C16" i="22"/>
  <c r="G14" i="23"/>
  <c r="H14" i="23"/>
  <c r="S14" i="23"/>
  <c r="C16" i="23"/>
  <c r="K15" i="23"/>
  <c r="AA16" i="23" l="1"/>
  <c r="K16" i="23"/>
  <c r="C17" i="22"/>
  <c r="U16" i="22"/>
  <c r="I16" i="22"/>
  <c r="O15" i="22"/>
  <c r="F15" i="22"/>
  <c r="G15" i="22" s="1"/>
  <c r="J14" i="23"/>
  <c r="G15" i="23"/>
  <c r="S15" i="23"/>
  <c r="H15" i="23"/>
  <c r="J15" i="23" s="1"/>
  <c r="C17" i="23"/>
  <c r="K17" i="23" l="1"/>
  <c r="C18" i="22"/>
  <c r="U17" i="22"/>
  <c r="I17" i="22"/>
  <c r="F16" i="22"/>
  <c r="G16" i="22" s="1"/>
  <c r="O16" i="22"/>
  <c r="G16" i="23"/>
  <c r="H16" i="23"/>
  <c r="J16" i="23" s="1"/>
  <c r="S16" i="23"/>
  <c r="C18" i="23"/>
  <c r="AA17" i="23"/>
  <c r="AA18" i="23" l="1"/>
  <c r="O17" i="22"/>
  <c r="F17" i="22"/>
  <c r="G17" i="22" s="1"/>
  <c r="I18" i="22"/>
  <c r="C19" i="22"/>
  <c r="U18" i="22"/>
  <c r="H17" i="23"/>
  <c r="J17" i="23" s="1"/>
  <c r="S17" i="23"/>
  <c r="G17" i="23"/>
  <c r="K18" i="23"/>
  <c r="C19" i="23"/>
  <c r="K19" i="23" l="1"/>
  <c r="AA19" i="23"/>
  <c r="F18" i="22"/>
  <c r="G18" i="22" s="1"/>
  <c r="O18" i="22"/>
  <c r="C20" i="22"/>
  <c r="U19" i="22"/>
  <c r="I19" i="22"/>
  <c r="C20" i="23"/>
  <c r="G18" i="23"/>
  <c r="H18" i="23"/>
  <c r="J18" i="23" s="1"/>
  <c r="S18" i="23"/>
  <c r="K20" i="23" l="1"/>
  <c r="AA20" i="23"/>
  <c r="C21" i="22"/>
  <c r="I20" i="22"/>
  <c r="U20" i="22"/>
  <c r="O19" i="22"/>
  <c r="F19" i="22"/>
  <c r="G19" i="22" s="1"/>
  <c r="G19" i="23"/>
  <c r="H19" i="23"/>
  <c r="J19" i="23" s="1"/>
  <c r="S19" i="23"/>
  <c r="C21" i="23"/>
  <c r="AA21" i="23" l="1"/>
  <c r="K21" i="23"/>
  <c r="F20" i="22"/>
  <c r="G20" i="22" s="1"/>
  <c r="O20" i="22"/>
  <c r="C22" i="22"/>
  <c r="U21" i="22"/>
  <c r="I21" i="22"/>
  <c r="G20" i="23"/>
  <c r="H20" i="23"/>
  <c r="J20" i="23" s="1"/>
  <c r="S20" i="23"/>
  <c r="C22" i="23"/>
  <c r="AA22" i="23" l="1"/>
  <c r="O21" i="22"/>
  <c r="F21" i="22"/>
  <c r="G21" i="22" s="1"/>
  <c r="I22" i="22"/>
  <c r="C23" i="22"/>
  <c r="U22" i="22"/>
  <c r="H21" i="23"/>
  <c r="J21" i="23" s="1"/>
  <c r="S21" i="23"/>
  <c r="G21" i="23"/>
  <c r="C23" i="23"/>
  <c r="K22" i="23"/>
  <c r="K23" i="23" l="1"/>
  <c r="F22" i="22"/>
  <c r="G22" i="22" s="1"/>
  <c r="O22" i="22"/>
  <c r="C24" i="22"/>
  <c r="I23" i="22"/>
  <c r="U23" i="22"/>
  <c r="H22" i="23"/>
  <c r="J22" i="23" s="1"/>
  <c r="S22" i="23"/>
  <c r="G22" i="23"/>
  <c r="AA23" i="23"/>
  <c r="C24" i="23"/>
  <c r="K24" i="23" l="1"/>
  <c r="AA24" i="23"/>
  <c r="U24" i="22"/>
  <c r="I24" i="22"/>
  <c r="C25" i="22"/>
  <c r="F23" i="22"/>
  <c r="G23" i="22" s="1"/>
  <c r="O23" i="22"/>
  <c r="C25" i="23"/>
  <c r="G23" i="23"/>
  <c r="H23" i="23"/>
  <c r="J23" i="23" s="1"/>
  <c r="S23" i="23"/>
  <c r="K25" i="23" l="1"/>
  <c r="AA25" i="23"/>
  <c r="U25" i="22"/>
  <c r="C26" i="22"/>
  <c r="I25" i="22"/>
  <c r="O24" i="22"/>
  <c r="F24" i="22"/>
  <c r="G24" i="22" s="1"/>
  <c r="G24" i="23"/>
  <c r="H24" i="23"/>
  <c r="J24" i="23" s="1"/>
  <c r="S24" i="23"/>
  <c r="C26" i="23"/>
  <c r="AA26" i="23" l="1"/>
  <c r="C27" i="22"/>
  <c r="U26" i="22"/>
  <c r="I26" i="22"/>
  <c r="F25" i="22"/>
  <c r="G25" i="22" s="1"/>
  <c r="O25" i="22"/>
  <c r="G25" i="23"/>
  <c r="H25" i="23"/>
  <c r="J25" i="23" s="1"/>
  <c r="S25" i="23"/>
  <c r="C27" i="23"/>
  <c r="K26" i="23"/>
  <c r="K27" i="23" l="1"/>
  <c r="O26" i="22"/>
  <c r="F26" i="22"/>
  <c r="G26" i="22" s="1"/>
  <c r="U27" i="22"/>
  <c r="C28" i="22"/>
  <c r="I27" i="22"/>
  <c r="G26" i="23"/>
  <c r="S26" i="23"/>
  <c r="H26" i="23"/>
  <c r="J26" i="23" s="1"/>
  <c r="AA27" i="23"/>
  <c r="C28" i="23"/>
  <c r="AA28" i="23" l="1"/>
  <c r="K28" i="23"/>
  <c r="C29" i="22"/>
  <c r="I28" i="22"/>
  <c r="U28" i="22"/>
  <c r="F27" i="22"/>
  <c r="G27" i="22" s="1"/>
  <c r="O27" i="22"/>
  <c r="C29" i="23"/>
  <c r="H27" i="23"/>
  <c r="J27" i="23" s="1"/>
  <c r="S27" i="23"/>
  <c r="G27" i="23"/>
  <c r="AA29" i="23" l="1"/>
  <c r="C30" i="22"/>
  <c r="U29" i="22"/>
  <c r="I29" i="22"/>
  <c r="F28" i="22"/>
  <c r="G28" i="22" s="1"/>
  <c r="O28" i="22"/>
  <c r="G28" i="23"/>
  <c r="H28" i="23"/>
  <c r="J28" i="23" s="1"/>
  <c r="S28" i="23"/>
  <c r="C30" i="23"/>
  <c r="K29" i="23"/>
  <c r="K30" i="23" l="1"/>
  <c r="AA30" i="23"/>
  <c r="O29" i="22"/>
  <c r="F29" i="22"/>
  <c r="G29" i="22" s="1"/>
  <c r="I30" i="22"/>
  <c r="C31" i="22"/>
  <c r="U30" i="22"/>
  <c r="H29" i="23"/>
  <c r="J29" i="23" s="1"/>
  <c r="S29" i="23"/>
  <c r="C31" i="23"/>
  <c r="G29" i="23"/>
  <c r="K31" i="23" l="1"/>
  <c r="AA31" i="23"/>
  <c r="U31" i="22"/>
  <c r="C32" i="22"/>
  <c r="I31" i="22"/>
  <c r="F30" i="22"/>
  <c r="G30" i="22" s="1"/>
  <c r="O30" i="22"/>
  <c r="C32" i="23"/>
  <c r="G30" i="23"/>
  <c r="H30" i="23"/>
  <c r="J30" i="23" s="1"/>
  <c r="S30" i="23"/>
  <c r="K32" i="23" l="1"/>
  <c r="I32" i="22"/>
  <c r="C33" i="22"/>
  <c r="U32" i="22"/>
  <c r="O31" i="22"/>
  <c r="F31" i="22"/>
  <c r="G31" i="22" s="1"/>
  <c r="AA32" i="23"/>
  <c r="C33" i="23"/>
  <c r="G31" i="23"/>
  <c r="H31" i="23"/>
  <c r="J31" i="23" s="1"/>
  <c r="S31" i="23"/>
  <c r="AA33" i="23" l="1"/>
  <c r="K33" i="23"/>
  <c r="G33" i="23"/>
  <c r="U33" i="22"/>
  <c r="I33" i="22"/>
  <c r="C34" i="22"/>
  <c r="O32" i="22"/>
  <c r="F32" i="22"/>
  <c r="G32" i="22" s="1"/>
  <c r="H32" i="23"/>
  <c r="J32" i="23" s="1"/>
  <c r="S32" i="23"/>
  <c r="C34" i="23"/>
  <c r="G32" i="23"/>
  <c r="K34" i="23" l="1"/>
  <c r="AA34" i="23"/>
  <c r="O33" i="22"/>
  <c r="F33" i="22"/>
  <c r="G33" i="22" s="1"/>
  <c r="I34" i="22"/>
  <c r="C35" i="22"/>
  <c r="U34" i="22"/>
  <c r="C35" i="23"/>
  <c r="H33" i="23"/>
  <c r="J33" i="23" s="1"/>
  <c r="S33" i="23"/>
  <c r="K35" i="23" l="1"/>
  <c r="O34" i="22"/>
  <c r="F34" i="22"/>
  <c r="G34" i="22" s="1"/>
  <c r="I35" i="22"/>
  <c r="C36" i="22"/>
  <c r="U35" i="22"/>
  <c r="C36" i="23"/>
  <c r="AA35" i="23"/>
  <c r="S34" i="23"/>
  <c r="H34" i="23"/>
  <c r="J34" i="23" s="1"/>
  <c r="G34" i="23"/>
  <c r="K36" i="23" l="1"/>
  <c r="AA36" i="23"/>
  <c r="F35" i="22"/>
  <c r="G35" i="22" s="1"/>
  <c r="O35" i="22"/>
  <c r="I36" i="22"/>
  <c r="U36" i="22"/>
  <c r="C37" i="22"/>
  <c r="G35" i="23"/>
  <c r="C37" i="23"/>
  <c r="H35" i="23"/>
  <c r="J35" i="23" s="1"/>
  <c r="S35" i="23"/>
  <c r="AA37" i="23" l="1"/>
  <c r="O36" i="22"/>
  <c r="F36" i="22"/>
  <c r="G36" i="22" s="1"/>
  <c r="I37" i="22"/>
  <c r="U37" i="22"/>
  <c r="C38" i="22"/>
  <c r="G36" i="23"/>
  <c r="S36" i="23"/>
  <c r="H36" i="23"/>
  <c r="J36" i="23" s="1"/>
  <c r="C38" i="23"/>
  <c r="K37" i="23"/>
  <c r="O37" i="22" l="1"/>
  <c r="F37" i="22"/>
  <c r="G37" i="22" s="1"/>
  <c r="I38" i="22"/>
  <c r="U38" i="22"/>
  <c r="C39" i="22"/>
  <c r="H37" i="23"/>
  <c r="J37" i="23" s="1"/>
  <c r="S37" i="23"/>
  <c r="G37" i="23"/>
  <c r="AA38" i="23"/>
  <c r="K38" i="23"/>
  <c r="C39" i="23"/>
  <c r="AA39" i="23" l="1"/>
  <c r="K39" i="23"/>
  <c r="C40" i="22"/>
  <c r="I39" i="22"/>
  <c r="U39" i="22"/>
  <c r="F38" i="22"/>
  <c r="G38" i="22" s="1"/>
  <c r="O38" i="22"/>
  <c r="G38" i="23"/>
  <c r="C40" i="23"/>
  <c r="H38" i="23"/>
  <c r="J38" i="23" s="1"/>
  <c r="S38" i="23"/>
  <c r="AA40" i="23" l="1"/>
  <c r="K40" i="23"/>
  <c r="F39" i="22"/>
  <c r="G39" i="22" s="1"/>
  <c r="O39" i="22"/>
  <c r="C41" i="22"/>
  <c r="U40" i="22"/>
  <c r="I40" i="22"/>
  <c r="G39" i="23"/>
  <c r="C41" i="23"/>
  <c r="H39" i="23"/>
  <c r="J39" i="23" s="1"/>
  <c r="S39" i="23"/>
  <c r="AA41" i="23" l="1"/>
  <c r="K41" i="23"/>
  <c r="U41" i="22"/>
  <c r="C42" i="22"/>
  <c r="I41" i="22"/>
  <c r="F40" i="22"/>
  <c r="G40" i="22" s="1"/>
  <c r="O40" i="22"/>
  <c r="G40" i="23"/>
  <c r="H40" i="23"/>
  <c r="J40" i="23" s="1"/>
  <c r="S40" i="23"/>
  <c r="C42" i="23"/>
  <c r="K42" i="23" l="1"/>
  <c r="AA42" i="23"/>
  <c r="C43" i="22"/>
  <c r="I42" i="22"/>
  <c r="U42" i="22"/>
  <c r="O41" i="22"/>
  <c r="F41" i="22"/>
  <c r="G41" i="22" s="1"/>
  <c r="S41" i="23"/>
  <c r="H41" i="23"/>
  <c r="J41" i="23" s="1"/>
  <c r="G41" i="23"/>
  <c r="C43" i="23"/>
  <c r="K43" i="23" l="1"/>
  <c r="AA43" i="23"/>
  <c r="I43" i="22"/>
  <c r="U43" i="22"/>
  <c r="C44" i="22"/>
  <c r="O42" i="22"/>
  <c r="F42" i="22"/>
  <c r="G42" i="22" s="1"/>
  <c r="G42" i="23"/>
  <c r="S42" i="23"/>
  <c r="H42" i="23"/>
  <c r="J42" i="23" s="1"/>
  <c r="C44" i="23"/>
  <c r="K44" i="23" l="1"/>
  <c r="AA44" i="23"/>
  <c r="C45" i="22"/>
  <c r="I44" i="22"/>
  <c r="U44" i="22"/>
  <c r="F43" i="22"/>
  <c r="G43" i="22" s="1"/>
  <c r="O43" i="22"/>
  <c r="G43" i="23"/>
  <c r="H43" i="23"/>
  <c r="J43" i="23" s="1"/>
  <c r="S43" i="23"/>
  <c r="C45" i="23"/>
  <c r="O44" i="22" l="1"/>
  <c r="F44" i="22"/>
  <c r="G44" i="22" s="1"/>
  <c r="C46" i="22"/>
  <c r="I45" i="22"/>
  <c r="U45" i="22"/>
  <c r="H44" i="23"/>
  <c r="J44" i="23" s="1"/>
  <c r="S44" i="23"/>
  <c r="C46" i="23"/>
  <c r="AA45" i="23"/>
  <c r="K45" i="23"/>
  <c r="G44" i="23"/>
  <c r="AA46" i="23" l="1"/>
  <c r="C47" i="22"/>
  <c r="U46" i="22"/>
  <c r="I46" i="22"/>
  <c r="O45" i="22"/>
  <c r="F45" i="22"/>
  <c r="G45" i="22" s="1"/>
  <c r="G45" i="23"/>
  <c r="H45" i="23"/>
  <c r="J45" i="23" s="1"/>
  <c r="S45" i="23"/>
  <c r="K46" i="23"/>
  <c r="C47" i="23"/>
  <c r="K47" i="23" l="1"/>
  <c r="AA47" i="23"/>
  <c r="O46" i="22"/>
  <c r="F46" i="22"/>
  <c r="G46" i="22" s="1"/>
  <c r="C48" i="22"/>
  <c r="U47" i="22"/>
  <c r="I47" i="22"/>
  <c r="G46" i="23"/>
  <c r="H46" i="23"/>
  <c r="J46" i="23" s="1"/>
  <c r="S46" i="23"/>
  <c r="C48" i="23"/>
  <c r="K48" i="23" l="1"/>
  <c r="AA48" i="23"/>
  <c r="O47" i="22"/>
  <c r="F47" i="22"/>
  <c r="G47" i="22" s="1"/>
  <c r="I48" i="22"/>
  <c r="U48" i="22"/>
  <c r="C49" i="22"/>
  <c r="G47" i="23"/>
  <c r="C49" i="23"/>
  <c r="H47" i="23"/>
  <c r="J47" i="23" s="1"/>
  <c r="S47" i="23"/>
  <c r="K49" i="23" l="1"/>
  <c r="AA49" i="23"/>
  <c r="O48" i="22"/>
  <c r="F48" i="22"/>
  <c r="G48" i="22" s="1"/>
  <c r="C50" i="22"/>
  <c r="U49" i="22"/>
  <c r="I49" i="22"/>
  <c r="H48" i="23"/>
  <c r="J48" i="23" s="1"/>
  <c r="S48" i="23"/>
  <c r="G48" i="23"/>
  <c r="C50" i="23"/>
  <c r="K50" i="23" l="1"/>
  <c r="AA50" i="23"/>
  <c r="O49" i="22"/>
  <c r="F49" i="22"/>
  <c r="G49" i="22" s="1"/>
  <c r="U50" i="22"/>
  <c r="C51" i="22"/>
  <c r="I50" i="22"/>
  <c r="C51" i="23"/>
  <c r="G49" i="23"/>
  <c r="H49" i="23"/>
  <c r="J49" i="23" s="1"/>
  <c r="S49" i="23"/>
  <c r="K51" i="23" l="1"/>
  <c r="AA51" i="23"/>
  <c r="C52" i="22"/>
  <c r="I51" i="22"/>
  <c r="U51" i="22"/>
  <c r="O50" i="22"/>
  <c r="F50" i="22"/>
  <c r="G50" i="22" s="1"/>
  <c r="C52" i="23"/>
  <c r="G50" i="23"/>
  <c r="H50" i="23"/>
  <c r="J50" i="23" s="1"/>
  <c r="S50" i="23"/>
  <c r="AA52" i="23" l="1"/>
  <c r="K52" i="23"/>
  <c r="O51" i="22"/>
  <c r="F51" i="22"/>
  <c r="G51" i="22" s="1"/>
  <c r="C53" i="22"/>
  <c r="U52" i="22"/>
  <c r="I52" i="22"/>
  <c r="G51" i="23"/>
  <c r="H51" i="23"/>
  <c r="J51" i="23" s="1"/>
  <c r="S51" i="23"/>
  <c r="C53" i="23"/>
  <c r="AA53" i="23" l="1"/>
  <c r="U53" i="22"/>
  <c r="C54" i="22"/>
  <c r="I53" i="22"/>
  <c r="O52" i="22"/>
  <c r="F52" i="22"/>
  <c r="G52" i="22" s="1"/>
  <c r="G52" i="23"/>
  <c r="H52" i="23"/>
  <c r="J52" i="23" s="1"/>
  <c r="S52" i="23"/>
  <c r="C54" i="23"/>
  <c r="K53" i="23"/>
  <c r="K54" i="23" l="1"/>
  <c r="O53" i="22"/>
  <c r="F53" i="22"/>
  <c r="G53" i="22" s="1"/>
  <c r="I54" i="22"/>
  <c r="C55" i="22"/>
  <c r="U54" i="22"/>
  <c r="G53" i="23"/>
  <c r="S53" i="23"/>
  <c r="H53" i="23"/>
  <c r="J53" i="23" s="1"/>
  <c r="AA54" i="23"/>
  <c r="C55" i="23"/>
  <c r="K55" i="23" l="1"/>
  <c r="AA55" i="23"/>
  <c r="F54" i="22"/>
  <c r="G54" i="22" s="1"/>
  <c r="O54" i="22"/>
  <c r="U55" i="22"/>
  <c r="I55" i="22"/>
  <c r="C56" i="22"/>
  <c r="H54" i="23"/>
  <c r="S54" i="23"/>
  <c r="C56" i="23"/>
  <c r="G54" i="23"/>
  <c r="J54" i="23" l="1"/>
  <c r="K56" i="23"/>
  <c r="C57" i="22"/>
  <c r="I56" i="22"/>
  <c r="U56" i="22"/>
  <c r="O55" i="22"/>
  <c r="F55" i="22"/>
  <c r="G55" i="22" s="1"/>
  <c r="G55" i="23"/>
  <c r="C57" i="23"/>
  <c r="H55" i="23"/>
  <c r="S55" i="23"/>
  <c r="K57" i="23" l="1"/>
  <c r="O56" i="22"/>
  <c r="F56" i="22"/>
  <c r="G56" i="22" s="1"/>
  <c r="C58" i="22"/>
  <c r="I57" i="22"/>
  <c r="U57" i="22"/>
  <c r="AA56" i="23"/>
  <c r="J55" i="23"/>
  <c r="H56" i="23"/>
  <c r="S56" i="23"/>
  <c r="C58" i="23"/>
  <c r="AA57" i="23"/>
  <c r="G56" i="23"/>
  <c r="AA58" i="23" l="1"/>
  <c r="O57" i="22"/>
  <c r="F57" i="22"/>
  <c r="G57" i="22" s="1"/>
  <c r="I58" i="22"/>
  <c r="C59" i="22"/>
  <c r="U58" i="22"/>
  <c r="G57" i="23"/>
  <c r="J56" i="23"/>
  <c r="H57" i="23"/>
  <c r="S57" i="23"/>
  <c r="C59" i="23"/>
  <c r="K58" i="23"/>
  <c r="K59" i="23" l="1"/>
  <c r="I59" i="22"/>
  <c r="U59" i="22"/>
  <c r="C60" i="22"/>
  <c r="F58" i="22"/>
  <c r="O58" i="22"/>
  <c r="J57" i="23"/>
  <c r="G58" i="23"/>
  <c r="S58" i="23"/>
  <c r="H58" i="23"/>
  <c r="C60" i="23"/>
  <c r="AA59" i="23"/>
  <c r="G58" i="22" l="1"/>
  <c r="J58" i="23"/>
  <c r="AA60" i="23"/>
  <c r="O59" i="22"/>
  <c r="F59" i="22"/>
  <c r="U60" i="22"/>
  <c r="C61" i="22"/>
  <c r="I60" i="22"/>
  <c r="K60" i="23"/>
  <c r="C61" i="23"/>
  <c r="S59" i="23"/>
  <c r="H59" i="23"/>
  <c r="G59" i="23"/>
  <c r="J59" i="23" l="1"/>
  <c r="G59" i="22"/>
  <c r="K61" i="23"/>
  <c r="AA61" i="23"/>
  <c r="I61" i="22"/>
  <c r="C62" i="22"/>
  <c r="U61" i="22"/>
  <c r="O60" i="22"/>
  <c r="F60" i="22"/>
  <c r="G60" i="22" s="1"/>
  <c r="H60" i="23"/>
  <c r="J60" i="23" s="1"/>
  <c r="S60" i="23"/>
  <c r="C62" i="23"/>
  <c r="G60" i="23"/>
  <c r="K62" i="23" l="1"/>
  <c r="AA62" i="23"/>
  <c r="C63" i="22"/>
  <c r="U62" i="22"/>
  <c r="I62" i="22"/>
  <c r="F61" i="22"/>
  <c r="G61" i="22" s="1"/>
  <c r="O61" i="22"/>
  <c r="G61" i="23"/>
  <c r="H61" i="23"/>
  <c r="J61" i="23" s="1"/>
  <c r="S61" i="23"/>
  <c r="C63" i="23"/>
  <c r="K63" i="23" l="1"/>
  <c r="AA63" i="23"/>
  <c r="O62" i="22"/>
  <c r="F62" i="22"/>
  <c r="G62" i="22" s="1"/>
  <c r="I63" i="22"/>
  <c r="U63" i="22"/>
  <c r="C64" i="22"/>
  <c r="G62" i="23"/>
  <c r="S62" i="23"/>
  <c r="H62" i="23"/>
  <c r="J62" i="23" s="1"/>
  <c r="C64" i="23"/>
  <c r="K64" i="23" l="1"/>
  <c r="O63" i="22"/>
  <c r="F63" i="22"/>
  <c r="G63" i="22" s="1"/>
  <c r="U64" i="22"/>
  <c r="C65" i="22"/>
  <c r="I64" i="22"/>
  <c r="G63" i="23"/>
  <c r="S63" i="23"/>
  <c r="H63" i="23"/>
  <c r="J63" i="23" s="1"/>
  <c r="C65" i="23"/>
  <c r="AA64" i="23"/>
  <c r="AA65" i="23" l="1"/>
  <c r="K65" i="23"/>
  <c r="F64" i="22"/>
  <c r="G64" i="22" s="1"/>
  <c r="O64" i="22"/>
  <c r="C66" i="22"/>
  <c r="U65" i="22"/>
  <c r="I65" i="22"/>
  <c r="H64" i="23"/>
  <c r="J64" i="23" s="1"/>
  <c r="S64" i="23"/>
  <c r="G64" i="23"/>
  <c r="C66" i="23"/>
  <c r="K66" i="23" l="1"/>
  <c r="F65" i="22"/>
  <c r="G65" i="22" s="1"/>
  <c r="O65" i="22"/>
  <c r="I66" i="22"/>
  <c r="U66" i="22"/>
  <c r="C67" i="22"/>
  <c r="G65" i="23"/>
  <c r="H65" i="23"/>
  <c r="J65" i="23" s="1"/>
  <c r="S65" i="23"/>
  <c r="AA66" i="23"/>
  <c r="C67" i="23"/>
  <c r="AA67" i="23" l="1"/>
  <c r="U67" i="22"/>
  <c r="I67" i="22"/>
  <c r="C68" i="22"/>
  <c r="O66" i="22"/>
  <c r="F66" i="22"/>
  <c r="G66" i="22" s="1"/>
  <c r="G66" i="23"/>
  <c r="K67" i="23"/>
  <c r="C68" i="23"/>
  <c r="S66" i="23"/>
  <c r="H66" i="23"/>
  <c r="J66" i="23" s="1"/>
  <c r="AA68" i="23" l="1"/>
  <c r="F67" i="22"/>
  <c r="G67" i="22" s="1"/>
  <c r="O67" i="22"/>
  <c r="C69" i="22"/>
  <c r="U68" i="22"/>
  <c r="I68" i="22"/>
  <c r="K68" i="23"/>
  <c r="C69" i="23"/>
  <c r="G67" i="23"/>
  <c r="S67" i="23"/>
  <c r="H67" i="23"/>
  <c r="J67" i="23" s="1"/>
  <c r="K69" i="23" l="1"/>
  <c r="I69" i="22"/>
  <c r="U69" i="22"/>
  <c r="C70" i="22"/>
  <c r="O68" i="22"/>
  <c r="F68" i="22"/>
  <c r="G68" i="22" s="1"/>
  <c r="H68" i="23"/>
  <c r="J68" i="23" s="1"/>
  <c r="S68" i="23"/>
  <c r="C70" i="23"/>
  <c r="AA69" i="23"/>
  <c r="G68" i="23"/>
  <c r="AA70" i="23" l="1"/>
  <c r="U70" i="22"/>
  <c r="C71" i="22"/>
  <c r="I70" i="22"/>
  <c r="F69" i="22"/>
  <c r="G69" i="22" s="1"/>
  <c r="O69" i="22"/>
  <c r="H69" i="23"/>
  <c r="J69" i="23" s="1"/>
  <c r="S69" i="23"/>
  <c r="C71" i="23"/>
  <c r="K70" i="23"/>
  <c r="G69" i="23"/>
  <c r="AA71" i="23" l="1"/>
  <c r="K71" i="23"/>
  <c r="C72" i="22"/>
  <c r="U71" i="22"/>
  <c r="I71" i="22"/>
  <c r="O70" i="22"/>
  <c r="F70" i="22"/>
  <c r="G70" i="22" s="1"/>
  <c r="G70" i="23"/>
  <c r="C72" i="23"/>
  <c r="S70" i="23"/>
  <c r="H70" i="23"/>
  <c r="J70" i="23" s="1"/>
  <c r="K72" i="23" l="1"/>
  <c r="AA72" i="23"/>
  <c r="O71" i="22"/>
  <c r="F71" i="22"/>
  <c r="G71" i="22" s="1"/>
  <c r="C73" i="22"/>
  <c r="U72" i="22"/>
  <c r="I72" i="22"/>
  <c r="C73" i="23"/>
  <c r="G71" i="23"/>
  <c r="S71" i="23"/>
  <c r="H71" i="23"/>
  <c r="J71" i="23" s="1"/>
  <c r="AA73" i="23" l="1"/>
  <c r="K73" i="23"/>
  <c r="O72" i="22"/>
  <c r="F72" i="22"/>
  <c r="G72" i="22" s="1"/>
  <c r="I73" i="22"/>
  <c r="C74" i="22"/>
  <c r="U73" i="22"/>
  <c r="H72" i="23"/>
  <c r="J72" i="23" s="1"/>
  <c r="S72" i="23"/>
  <c r="C74" i="23"/>
  <c r="G72" i="23"/>
  <c r="K74" i="23" l="1"/>
  <c r="AA74" i="23"/>
  <c r="C75" i="22"/>
  <c r="I74" i="22"/>
  <c r="U74" i="22"/>
  <c r="F73" i="22"/>
  <c r="G73" i="22" s="1"/>
  <c r="O73" i="22"/>
  <c r="G73" i="23"/>
  <c r="H73" i="23"/>
  <c r="J73" i="23" s="1"/>
  <c r="S73" i="23"/>
  <c r="C75" i="23"/>
  <c r="AA75" i="23" l="1"/>
  <c r="K75" i="23"/>
  <c r="O74" i="22"/>
  <c r="F74" i="22"/>
  <c r="G74" i="22" s="1"/>
  <c r="C76" i="22"/>
  <c r="I75" i="22"/>
  <c r="U75" i="22"/>
  <c r="C76" i="23"/>
  <c r="S74" i="23"/>
  <c r="H74" i="23"/>
  <c r="J74" i="23" s="1"/>
  <c r="G74" i="23"/>
  <c r="AA76" i="23" l="1"/>
  <c r="K76" i="23"/>
  <c r="U76" i="22"/>
  <c r="C77" i="22"/>
  <c r="I76" i="22"/>
  <c r="F75" i="22"/>
  <c r="G75" i="22" s="1"/>
  <c r="O75" i="22"/>
  <c r="C77" i="23"/>
  <c r="G75" i="23"/>
  <c r="S75" i="23"/>
  <c r="H75" i="23"/>
  <c r="J75" i="23" s="1"/>
  <c r="AA77" i="23" l="1"/>
  <c r="K77" i="23"/>
  <c r="O76" i="22"/>
  <c r="F76" i="22"/>
  <c r="G76" i="22" s="1"/>
  <c r="U77" i="22"/>
  <c r="C78" i="22"/>
  <c r="I77" i="22"/>
  <c r="H76" i="23"/>
  <c r="J76" i="23" s="1"/>
  <c r="S76" i="23"/>
  <c r="C78" i="23"/>
  <c r="G76" i="23"/>
  <c r="K78" i="23" l="1"/>
  <c r="AF51" i="23" s="1" a="1"/>
  <c r="AF51" i="23" s="1"/>
  <c r="AA78" i="23"/>
  <c r="AF38" i="23" s="1" a="1"/>
  <c r="AF38" i="23" s="1"/>
  <c r="AF43" i="23"/>
  <c r="AF56" i="23"/>
  <c r="AF30" i="23"/>
  <c r="F77" i="22"/>
  <c r="G77" i="22" s="1"/>
  <c r="O77" i="22"/>
  <c r="I78" i="22"/>
  <c r="Z47" i="22" s="1" a="1"/>
  <c r="Z47" i="22" s="1"/>
  <c r="AN38" i="22" s="1"/>
  <c r="U78" i="22"/>
  <c r="Z46" i="22" a="1"/>
  <c r="Z46" i="22" s="1"/>
  <c r="Z49" i="22" s="1"/>
  <c r="G77" i="23"/>
  <c r="H77" i="23"/>
  <c r="J77" i="23" s="1"/>
  <c r="S77" i="23"/>
  <c r="Z36" i="22" l="1" a="1"/>
  <c r="Z36" i="22" s="1"/>
  <c r="AN28" i="22" s="1"/>
  <c r="Z35" i="22" a="1"/>
  <c r="Z35" i="22" s="1"/>
  <c r="Z38" i="22" s="1"/>
  <c r="O78" i="22"/>
  <c r="F78" i="22"/>
  <c r="G78" i="22" s="1"/>
  <c r="G78" i="23"/>
  <c r="AF52" i="23" a="1"/>
  <c r="AF52" i="23" s="1"/>
  <c r="AS43" i="23" s="1"/>
  <c r="AF54" i="23"/>
  <c r="AF41" i="23"/>
  <c r="AF39" i="23" a="1"/>
  <c r="AF39" i="23" s="1"/>
  <c r="AS28" i="23" s="1"/>
  <c r="S78" i="23"/>
  <c r="AF25" i="23" s="1" a="1"/>
  <c r="AF25" i="23" s="1"/>
  <c r="H78" i="23"/>
  <c r="AF17" i="23" s="1"/>
  <c r="W59" i="22" l="1"/>
  <c r="V59" i="22"/>
  <c r="AB59" i="23"/>
  <c r="AB58" i="23"/>
  <c r="AC59" i="23"/>
  <c r="AC58" i="23"/>
  <c r="Z13" i="22" a="1"/>
  <c r="Z13" i="22" s="1"/>
  <c r="Z16" i="22" s="1"/>
  <c r="Z14" i="22" a="1"/>
  <c r="Z14" i="22" s="1"/>
  <c r="Z25" i="22" a="1"/>
  <c r="Z25" i="22" s="1"/>
  <c r="AN18" i="22" s="1"/>
  <c r="Z24" i="22" a="1"/>
  <c r="Z24" i="22" s="1"/>
  <c r="Z27" i="22" s="1"/>
  <c r="V49" i="22"/>
  <c r="W51" i="22"/>
  <c r="W15" i="22"/>
  <c r="V18" i="22"/>
  <c r="W12" i="22"/>
  <c r="W32" i="22"/>
  <c r="V28" i="22"/>
  <c r="W37" i="22"/>
  <c r="V19" i="22"/>
  <c r="W39" i="22"/>
  <c r="W13" i="22"/>
  <c r="W30" i="22"/>
  <c r="V45" i="22"/>
  <c r="V44" i="22"/>
  <c r="V9" i="22"/>
  <c r="V42" i="22"/>
  <c r="W53" i="22"/>
  <c r="V54" i="22"/>
  <c r="V43" i="22"/>
  <c r="W8" i="22"/>
  <c r="W49" i="22"/>
  <c r="V23" i="22"/>
  <c r="V26" i="22"/>
  <c r="V11" i="22"/>
  <c r="V20" i="22"/>
  <c r="V31" i="22"/>
  <c r="W18" i="22"/>
  <c r="W22" i="22"/>
  <c r="V12" i="22"/>
  <c r="W9" i="22"/>
  <c r="V36" i="22"/>
  <c r="V30" i="22"/>
  <c r="W45" i="22"/>
  <c r="V47" i="22"/>
  <c r="V35" i="22"/>
  <c r="V21" i="22"/>
  <c r="W42" i="22"/>
  <c r="W46" i="22"/>
  <c r="V46" i="22"/>
  <c r="V37" i="22"/>
  <c r="V27" i="22"/>
  <c r="V14" i="22"/>
  <c r="W20" i="22"/>
  <c r="V17" i="22"/>
  <c r="V38" i="22"/>
  <c r="W31" i="22"/>
  <c r="W40" i="22"/>
  <c r="W48" i="22"/>
  <c r="W33" i="22"/>
  <c r="W11" i="22"/>
  <c r="W14" i="22"/>
  <c r="W10" i="22"/>
  <c r="W27" i="22"/>
  <c r="V40" i="22"/>
  <c r="W41" i="22"/>
  <c r="V13" i="22"/>
  <c r="V33" i="22"/>
  <c r="W24" i="22"/>
  <c r="V53" i="22"/>
  <c r="W43" i="22"/>
  <c r="V24" i="22"/>
  <c r="W36" i="22"/>
  <c r="W26" i="22"/>
  <c r="W16" i="22"/>
  <c r="W50" i="22"/>
  <c r="V32" i="22"/>
  <c r="W21" i="22"/>
  <c r="V29" i="22"/>
  <c r="W34" i="22"/>
  <c r="W28" i="22"/>
  <c r="W47" i="22"/>
  <c r="W29" i="22"/>
  <c r="W23" i="22"/>
  <c r="V15" i="22"/>
  <c r="W38" i="22"/>
  <c r="V50" i="22"/>
  <c r="V8" i="22"/>
  <c r="W58" i="22"/>
  <c r="V58" i="22"/>
  <c r="W57" i="22"/>
  <c r="W55" i="22"/>
  <c r="W35" i="22"/>
  <c r="W17" i="22"/>
  <c r="V51" i="22"/>
  <c r="V25" i="22"/>
  <c r="V39" i="22"/>
  <c r="W44" i="22"/>
  <c r="V16" i="22"/>
  <c r="V57" i="22"/>
  <c r="W52" i="22"/>
  <c r="W25" i="22"/>
  <c r="V41" i="22"/>
  <c r="V48" i="22"/>
  <c r="V22" i="22"/>
  <c r="W19" i="22"/>
  <c r="V34" i="22"/>
  <c r="V56" i="22"/>
  <c r="V55" i="22"/>
  <c r="W56" i="22"/>
  <c r="V52" i="22"/>
  <c r="W54" i="22"/>
  <c r="V10" i="22"/>
  <c r="AC57" i="23"/>
  <c r="AB57" i="23"/>
  <c r="AC56" i="23"/>
  <c r="AB56" i="23"/>
  <c r="J78" i="23"/>
  <c r="AF13" i="23" s="1" a="1"/>
  <c r="AF13" i="23" s="1"/>
  <c r="AF18" i="23"/>
  <c r="AF26" i="23" a="1"/>
  <c r="AF26" i="23" s="1"/>
  <c r="AS18" i="23" s="1"/>
  <c r="AF28" i="23"/>
  <c r="AC54" i="23"/>
  <c r="AB54" i="23"/>
  <c r="AC50" i="23"/>
  <c r="AB50" i="23"/>
  <c r="AC46" i="23"/>
  <c r="AC42" i="23"/>
  <c r="AC53" i="23"/>
  <c r="AB46" i="23"/>
  <c r="AB42" i="23"/>
  <c r="AC38" i="23"/>
  <c r="AC34" i="23"/>
  <c r="AB53" i="23"/>
  <c r="AB38" i="23"/>
  <c r="AC49" i="23"/>
  <c r="AC45" i="23"/>
  <c r="AC41" i="23"/>
  <c r="AC52" i="23"/>
  <c r="AB49" i="23"/>
  <c r="AB45" i="23"/>
  <c r="AB41" i="23"/>
  <c r="AB52" i="23"/>
  <c r="AC37" i="23"/>
  <c r="AB33" i="23"/>
  <c r="AC48" i="23"/>
  <c r="AC44" i="23"/>
  <c r="AC40" i="23"/>
  <c r="AB37" i="23"/>
  <c r="AC29" i="23"/>
  <c r="AC55" i="23"/>
  <c r="AC51" i="23"/>
  <c r="AB48" i="23"/>
  <c r="AB44" i="23"/>
  <c r="AB40" i="23"/>
  <c r="AC32" i="23"/>
  <c r="AB29" i="23"/>
  <c r="AB47" i="23"/>
  <c r="AB36" i="23"/>
  <c r="AB16" i="23"/>
  <c r="AC27" i="23"/>
  <c r="AC23" i="23"/>
  <c r="AC19" i="23"/>
  <c r="AC12" i="23"/>
  <c r="AB51" i="23"/>
  <c r="AC43" i="23"/>
  <c r="AC28" i="23"/>
  <c r="AB27" i="23"/>
  <c r="AB23" i="23"/>
  <c r="AB19" i="23"/>
  <c r="AC15" i="23"/>
  <c r="AB12" i="23"/>
  <c r="AB43" i="23"/>
  <c r="AC33" i="23"/>
  <c r="AC30" i="23"/>
  <c r="AB28" i="23"/>
  <c r="AC26" i="23"/>
  <c r="AB15" i="23"/>
  <c r="AC36" i="23"/>
  <c r="AC35" i="23"/>
  <c r="AB30" i="23"/>
  <c r="AB26" i="23"/>
  <c r="AC22" i="23"/>
  <c r="AC11" i="23"/>
  <c r="AB35" i="23"/>
  <c r="AC31" i="23"/>
  <c r="AB22" i="23"/>
  <c r="AC18" i="23"/>
  <c r="AB11" i="23"/>
  <c r="AB55" i="23"/>
  <c r="AB31" i="23"/>
  <c r="AC25" i="23"/>
  <c r="AB18" i="23"/>
  <c r="AC14" i="23"/>
  <c r="AC10" i="23"/>
  <c r="AB25" i="23"/>
  <c r="AC21" i="23"/>
  <c r="AB14" i="23"/>
  <c r="AB10" i="23"/>
  <c r="AB9" i="23"/>
  <c r="AC39" i="23"/>
  <c r="AB21" i="23"/>
  <c r="AC17" i="23"/>
  <c r="AC9" i="23"/>
  <c r="AB39" i="23"/>
  <c r="AB34" i="23"/>
  <c r="AC24" i="23"/>
  <c r="AB17" i="23"/>
  <c r="AB32" i="23"/>
  <c r="AB24" i="23"/>
  <c r="AC20" i="23"/>
  <c r="AC13" i="23"/>
  <c r="AC8" i="23"/>
  <c r="AC47" i="23"/>
  <c r="AC16" i="23"/>
  <c r="AB20" i="23"/>
  <c r="AB8" i="23"/>
  <c r="AB13" i="23"/>
  <c r="T57" i="23" l="1"/>
  <c r="U57" i="23"/>
  <c r="U58" i="23"/>
  <c r="T58" i="23"/>
  <c r="T59" i="23"/>
  <c r="U59" i="23"/>
  <c r="Q59" i="22"/>
  <c r="P57" i="22"/>
  <c r="P59" i="22"/>
  <c r="P58" i="22"/>
  <c r="Q58" i="22"/>
  <c r="Q57" i="22"/>
  <c r="K58" i="22"/>
  <c r="J58" i="22"/>
  <c r="J59" i="22"/>
  <c r="K59" i="22"/>
  <c r="U55" i="23"/>
  <c r="U56" i="23"/>
  <c r="T55" i="23"/>
  <c r="T56" i="23"/>
  <c r="P42" i="22"/>
  <c r="P53" i="22"/>
  <c r="Q44" i="22"/>
  <c r="Q20" i="22"/>
  <c r="Q33" i="22"/>
  <c r="P29" i="22"/>
  <c r="P13" i="22"/>
  <c r="P30" i="22"/>
  <c r="Q48" i="22"/>
  <c r="P45" i="22"/>
  <c r="P34" i="22"/>
  <c r="Q16" i="22"/>
  <c r="P17" i="22"/>
  <c r="Q32" i="22"/>
  <c r="P37" i="22"/>
  <c r="Q50" i="22"/>
  <c r="P36" i="22"/>
  <c r="Q13" i="22"/>
  <c r="P33" i="22"/>
  <c r="Q27" i="22"/>
  <c r="P20" i="22"/>
  <c r="Q10" i="22"/>
  <c r="Q31" i="22"/>
  <c r="Q9" i="22"/>
  <c r="P21" i="22"/>
  <c r="Q8" i="22"/>
  <c r="Q36" i="22"/>
  <c r="Q51" i="22"/>
  <c r="P11" i="22"/>
  <c r="P10" i="22"/>
  <c r="Q43" i="22"/>
  <c r="P40" i="22"/>
  <c r="Q41" i="22"/>
  <c r="P28" i="22"/>
  <c r="Q26" i="22"/>
  <c r="P32" i="22"/>
  <c r="Q35" i="22"/>
  <c r="Q23" i="22"/>
  <c r="P38" i="22"/>
  <c r="Q18" i="22"/>
  <c r="P8" i="22"/>
  <c r="Q21" i="22"/>
  <c r="P55" i="22"/>
  <c r="P14" i="22"/>
  <c r="P18" i="22"/>
  <c r="P27" i="22"/>
  <c r="Q25" i="22"/>
  <c r="P9" i="22"/>
  <c r="Q14" i="22"/>
  <c r="P15" i="22"/>
  <c r="P22" i="22"/>
  <c r="Q12" i="22"/>
  <c r="P52" i="22"/>
  <c r="P16" i="22"/>
  <c r="P50" i="22"/>
  <c r="P56" i="22"/>
  <c r="Q46" i="22"/>
  <c r="Q52" i="22"/>
  <c r="Q19" i="22"/>
  <c r="P44" i="22"/>
  <c r="P41" i="22"/>
  <c r="Q40" i="22"/>
  <c r="P25" i="22"/>
  <c r="P12" i="22"/>
  <c r="P39" i="22"/>
  <c r="Q29" i="22"/>
  <c r="Q49" i="22"/>
  <c r="P24" i="22"/>
  <c r="P54" i="22"/>
  <c r="P48" i="22"/>
  <c r="P46" i="22"/>
  <c r="Q30" i="22"/>
  <c r="Q24" i="22"/>
  <c r="P31" i="22"/>
  <c r="Q22" i="22"/>
  <c r="Q38" i="22"/>
  <c r="P51" i="22"/>
  <c r="Q28" i="22"/>
  <c r="P26" i="22"/>
  <c r="Q47" i="22"/>
  <c r="Q55" i="22"/>
  <c r="Q42" i="22"/>
  <c r="Q53" i="22"/>
  <c r="Q34" i="22"/>
  <c r="Q17" i="22"/>
  <c r="P43" i="22"/>
  <c r="P49" i="22"/>
  <c r="Q39" i="22"/>
  <c r="Q15" i="22"/>
  <c r="Q56" i="22"/>
  <c r="P47" i="22"/>
  <c r="Q45" i="22"/>
  <c r="Q54" i="22"/>
  <c r="P23" i="22"/>
  <c r="P35" i="22"/>
  <c r="Q37" i="22"/>
  <c r="P19" i="22"/>
  <c r="Q11" i="22"/>
  <c r="J40" i="22"/>
  <c r="J48" i="22"/>
  <c r="J29" i="22"/>
  <c r="J46" i="22"/>
  <c r="J12" i="22"/>
  <c r="J41" i="22"/>
  <c r="J14" i="22"/>
  <c r="K22" i="22"/>
  <c r="J35" i="22"/>
  <c r="K11" i="22"/>
  <c r="J28" i="22"/>
  <c r="K12" i="22"/>
  <c r="K33" i="22"/>
  <c r="J26" i="22"/>
  <c r="K15" i="22"/>
  <c r="K48" i="22"/>
  <c r="J50" i="22"/>
  <c r="J43" i="22"/>
  <c r="K27" i="22"/>
  <c r="J42" i="22"/>
  <c r="K9" i="22"/>
  <c r="J38" i="22"/>
  <c r="J10" i="22"/>
  <c r="K18" i="22"/>
  <c r="K38" i="22"/>
  <c r="J32" i="22"/>
  <c r="J52" i="22"/>
  <c r="J44" i="22"/>
  <c r="J49" i="22"/>
  <c r="J53" i="22"/>
  <c r="K39" i="22"/>
  <c r="K30" i="22"/>
  <c r="J47" i="22"/>
  <c r="K37" i="22"/>
  <c r="K43" i="22"/>
  <c r="K8" i="22"/>
  <c r="J13" i="22"/>
  <c r="J56" i="22"/>
  <c r="J55" i="22"/>
  <c r="J25" i="22"/>
  <c r="J22" i="22"/>
  <c r="K46" i="22"/>
  <c r="J39" i="22"/>
  <c r="K41" i="22"/>
  <c r="J20" i="22"/>
  <c r="J33" i="22"/>
  <c r="K24" i="22"/>
  <c r="J51" i="22"/>
  <c r="J23" i="22"/>
  <c r="J21" i="22"/>
  <c r="K56" i="22"/>
  <c r="K49" i="22"/>
  <c r="K54" i="22"/>
  <c r="J17" i="22"/>
  <c r="K42" i="22"/>
  <c r="K36" i="22"/>
  <c r="J30" i="22"/>
  <c r="K31" i="22"/>
  <c r="K29" i="22"/>
  <c r="K19" i="22"/>
  <c r="K20" i="22"/>
  <c r="K53" i="22"/>
  <c r="K51" i="22"/>
  <c r="J37" i="22"/>
  <c r="K16" i="22"/>
  <c r="K34" i="22"/>
  <c r="K28" i="22"/>
  <c r="K14" i="22"/>
  <c r="J16" i="22"/>
  <c r="J54" i="22"/>
  <c r="J27" i="22"/>
  <c r="K26" i="22"/>
  <c r="K23" i="22"/>
  <c r="K40" i="22"/>
  <c r="K25" i="22"/>
  <c r="K45" i="22"/>
  <c r="J31" i="22"/>
  <c r="J19" i="22"/>
  <c r="K10" i="22"/>
  <c r="K44" i="22"/>
  <c r="J11" i="22"/>
  <c r="J57" i="22"/>
  <c r="K50" i="22"/>
  <c r="K55" i="22"/>
  <c r="J18" i="22"/>
  <c r="J8" i="22"/>
  <c r="J34" i="22"/>
  <c r="K17" i="22"/>
  <c r="K35" i="22"/>
  <c r="K21" i="22"/>
  <c r="K57" i="22"/>
  <c r="J45" i="22"/>
  <c r="K52" i="22"/>
  <c r="J15" i="22"/>
  <c r="K47" i="22"/>
  <c r="K32" i="22"/>
  <c r="K13" i="22"/>
  <c r="J24" i="22"/>
  <c r="J9" i="22"/>
  <c r="J36" i="22"/>
  <c r="T53" i="23"/>
  <c r="U49" i="23"/>
  <c r="U45" i="23"/>
  <c r="U52" i="23"/>
  <c r="T49" i="23"/>
  <c r="T45" i="23"/>
  <c r="T41" i="23"/>
  <c r="T52" i="23"/>
  <c r="U37" i="23"/>
  <c r="T33" i="23"/>
  <c r="U48" i="23"/>
  <c r="U44" i="23"/>
  <c r="U40" i="23"/>
  <c r="U51" i="23"/>
  <c r="T48" i="23"/>
  <c r="T44" i="23"/>
  <c r="T40" i="23"/>
  <c r="U32" i="23"/>
  <c r="T51" i="23"/>
  <c r="U47" i="23"/>
  <c r="U43" i="23"/>
  <c r="U39" i="23"/>
  <c r="T36" i="23"/>
  <c r="U54" i="23"/>
  <c r="T47" i="23"/>
  <c r="T43" i="23"/>
  <c r="T39" i="23"/>
  <c r="U31" i="23"/>
  <c r="U28" i="23"/>
  <c r="T54" i="23"/>
  <c r="U50" i="23"/>
  <c r="U35" i="23"/>
  <c r="T31" i="23"/>
  <c r="T28" i="23"/>
  <c r="T42" i="23"/>
  <c r="U34" i="23"/>
  <c r="U22" i="23"/>
  <c r="U11" i="23"/>
  <c r="U41" i="23"/>
  <c r="T37" i="23"/>
  <c r="T34" i="23"/>
  <c r="T22" i="23"/>
  <c r="U18" i="23"/>
  <c r="T11" i="23"/>
  <c r="U10" i="23"/>
  <c r="U25" i="23"/>
  <c r="T18" i="23"/>
  <c r="U14" i="23"/>
  <c r="T25" i="23"/>
  <c r="U21" i="23"/>
  <c r="T14" i="23"/>
  <c r="T10" i="23"/>
  <c r="T32" i="23"/>
  <c r="T21" i="23"/>
  <c r="U17" i="23"/>
  <c r="U9" i="23"/>
  <c r="U36" i="23"/>
  <c r="U24" i="23"/>
  <c r="T17" i="23"/>
  <c r="T9" i="23"/>
  <c r="U8" i="23"/>
  <c r="T24" i="23"/>
  <c r="U20" i="23"/>
  <c r="U13" i="23"/>
  <c r="T8" i="23"/>
  <c r="T20" i="23"/>
  <c r="U16" i="23"/>
  <c r="T13" i="23"/>
  <c r="U38" i="23"/>
  <c r="T35" i="23"/>
  <c r="U33" i="23"/>
  <c r="U27" i="23"/>
  <c r="T16" i="23"/>
  <c r="T50" i="23"/>
  <c r="U46" i="23"/>
  <c r="T38" i="23"/>
  <c r="U30" i="23"/>
  <c r="U29" i="23"/>
  <c r="T27" i="23"/>
  <c r="U23" i="23"/>
  <c r="U19" i="23"/>
  <c r="U12" i="23"/>
  <c r="T46" i="23"/>
  <c r="T30" i="23"/>
  <c r="T29" i="23"/>
  <c r="U26" i="23"/>
  <c r="T23" i="23"/>
  <c r="T19" i="23"/>
  <c r="U15" i="23"/>
  <c r="T12" i="23"/>
  <c r="U53" i="23"/>
  <c r="U42" i="23"/>
  <c r="T26" i="23"/>
  <c r="T15" i="23"/>
  <c r="AF14" i="23" a="1"/>
  <c r="AF14" i="23" s="1"/>
  <c r="AF16" i="23"/>
  <c r="L58" i="23" l="1"/>
  <c r="M58" i="23"/>
  <c r="L59" i="23"/>
  <c r="M59" i="23"/>
  <c r="L54" i="23"/>
  <c r="M55" i="23"/>
  <c r="L55" i="23"/>
  <c r="L56" i="23"/>
  <c r="M56" i="23"/>
  <c r="L57" i="23"/>
  <c r="M57" i="23"/>
  <c r="M51" i="23"/>
  <c r="L51" i="23"/>
  <c r="M47" i="23"/>
  <c r="M43" i="23"/>
  <c r="M39" i="23"/>
  <c r="M54" i="23"/>
  <c r="L47" i="23"/>
  <c r="L43" i="23"/>
  <c r="L39" i="23"/>
  <c r="M50" i="23"/>
  <c r="L50" i="23"/>
  <c r="M46" i="23"/>
  <c r="M42" i="23"/>
  <c r="L35" i="23"/>
  <c r="M53" i="23"/>
  <c r="L46" i="23"/>
  <c r="L42" i="23"/>
  <c r="M38" i="23"/>
  <c r="L53" i="23"/>
  <c r="L38" i="23"/>
  <c r="L34" i="23"/>
  <c r="M49" i="23"/>
  <c r="M45" i="23"/>
  <c r="M41" i="23"/>
  <c r="L30" i="23"/>
  <c r="M52" i="23"/>
  <c r="L49" i="23"/>
  <c r="L45" i="23"/>
  <c r="L41" i="23"/>
  <c r="M33" i="23"/>
  <c r="M24" i="23"/>
  <c r="L17" i="23"/>
  <c r="L9" i="23"/>
  <c r="L8" i="23"/>
  <c r="L33" i="23"/>
  <c r="L24" i="23"/>
  <c r="M20" i="23"/>
  <c r="M13" i="23"/>
  <c r="M35" i="23"/>
  <c r="M29" i="23"/>
  <c r="L20" i="23"/>
  <c r="M16" i="23"/>
  <c r="L13" i="23"/>
  <c r="M40" i="23"/>
  <c r="M37" i="23"/>
  <c r="L29" i="23"/>
  <c r="M28" i="23"/>
  <c r="M27" i="23"/>
  <c r="L16" i="23"/>
  <c r="L40" i="23"/>
  <c r="L37" i="23"/>
  <c r="M31" i="23"/>
  <c r="M30" i="23"/>
  <c r="L28" i="23"/>
  <c r="L27" i="23"/>
  <c r="M23" i="23"/>
  <c r="M19" i="23"/>
  <c r="M12" i="23"/>
  <c r="L31" i="23"/>
  <c r="M26" i="23"/>
  <c r="L23" i="23"/>
  <c r="L19" i="23"/>
  <c r="M15" i="23"/>
  <c r="L12" i="23"/>
  <c r="M34" i="23"/>
  <c r="L26" i="23"/>
  <c r="L15" i="23"/>
  <c r="M10" i="23"/>
  <c r="M48" i="23"/>
  <c r="M22" i="23"/>
  <c r="M11" i="23"/>
  <c r="L48" i="23"/>
  <c r="M32" i="23"/>
  <c r="L22" i="23"/>
  <c r="M18" i="23"/>
  <c r="L11" i="23"/>
  <c r="M36" i="23"/>
  <c r="L32" i="23"/>
  <c r="M25" i="23"/>
  <c r="L18" i="23"/>
  <c r="M14" i="23"/>
  <c r="M44" i="23"/>
  <c r="L36" i="23"/>
  <c r="L25" i="23"/>
  <c r="M21" i="23"/>
  <c r="L14" i="23"/>
  <c r="L10" i="23"/>
  <c r="L52" i="23"/>
  <c r="L44" i="23"/>
  <c r="M17" i="23"/>
  <c r="M8" i="23"/>
  <c r="M9" i="23"/>
  <c r="L2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tc={0DC7A40C-BE43-4677-9AB9-8D81E3F93753}</author>
    <author>tc={9245F79D-0A65-47DF-94F6-E3B4785505E5}</author>
    <author>tc={508682D8-E4CA-4254-BC8F-0BEE1BE81BAD}</author>
    <author>tc={060E0141-247F-4A90-AA8B-0CA71CEA93DC}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A2" authorId="0" shapeId="0" xr:uid="{0DC7A40C-BE43-4677-9AB9-8D81E3F9375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growth scaling parameter</t>
      </text>
    </comment>
    <comment ref="AA3" authorId="1" shapeId="0" xr:uid="{9245F79D-0A65-47DF-94F6-E3B4785505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A4" authorId="2" shapeId="0" xr:uid="{508682D8-E4CA-4254-BC8F-0BEE1BE81BA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A5" authorId="3" shapeId="0" xr:uid="{060E0141-247F-4A90-AA8B-0CA71CEA93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4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tc={2254B7A5-0543-4527-B870-2CD7E17BEC32}</author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G2" authorId="0" shapeId="0" xr:uid="{2254B7A5-0543-4527-B870-2CD7E17BEC3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growth scaling parameter</t>
      </text>
    </comment>
    <comment ref="AG3" authorId="1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G4" authorId="2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G5" authorId="3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4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<sst xmlns="http://schemas.openxmlformats.org/spreadsheetml/2006/main" count="4788" uniqueCount="212">
  <si>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</si>
  <si>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</si>
  <si>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</si>
  <si>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</si>
  <si>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</si>
  <si>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</si>
  <si>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</si>
  <si>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</si>
  <si>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</si>
  <si>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</si>
  <si>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</si>
  <si>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</si>
  <si>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</si>
  <si>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</si>
  <si>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</si>
  <si>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</si>
  <si>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</si>
  <si>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</si>
  <si>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</si>
  <si>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</si>
  <si>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</si>
  <si>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</si>
  <si>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</si>
  <si>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</si>
  <si>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</si>
  <si>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</si>
  <si>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</si>
  <si>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</si>
  <si>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</si>
  <si>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</si>
  <si>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</si>
  <si>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</si>
  <si>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</si>
  <si>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</si>
  <si>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</si>
  <si>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</si>
  <si>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</si>
  <si>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</si>
  <si>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</si>
  <si>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</si>
  <si>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</si>
  <si>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</si>
  <si>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</si>
  <si>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</si>
  <si>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</si>
  <si>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</si>
  <si>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</si>
  <si>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</si>
  <si>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</si>
  <si>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</si>
  <si>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</si>
  <si>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</si>
  <si>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</si>
  <si>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</si>
  <si>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</si>
  <si>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</si>
  <si>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</si>
  <si>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</si>
  <si>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</si>
  <si>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</si>
  <si>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</si>
  <si>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</si>
  <si>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</si>
  <si>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</si>
  <si>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</si>
  <si>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</si>
  <si>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</si>
  <si>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</si>
  <si>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</si>
  <si>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</si>
  <si>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</si>
  <si>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</si>
  <si>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</si>
  <si>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</si>
  <si>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</si>
  <si>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</si>
  <si>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</si>
  <si>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</si>
  <si>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</si>
  <si>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</si>
  <si>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</si>
  <si>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</si>
  <si>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</si>
  <si>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</si>
  <si>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</si>
  <si>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</si>
  <si>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</si>
  <si>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</si>
  <si>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</si>
  <si>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</si>
  <si>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</si>
  <si>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</si>
  <si>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</si>
  <si>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</si>
  <si>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</si>
  <si>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</si>
  <si>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</si>
  <si>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</si>
  <si>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</si>
  <si>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</si>
  <si>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</si>
  <si>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</si>
  <si>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</si>
  <si>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</si>
  <si>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</si>
  <si>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</si>
  <si>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</si>
  <si>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</si>
  <si>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</si>
  <si>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</si>
  <si>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</si>
  <si>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</si>
  <si>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</si>
  <si>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</si>
  <si>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</si>
  <si>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</si>
  <si>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</si>
  <si>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</si>
  <si>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</si>
  <si>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</si>
  <si>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</si>
  <si>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</si>
  <si>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</si>
  <si>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</si>
  <si>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</si>
  <si>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</si>
  <si>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</si>
  <si>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</si>
  <si>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</si>
  <si>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</si>
  <si>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</si>
  <si>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t0=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</si>
  <si>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</si>
  <si>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</si>
  <si>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</si>
  <si>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</si>
  <si>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</si>
  <si>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</si>
  <si>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</si>
  <si>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</si>
  <si>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Italy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</si>
  <si>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</si>
  <si>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</si>
  <si>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</si>
  <si>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</si>
  <si>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</si>
  <si>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</si>
  <si>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</si>
  <si>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</si>
  <si>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</si>
  <si>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Modeling function: Generalized Gompertz</t>
  </si>
  <si>
    <t>p=</t>
  </si>
  <si>
    <r>
      <t>fitting parameter - constraint (0</t>
    </r>
    <r>
      <rPr>
        <b/>
        <sz val="11"/>
        <color theme="3"/>
        <rFont val="Calibri"/>
        <family val="2"/>
      </rPr>
      <t>≤p≤1</t>
    </r>
    <r>
      <rPr>
        <b/>
        <sz val="11"/>
        <color theme="3"/>
        <rFont val="Calibri"/>
        <family val="2"/>
        <scheme val="minor"/>
      </rPr>
      <t>)</t>
    </r>
  </si>
  <si>
    <t>Etichette di riga</t>
  </si>
  <si>
    <t>Totale complessivo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</si>
  <si>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</si>
  <si>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</si>
  <si>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</si>
  <si>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</si>
  <si>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</si>
  <si>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</si>
  <si>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</si>
  <si>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</si>
  <si>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</si>
  <si>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</si>
  <si>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</si>
  <si>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</si>
  <si>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</si>
  <si>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</si>
  <si>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</si>
  <si>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</si>
  <si>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</si>
  <si>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</si>
  <si>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</si>
  <si>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</si>
  <si>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</si>
  <si>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</si>
  <si>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</si>
  <si>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</si>
  <si>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</si>
  <si>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</si>
  <si>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</si>
  <si>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</si>
  <si>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</si>
  <si>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</si>
  <si>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</si>
  <si>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</si>
  <si>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</si>
  <si>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</si>
  <si>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</si>
  <si>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</si>
  <si>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</si>
  <si>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</si>
  <si>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</si>
  <si>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</si>
  <si>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</si>
  <si>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</si>
  <si>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</si>
  <si>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</si>
  <si>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</si>
  <si>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</si>
  <si>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</si>
  <si>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</si>
  <si>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</si>
  <si>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</si>
  <si>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</si>
  <si>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Somma di deceduti</t>
  </si>
  <si>
    <t>dc-IT-0005</t>
  </si>
  <si>
    <t>dc-EN-0005</t>
  </si>
  <si>
    <t>dc-IT-0004</t>
  </si>
  <si>
    <t>dc-EN-0004</t>
  </si>
  <si>
    <t>15-apr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</si>
</sst>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3"/>
      <name val="Calibri"/>
      <family val="2"/>
    </font>
    <font>
      <i/>
      <sz val="11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5" fillId="3" borderId="1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4" borderId="0" applyNumberFormat="0" applyBorder="0" applyAlignment="0" applyProtection="0"/>
    <xf numFmtId="0" fontId="5" fillId="6" borderId="0" applyNumberFormat="0" applyBorder="0" applyAlignment="0" applyProtection="0"/>
  </cellStyleXfs>
  <cellXfs count="11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0" fontId="15" fillId="0" borderId="10" xfId="5" applyAlignment="1">
      <alignment horizontal="left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8" fillId="2" borderId="0" xfId="0" applyFont="1" applyFill="1"/>
    <xf numFmtId="1" fontId="17" fillId="2" borderId="0" xfId="0" applyNumberFormat="1" applyFont="1" applyFill="1"/>
    <xf numFmtId="0" fontId="17" fillId="0" borderId="0" xfId="0" applyFont="1"/>
    <xf numFmtId="1" fontId="17" fillId="0" borderId="0" xfId="0" applyNumberFormat="1" applyFont="1"/>
    <xf numFmtId="2" fontId="17" fillId="0" borderId="0" xfId="0" applyNumberFormat="1" applyFont="1"/>
    <xf numFmtId="164" fontId="17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0" fontId="20" fillId="0" borderId="0" xfId="0" applyFont="1" applyAlignment="1">
      <alignment horizontal="center"/>
    </xf>
    <xf numFmtId="0" fontId="20" fillId="0" borderId="0" xfId="0" applyFont="1"/>
    <xf numFmtId="0" fontId="14" fillId="0" borderId="9" xfId="4"/>
    <xf numFmtId="0" fontId="15" fillId="0" borderId="0" xfId="0" applyFont="1" applyAlignment="1">
      <alignment wrapText="1"/>
    </xf>
    <xf numFmtId="1" fontId="16" fillId="4" borderId="0" xfId="6" applyNumberFormat="1" applyAlignment="1">
      <alignment horizontal="center"/>
    </xf>
    <xf numFmtId="165" fontId="17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166" fontId="15" fillId="0" borderId="0" xfId="0" applyNumberFormat="1" applyFont="1"/>
    <xf numFmtId="166" fontId="11" fillId="0" borderId="0" xfId="0" applyNumberFormat="1" applyFont="1"/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  <xf numFmtId="166" fontId="21" fillId="0" borderId="0" xfId="0" applyNumberFormat="1" applyFont="1"/>
    <xf numFmtId="0" fontId="10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20" fillId="0" borderId="3" xfId="0" applyNumberFormat="1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164" fontId="9" fillId="0" borderId="3" xfId="0" applyNumberFormat="1" applyFont="1" applyFill="1" applyBorder="1"/>
    <xf numFmtId="0" fontId="9" fillId="0" borderId="3" xfId="0" applyFont="1" applyFill="1" applyBorder="1"/>
    <xf numFmtId="0" fontId="9" fillId="0" borderId="7" xfId="0" applyFont="1" applyFill="1" applyBorder="1"/>
    <xf numFmtId="164" fontId="9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20" fillId="5" borderId="3" xfId="0" applyNumberFormat="1" applyFont="1" applyFill="1" applyBorder="1"/>
    <xf numFmtId="0" fontId="20" fillId="5" borderId="3" xfId="0" applyFont="1" applyFill="1" applyBorder="1"/>
    <xf numFmtId="164" fontId="0" fillId="5" borderId="12" xfId="0" applyNumberForma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5" fillId="0" borderId="10" xfId="5" applyAlignment="1">
      <alignment horizontal="left" vertical="center"/>
    </xf>
    <xf numFmtId="0" fontId="0" fillId="0" borderId="0" xfId="0"/>
    <xf numFmtId="0" fontId="0" fillId="0" borderId="6" xfId="0" applyBorder="1"/>
    <xf numFmtId="164" fontId="9" fillId="0" borderId="7" xfId="0" applyNumberFormat="1" applyFont="1" applyFill="1" applyBorder="1" applyAlignment="1">
      <alignment horizontal="center" vertical="center" textRotation="255" wrapText="1"/>
    </xf>
    <xf numFmtId="0" fontId="0" fillId="0" borderId="0" xfId="0"/>
    <xf numFmtId="0" fontId="15" fillId="0" borderId="10" xfId="5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5" fillId="6" borderId="0" xfId="7" applyAlignment="1">
      <alignment horizontal="center"/>
    </xf>
    <xf numFmtId="0" fontId="5" fillId="6" borderId="0" xfId="7"/>
    <xf numFmtId="0" fontId="5" fillId="6" borderId="0" xfId="0" applyNumberFormat="1" applyFont="1" applyFill="1"/>
    <xf numFmtId="0" fontId="23" fillId="2" borderId="0" xfId="0" applyFont="1" applyFill="1"/>
    <xf numFmtId="0" fontId="24" fillId="0" borderId="0" xfId="0" applyFont="1"/>
    <xf numFmtId="166" fontId="24" fillId="0" borderId="0" xfId="0" applyNumberFormat="1" applyFont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2" fontId="25" fillId="2" borderId="0" xfId="0" applyNumberFormat="1" applyFont="1" applyFill="1"/>
    <xf numFmtId="2" fontId="1" fillId="2" borderId="0" xfId="0" applyNumberFormat="1" applyFont="1" applyFill="1"/>
    <xf numFmtId="2" fontId="20" fillId="2" borderId="0" xfId="0" applyNumberFormat="1" applyFont="1" applyFill="1"/>
    <xf numFmtId="1" fontId="0" fillId="7" borderId="13" xfId="0" applyNumberFormat="1" applyFont="1" applyFill="1" applyBorder="1" applyAlignment="1">
      <alignment horizontal="center" wrapText="1"/>
    </xf>
    <xf numFmtId="1" fontId="11" fillId="0" borderId="0" xfId="0" applyNumberFormat="1" applyFont="1"/>
    <xf numFmtId="1" fontId="21" fillId="0" borderId="0" xfId="0" applyNumberFormat="1" applyFont="1"/>
    <xf numFmtId="1" fontId="24" fillId="0" borderId="0" xfId="0" applyNumberFormat="1" applyFont="1"/>
    <xf numFmtId="0" fontId="0" fillId="0" borderId="0" xfId="0"/>
    <xf numFmtId="0" fontId="12" fillId="0" borderId="0" xfId="2"/>
    <xf numFmtId="0" fontId="0" fillId="0" borderId="0" xfId="0"/>
    <xf numFmtId="0" fontId="15" fillId="0" borderId="11" xfId="5" applyBorder="1" applyAlignment="1">
      <alignment horizontal="left" vertical="center"/>
    </xf>
    <xf numFmtId="0" fontId="13" fillId="0" borderId="8" xfId="3"/>
    <xf numFmtId="0" fontId="14" fillId="0" borderId="9" xfId="4"/>
    <xf numFmtId="0" fontId="15" fillId="0" borderId="10" xfId="5" applyAlignment="1">
      <alignment horizontal="left" vertical="center"/>
    </xf>
    <xf numFmtId="164" fontId="9" fillId="5" borderId="6" xfId="0" applyNumberFormat="1" applyFont="1" applyFill="1" applyBorder="1" applyAlignment="1">
      <alignment textRotation="255" wrapText="1"/>
    </xf>
    <xf numFmtId="164" fontId="9" fillId="5" borderId="3" xfId="0" applyNumberFormat="1" applyFont="1" applyFill="1" applyBorder="1" applyAlignment="1">
      <alignment textRotation="255" wrapText="1"/>
    </xf>
    <xf numFmtId="164" fontId="9" fillId="5" borderId="4" xfId="0" applyNumberFormat="1" applyFont="1" applyFill="1" applyBorder="1" applyAlignment="1">
      <alignment textRotation="255" wrapText="1"/>
    </xf>
  </cellXfs>
  <cellStyles count="8">
    <cellStyle name="20% - Colore 2" xfId="7" builtinId="34"/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Generalized Gompertz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GGoM'!$F$7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GGoM'!$F$8:$F$78</c:f>
              <c:numCache>
                <c:formatCode>0</c:formatCode>
                <c:ptCount val="71"/>
                <c:pt idx="0">
                  <c:v>5.102711233504921E-2</c:v>
                </c:pt>
                <c:pt idx="1">
                  <c:v>0.13894680369909168</c:v>
                </c:pt>
                <c:pt idx="2">
                  <c:v>0.35017220145117989</c:v>
                </c:pt>
                <c:pt idx="3">
                  <c:v>0.82176090956824166</c:v>
                </c:pt>
                <c:pt idx="4">
                  <c:v>1.8058288174765658</c:v>
                </c:pt>
                <c:pt idx="5">
                  <c:v>3.735242206983342</c:v>
                </c:pt>
                <c:pt idx="6">
                  <c:v>7.3069779143025011</c:v>
                </c:pt>
                <c:pt idx="7">
                  <c:v>13.577977184121861</c:v>
                </c:pt>
                <c:pt idx="8">
                  <c:v>24.063591659420034</c:v>
                </c:pt>
                <c:pt idx="9">
                  <c:v>40.824797674151057</c:v>
                </c:pt>
                <c:pt idx="10">
                  <c:v>66.528427559604012</c:v>
                </c:pt>
                <c:pt idx="11">
                  <c:v>104.46552901751788</c:v>
                </c:pt>
                <c:pt idx="12">
                  <c:v>158.51674702514839</c:v>
                </c:pt>
                <c:pt idx="13">
                  <c:v>233.05974512566334</c:v>
                </c:pt>
                <c:pt idx="14">
                  <c:v>332.82101891594175</c:v>
                </c:pt>
                <c:pt idx="15">
                  <c:v>462.68164373986792</c:v>
                </c:pt>
                <c:pt idx="16">
                  <c:v>627.45229449015733</c:v>
                </c:pt>
                <c:pt idx="17">
                  <c:v>831.63640240769575</c:v>
                </c:pt>
                <c:pt idx="18">
                  <c:v>1079.2012064047926</c:v>
                </c:pt>
                <c:pt idx="19">
                  <c:v>1373.3748566728486</c:v>
                </c:pt>
                <c:pt idx="20">
                  <c:v>1716.4841492943349</c:v>
                </c:pt>
                <c:pt idx="21">
                  <c:v>2109.8426791032944</c:v>
                </c:pt>
                <c:pt idx="22">
                  <c:v>2553.6939464476868</c:v>
                </c:pt>
                <c:pt idx="23">
                  <c:v>3047.2089993216582</c:v>
                </c:pt>
                <c:pt idx="24">
                  <c:v>3588.5339753383187</c:v>
                </c:pt>
                <c:pt idx="25">
                  <c:v>4174.8798381357956</c:v>
                </c:pt>
                <c:pt idx="26">
                  <c:v>4802.6446665718704</c:v>
                </c:pt>
                <c:pt idx="27">
                  <c:v>5467.5581206748338</c:v>
                </c:pt>
                <c:pt idx="28">
                  <c:v>6164.8378937844245</c:v>
                </c:pt>
                <c:pt idx="29">
                  <c:v>6889.348893877509</c:v>
                </c:pt>
                <c:pt idx="30">
                  <c:v>7635.7573320540159</c:v>
                </c:pt>
                <c:pt idx="31">
                  <c:v>8398.67357247158</c:v>
                </c:pt>
                <c:pt idx="32">
                  <c:v>9172.779313754545</c:v>
                </c:pt>
                <c:pt idx="33">
                  <c:v>9952.9363505499623</c:v>
                </c:pt>
                <c:pt idx="34">
                  <c:v>10734.275591795893</c:v>
                </c:pt>
                <c:pt idx="35">
                  <c:v>11512.266237664062</c:v>
                </c:pt>
                <c:pt idx="36">
                  <c:v>12282.76597366746</c:v>
                </c:pt>
                <c:pt idx="37">
                  <c:v>13042.053666108171</c:v>
                </c:pt>
                <c:pt idx="38">
                  <c:v>13786.846576526243</c:v>
                </c:pt>
                <c:pt idx="39">
                  <c:v>14514.304260629418</c:v>
                </c:pt>
                <c:pt idx="40">
                  <c:v>15222.02145080331</c:v>
                </c:pt>
                <c:pt idx="41">
                  <c:v>15908.012152569743</c:v>
                </c:pt>
                <c:pt idx="42">
                  <c:v>16570.687016741467</c:v>
                </c:pt>
                <c:pt idx="43">
                  <c:v>17208.825899413492</c:v>
                </c:pt>
                <c:pt idx="44">
                  <c:v>17821.54725306758</c:v>
                </c:pt>
                <c:pt idx="45">
                  <c:v>18408.275719234476</c:v>
                </c:pt>
                <c:pt idx="46">
                  <c:v>18968.709138529382</c:v>
                </c:pt>
                <c:pt idx="47">
                  <c:v>19502.785856222898</c:v>
                </c:pt>
                <c:pt idx="48">
                  <c:v>20010.653072398469</c:v>
                </c:pt>
                <c:pt idx="49">
                  <c:v>20492.636753998879</c:v>
                </c:pt>
                <c:pt idx="50">
                  <c:v>20949.213496516088</c:v>
                </c:pt>
                <c:pt idx="51">
                  <c:v>21380.984546944885</c:v>
                </c:pt>
                <c:pt idx="52">
                  <c:v>21788.652168069661</c:v>
                </c:pt>
                <c:pt idx="53">
                  <c:v>22172.998319361301</c:v>
                </c:pt>
                <c:pt idx="54">
                  <c:v>22534.865697657035</c:v>
                </c:pt>
                <c:pt idx="55">
                  <c:v>22875.14097929823</c:v>
                </c:pt>
                <c:pt idx="56">
                  <c:v>23194.740247580205</c:v>
                </c:pt>
                <c:pt idx="57">
                  <c:v>23494.59636385171</c:v>
                </c:pt>
                <c:pt idx="58">
                  <c:v>23775.648208448161</c:v>
                </c:pt>
                <c:pt idx="59">
                  <c:v>24038.83158373816</c:v>
                </c:pt>
                <c:pt idx="60">
                  <c:v>24285.071627922036</c:v>
                </c:pt>
                <c:pt idx="61">
                  <c:v>24515.276603020189</c:v>
                </c:pt>
                <c:pt idx="62">
                  <c:v>24730.332841013056</c:v>
                </c:pt>
                <c:pt idx="63">
                  <c:v>24931.100789283581</c:v>
                </c:pt>
                <c:pt idx="64">
                  <c:v>25118.411949970614</c:v>
                </c:pt>
                <c:pt idx="65">
                  <c:v>25293.066613378989</c:v>
                </c:pt>
                <c:pt idx="66">
                  <c:v>25455.832283747885</c:v>
                </c:pt>
                <c:pt idx="67">
                  <c:v>25607.442688940122</c:v>
                </c:pt>
                <c:pt idx="68">
                  <c:v>25748.597259743612</c:v>
                </c:pt>
                <c:pt idx="69">
                  <c:v>25879.961029829097</c:v>
                </c:pt>
                <c:pt idx="70">
                  <c:v>26002.164887710918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GGoM'!$H$7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GGoM'!$H$8:$H$78</c:f>
              <c:numCache>
                <c:formatCode>0</c:formatCode>
                <c:ptCount val="71"/>
                <c:pt idx="0">
                  <c:v>5.465337501575613E-2</c:v>
                </c:pt>
                <c:pt idx="1">
                  <c:v>0.14574382229824881</c:v>
                </c:pt>
                <c:pt idx="2">
                  <c:v>0.36118575289359789</c:v>
                </c:pt>
                <c:pt idx="3">
                  <c:v>0.83640615210920599</c:v>
                </c:pt>
                <c:pt idx="4">
                  <c:v>1.8190769290527002</c:v>
                </c:pt>
                <c:pt idx="5">
                  <c:v>3.7330924922183444</c:v>
                </c:pt>
                <c:pt idx="6">
                  <c:v>7.2603017643057282</c:v>
                </c:pt>
                <c:pt idx="7">
                  <c:v>13.435455884212342</c:v>
                </c:pt>
                <c:pt idx="8">
                  <c:v>23.745167316351296</c:v>
                </c:pt>
                <c:pt idx="9">
                  <c:v>40.217573918908251</c:v>
                </c:pt>
                <c:pt idx="10">
                  <c:v>65.487057335993597</c:v>
                </c:pt>
                <c:pt idx="11">
                  <c:v>102.81867555369848</c:v>
                </c:pt>
                <c:pt idx="12">
                  <c:v>156.08023318784811</c:v>
                </c:pt>
                <c:pt idx="13">
                  <c:v>229.6557161982083</c:v>
                </c:pt>
                <c:pt idx="14">
                  <c:v>328.30114029938312</c:v>
                </c:pt>
                <c:pt idx="15">
                  <c:v>456.95135780179771</c:v>
                </c:pt>
                <c:pt idx="16">
                  <c:v>620.49270118647723</c:v>
                </c:pt>
                <c:pt idx="17">
                  <c:v>823.52050086264865</c:v>
                </c:pt>
                <c:pt idx="18">
                  <c:v>1070.1019798715083</c:v>
                </c:pt>
                <c:pt idx="19">
                  <c:v>1363.5638189931019</c:v>
                </c:pt>
                <c:pt idx="20">
                  <c:v>1706.3202683365648</c:v>
                </c:pt>
                <c:pt idx="21">
                  <c:v>2099.7527967065939</c:v>
                </c:pt>
                <c:pt idx="22">
                  <c:v>2544.1467728765506</c:v>
                </c:pt>
                <c:pt idx="23">
                  <c:v>3038.6853175192023</c:v>
                </c:pt>
                <c:pt idx="24">
                  <c:v>3581.4958853207172</c:v>
                </c:pt>
                <c:pt idx="25">
                  <c:v>4169.741663428963</c:v>
                </c:pt>
                <c:pt idx="26">
                  <c:v>4799.7477203183344</c:v>
                </c:pt>
                <c:pt idx="27">
                  <c:v>5467.1508992014024</c:v>
                </c:pt>
                <c:pt idx="28">
                  <c:v>6167.0625938768517</c:v>
                </c:pt>
                <c:pt idx="29">
                  <c:v>6894.2345195252819</c:v>
                </c:pt>
                <c:pt idx="30">
                  <c:v>7643.2190946065266</c:v>
                </c:pt>
                <c:pt idx="31">
                  <c:v>8408.5178755471807</c:v>
                </c:pt>
                <c:pt idx="32">
                  <c:v>9184.7133521881478</c:v>
                </c:pt>
                <c:pt idx="33">
                  <c:v>9966.5811623964364</c:v>
                </c:pt>
                <c:pt idx="34">
                  <c:v>10749.181440476672</c:v>
                </c:pt>
                <c:pt idx="35">
                  <c:v>11527.929211692479</c:v>
                </c:pt>
                <c:pt idx="36">
                  <c:v>12298.644838133068</c:v>
                </c:pt>
                <c:pt idx="37">
                  <c:v>13057.58618955983</c:v>
                </c:pt>
                <c:pt idx="38">
                  <c:v>13801.464668575038</c:v>
                </c:pt>
                <c:pt idx="39">
                  <c:v>14527.447524903391</c:v>
                </c:pt>
                <c:pt idx="40">
                  <c:v>15233.148857803695</c:v>
                </c:pt>
                <c:pt idx="41">
                  <c:v>15916.611670980237</c:v>
                </c:pt>
                <c:pt idx="42">
                  <c:v>16576.283251366589</c:v>
                </c:pt>
                <c:pt idx="43">
                  <c:v>17210.985751256288</c:v>
                </c:pt>
                <c:pt idx="44">
                  <c:v>17819.88375241233</c:v>
                </c:pt>
                <c:pt idx="45">
                  <c:v>18402.450267639255</c:v>
                </c:pt>
                <c:pt idx="46">
                  <c:v>18958.432317695133</c:v>
                </c:pt>
                <c:pt idx="47">
                  <c:v>19487.817040144375</c:v>
                </c:pt>
                <c:pt idx="48">
                  <c:v>19990.799060185396</c:v>
                </c:pt>
                <c:pt idx="49">
                  <c:v>20467.749650044065</c:v>
                </c:pt>
                <c:pt idx="50">
                  <c:v>20919.187996957193</c:v>
                </c:pt>
                <c:pt idx="51">
                  <c:v>21345.754835999029</c:v>
                </c:pt>
                <c:pt idx="52">
                  <c:v>21748.188531252305</c:v>
                </c:pt>
                <c:pt idx="53">
                  <c:v>22127.303634657346</c:v>
                </c:pt>
                <c:pt idx="54">
                  <c:v>22483.971884358893</c:v>
                </c:pt>
                <c:pt idx="55">
                  <c:v>22819.10552289111</c:v>
                </c:pt>
                <c:pt idx="56">
                  <c:v>23133.642800443668</c:v>
                </c:pt>
                <c:pt idx="57">
                  <c:v>23428.535533536113</c:v>
                </c:pt>
                <c:pt idx="58">
                  <c:v>23704.738538249912</c:v>
                </c:pt>
                <c:pt idx="59">
                  <c:v>23963.200750925815</c:v>
                </c:pt>
                <c:pt idx="60">
                  <c:v>24204.857875720609</c:v>
                </c:pt>
                <c:pt idx="61">
                  <c:v>24430.626409689521</c:v>
                </c:pt>
                <c:pt idx="62">
                  <c:v>24641.398827999219</c:v>
                </c:pt>
                <c:pt idx="63">
                  <c:v>24838.039849129404</c:v>
                </c:pt>
                <c:pt idx="64">
                  <c:v>25021.383597979413</c:v>
                </c:pt>
                <c:pt idx="65">
                  <c:v>25192.23155906831</c:v>
                </c:pt>
                <c:pt idx="66">
                  <c:v>25351.351189372872</c:v>
                </c:pt>
                <c:pt idx="67">
                  <c:v>25499.475085947568</c:v>
                </c:pt>
                <c:pt idx="68">
                  <c:v>25637.300663462243</c:v>
                </c:pt>
                <c:pt idx="69">
                  <c:v>25765.490175027851</c:v>
                </c:pt>
                <c:pt idx="70">
                  <c:v>25884.671114090215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GGoM'!$N$7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GGoM'!$N$8:$N$78</c:f>
              <c:numCache>
                <c:formatCode>0</c:formatCode>
                <c:ptCount val="71"/>
                <c:pt idx="0">
                  <c:v>4.3624137394786426E-2</c:v>
                </c:pt>
                <c:pt idx="1">
                  <c:v>0.11798135192475251</c:v>
                </c:pt>
                <c:pt idx="2">
                  <c:v>0.29509129567112347</c:v>
                </c:pt>
                <c:pt idx="3">
                  <c:v>0.68678764884379884</c:v>
                </c:pt>
                <c:pt idx="4">
                  <c:v>1.4957831918305333</c:v>
                </c:pt>
                <c:pt idx="5">
                  <c:v>3.0644951792585995</c:v>
                </c:pt>
                <c:pt idx="6">
                  <c:v>5.9344369936731267</c:v>
                </c:pt>
                <c:pt idx="7">
                  <c:v>10.910701400748133</c:v>
                </c:pt>
                <c:pt idx="8">
                  <c:v>19.12271934753096</c:v>
                </c:pt>
                <c:pt idx="9">
                  <c:v>32.070267736077717</c:v>
                </c:pt>
                <c:pt idx="10">
                  <c:v>51.643465385202113</c:v>
                </c:pt>
                <c:pt idx="11">
                  <c:v>80.107611611505433</c:v>
                </c:pt>
                <c:pt idx="12">
                  <c:v>120.04793761878389</c:v>
                </c:pt>
                <c:pt idx="13">
                  <c:v>174.27485208411443</c:v>
                </c:pt>
                <c:pt idx="14">
                  <c:v>245.69595043857078</c:v>
                </c:pt>
                <c:pt idx="15">
                  <c:v>337.16580195251663</c:v>
                </c:pt>
                <c:pt idx="16">
                  <c:v>451.32749628607638</c:v>
                </c:pt>
                <c:pt idx="17">
                  <c:v>590.46072950560801</c:v>
                </c:pt>
                <c:pt idx="18">
                  <c:v>756.34991252635848</c:v>
                </c:pt>
                <c:pt idx="19">
                  <c:v>950.18284968426838</c:v>
                </c:pt>
                <c:pt idx="20">
                  <c:v>1172.4866076488083</c:v>
                </c:pt>
                <c:pt idx="21">
                  <c:v>1423.1030022183588</c:v>
                </c:pt>
                <c:pt idx="22">
                  <c:v>1701.2022471158261</c:v>
                </c:pt>
                <c:pt idx="23">
                  <c:v>2005.3302118002534</c:v>
                </c:pt>
                <c:pt idx="24">
                  <c:v>2333.4825912275446</c:v>
                </c:pt>
                <c:pt idx="25">
                  <c:v>2683.1982117887846</c:v>
                </c:pt>
                <c:pt idx="26">
                  <c:v>3051.6635015287461</c:v>
                </c:pt>
                <c:pt idx="27">
                  <c:v>3435.8207244696523</c:v>
                </c:pt>
                <c:pt idx="28">
                  <c:v>3832.473638473889</c:v>
                </c:pt>
                <c:pt idx="29">
                  <c:v>4238.3855626936393</c:v>
                </c:pt>
                <c:pt idx="30">
                  <c:v>4650.3662923056536</c:v>
                </c:pt>
                <c:pt idx="31">
                  <c:v>5065.3456514229529</c:v>
                </c:pt>
                <c:pt idx="32">
                  <c:v>5480.4326868096514</c:v>
                </c:pt>
                <c:pt idx="33">
                  <c:v>5892.9605010602618</c:v>
                </c:pt>
                <c:pt idx="34">
                  <c:v>6300.517472904362</c:v>
                </c:pt>
                <c:pt idx="35">
                  <c:v>6700.9661376353952</c:v>
                </c:pt>
                <c:pt idx="36">
                  <c:v>7092.4513366438523</c:v>
                </c:pt>
                <c:pt idx="37">
                  <c:v>7473.399357183067</c:v>
                </c:pt>
                <c:pt idx="38">
                  <c:v>7842.5098554608367</c:v>
                </c:pt>
                <c:pt idx="39">
                  <c:v>8198.7422168066169</c:v>
                </c:pt>
                <c:pt idx="40">
                  <c:v>8541.297902532966</c:v>
                </c:pt>
                <c:pt idx="41">
                  <c:v>8869.6001160383694</c:v>
                </c:pt>
                <c:pt idx="42">
                  <c:v>9183.2719457766598</c:v>
                </c:pt>
                <c:pt idx="43">
                  <c:v>9482.1139134338609</c:v>
                </c:pt>
                <c:pt idx="44">
                  <c:v>9766.0816810111828</c:v>
                </c:pt>
                <c:pt idx="45">
                  <c:v>10035.264480953036</c:v>
                </c:pt>
                <c:pt idx="46">
                  <c:v>10289.864685632427</c:v>
                </c:pt>
                <c:pt idx="47">
                  <c:v>10530.178813652714</c:v>
                </c:pt>
                <c:pt idx="48">
                  <c:v>10756.580123383781</c:v>
                </c:pt>
                <c:pt idx="49">
                  <c:v>10969.502895188954</c:v>
                </c:pt>
                <c:pt idx="50">
                  <c:v>11169.428419789021</c:v>
                </c:pt>
                <c:pt idx="51">
                  <c:v>11356.872644007968</c:v>
                </c:pt>
                <c:pt idx="52">
                  <c:v>11532.375437406905</c:v>
                </c:pt>
                <c:pt idx="53">
                  <c:v>11696.491326119556</c:v>
                </c:pt>
                <c:pt idx="54">
                  <c:v>11849.78163006352</c:v>
                </c:pt>
                <c:pt idx="55">
                  <c:v>11992.807853907409</c:v>
                </c:pt>
                <c:pt idx="56">
                  <c:v>12126.126215659962</c:v>
                </c:pt>
                <c:pt idx="57">
                  <c:v>12250.283176185689</c:v>
                </c:pt>
                <c:pt idx="58">
                  <c:v>12365.811873344213</c:v>
                </c:pt>
                <c:pt idx="59">
                  <c:v>12473.229324014168</c:v>
                </c:pt>
                <c:pt idx="60">
                  <c:v>12573.034297542687</c:v>
                </c:pt>
                <c:pt idx="61">
                  <c:v>12665.705773989934</c:v>
                </c:pt>
                <c:pt idx="62">
                  <c:v>12751.701876228357</c:v>
                </c:pt>
                <c:pt idx="63">
                  <c:v>12831.459237992347</c:v>
                </c:pt>
                <c:pt idx="64">
                  <c:v>12905.392700159908</c:v>
                </c:pt>
                <c:pt idx="65">
                  <c:v>12973.895282181598</c:v>
                </c:pt>
                <c:pt idx="66">
                  <c:v>13037.338400353814</c:v>
                </c:pt>
                <c:pt idx="67">
                  <c:v>13096.072270979683</c:v>
                </c:pt>
                <c:pt idx="68">
                  <c:v>13150.426438079603</c:v>
                </c:pt>
                <c:pt idx="69">
                  <c:v>13200.710427775106</c:v>
                </c:pt>
                <c:pt idx="70">
                  <c:v>13247.21448636688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GGoM'!$T$7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GGoM'!$T$8:$T$78</c:f>
              <c:numCache>
                <c:formatCode>0</c:formatCode>
                <c:ptCount val="71"/>
                <c:pt idx="0">
                  <c:v>7.4029749402627874E-3</c:v>
                </c:pt>
                <c:pt idx="1">
                  <c:v>2.0965451774339176E-2</c:v>
                </c:pt>
                <c:pt idx="2">
                  <c:v>5.5080905780056422E-2</c:v>
                </c:pt>
                <c:pt idx="3">
                  <c:v>0.13497326072444282</c:v>
                </c:pt>
                <c:pt idx="4">
                  <c:v>0.3100456256460325</c:v>
                </c:pt>
                <c:pt idx="5">
                  <c:v>0.67074702772474248</c:v>
                </c:pt>
                <c:pt idx="6">
                  <c:v>1.3725409206293746</c:v>
                </c:pt>
                <c:pt idx="7">
                  <c:v>2.6672757833737282</c:v>
                </c:pt>
                <c:pt idx="8">
                  <c:v>4.9408723118890734</c:v>
                </c:pt>
                <c:pt idx="9">
                  <c:v>8.7545299380733379</c:v>
                </c:pt>
                <c:pt idx="10">
                  <c:v>14.884962174401906</c:v>
                </c:pt>
                <c:pt idx="11">
                  <c:v>24.357917406012444</c:v>
                </c:pt>
                <c:pt idx="12">
                  <c:v>38.4688094063645</c:v>
                </c:pt>
                <c:pt idx="13">
                  <c:v>58.784893041548919</c:v>
                </c:pt>
                <c:pt idx="14">
                  <c:v>87.125068477370974</c:v>
                </c:pt>
                <c:pt idx="15">
                  <c:v>125.51584178735126</c:v>
                </c:pt>
                <c:pt idx="16">
                  <c:v>176.124798204081</c:v>
                </c:pt>
                <c:pt idx="17">
                  <c:v>241.17567290208774</c:v>
                </c:pt>
                <c:pt idx="18">
                  <c:v>322.85129387843426</c:v>
                </c:pt>
                <c:pt idx="19">
                  <c:v>423.19200698858015</c:v>
                </c:pt>
                <c:pt idx="20">
                  <c:v>543.99754164552655</c:v>
                </c:pt>
                <c:pt idx="21">
                  <c:v>686.73967688493553</c:v>
                </c:pt>
                <c:pt idx="22">
                  <c:v>852.49169933186079</c:v>
                </c:pt>
                <c:pt idx="23">
                  <c:v>1041.8787875214048</c:v>
                </c:pt>
                <c:pt idx="24">
                  <c:v>1255.0513841107741</c:v>
                </c:pt>
                <c:pt idx="25">
                  <c:v>1491.6816263470114</c:v>
                </c:pt>
                <c:pt idx="26">
                  <c:v>1750.9811650431247</c:v>
                </c:pt>
                <c:pt idx="27">
                  <c:v>2031.7373962051818</c:v>
                </c:pt>
                <c:pt idx="28">
                  <c:v>2332.3642553105351</c:v>
                </c:pt>
                <c:pt idx="29">
                  <c:v>2650.9633311838697</c:v>
                </c:pt>
                <c:pt idx="30">
                  <c:v>2985.3910397483619</c:v>
                </c:pt>
                <c:pt idx="31">
                  <c:v>3333.3279210486262</c:v>
                </c:pt>
                <c:pt idx="32">
                  <c:v>3692.3466269448927</c:v>
                </c:pt>
                <c:pt idx="33">
                  <c:v>4059.975849489701</c:v>
                </c:pt>
                <c:pt idx="34">
                  <c:v>4433.758118891531</c:v>
                </c:pt>
                <c:pt idx="35">
                  <c:v>4811.3001000286658</c:v>
                </c:pt>
                <c:pt idx="36">
                  <c:v>5190.3146370236072</c:v>
                </c:pt>
                <c:pt idx="37">
                  <c:v>5568.6543089251054</c:v>
                </c:pt>
                <c:pt idx="38">
                  <c:v>5944.336721065406</c:v>
                </c:pt>
                <c:pt idx="39">
                  <c:v>6315.5620438228007</c:v>
                </c:pt>
                <c:pt idx="40">
                  <c:v>6680.7235482703436</c:v>
                </c:pt>
                <c:pt idx="41">
                  <c:v>7038.4120365313747</c:v>
                </c:pt>
                <c:pt idx="42">
                  <c:v>7387.4150709648084</c:v>
                </c:pt>
                <c:pt idx="43">
                  <c:v>7726.7119859796303</c:v>
                </c:pt>
                <c:pt idx="44">
                  <c:v>8055.4655720563978</c:v>
                </c:pt>
                <c:pt idx="45">
                  <c:v>8373.0112382814405</c:v>
                </c:pt>
                <c:pt idx="46">
                  <c:v>8678.8444528969576</c:v>
                </c:pt>
                <c:pt idx="47">
                  <c:v>8972.6070425701837</c:v>
                </c:pt>
                <c:pt idx="48">
                  <c:v>9254.0729490146896</c:v>
                </c:pt>
                <c:pt idx="49">
                  <c:v>9523.1338588099225</c:v>
                </c:pt>
                <c:pt idx="50">
                  <c:v>9779.7850767270666</c:v>
                </c:pt>
                <c:pt idx="51">
                  <c:v>10024.111902936917</c:v>
                </c:pt>
                <c:pt idx="52">
                  <c:v>10256.276730662757</c:v>
                </c:pt>
                <c:pt idx="53">
                  <c:v>10476.506993241743</c:v>
                </c:pt>
                <c:pt idx="54">
                  <c:v>10685.084067593514</c:v>
                </c:pt>
                <c:pt idx="55">
                  <c:v>10882.33312539082</c:v>
                </c:pt>
                <c:pt idx="56">
                  <c:v>11068.614031920242</c:v>
                </c:pt>
                <c:pt idx="57">
                  <c:v>11244.313187666021</c:v>
                </c:pt>
                <c:pt idx="58">
                  <c:v>11409.836335103948</c:v>
                </c:pt>
                <c:pt idx="59">
                  <c:v>11565.602259723993</c:v>
                </c:pt>
                <c:pt idx="60">
                  <c:v>11712.037330379348</c:v>
                </c:pt>
                <c:pt idx="61">
                  <c:v>11849.570829030254</c:v>
                </c:pt>
                <c:pt idx="62">
                  <c:v>11978.630964784701</c:v>
                </c:pt>
                <c:pt idx="63">
                  <c:v>12099.641551291234</c:v>
                </c:pt>
                <c:pt idx="64">
                  <c:v>12213.019249810706</c:v>
                </c:pt>
                <c:pt idx="65">
                  <c:v>12319.171331197391</c:v>
                </c:pt>
                <c:pt idx="66">
                  <c:v>12418.493883394071</c:v>
                </c:pt>
                <c:pt idx="67">
                  <c:v>12511.370417960441</c:v>
                </c:pt>
                <c:pt idx="68">
                  <c:v>12598.170821664009</c:v>
                </c:pt>
                <c:pt idx="69">
                  <c:v>12679.250602053991</c:v>
                </c:pt>
                <c:pt idx="70">
                  <c:v>12754.950401344036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GGoM'!$P$7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GGoM'!$P$8:$P$78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176.90330088277418</c:v>
                      </c:pt>
                      <c:pt idx="1">
                        <c:v>176.97765809730416</c:v>
                      </c:pt>
                      <c:pt idx="2">
                        <c:v>177.15476804105052</c:v>
                      </c:pt>
                      <c:pt idx="3">
                        <c:v>177.54646439422319</c:v>
                      </c:pt>
                      <c:pt idx="4">
                        <c:v>178.35545993720993</c:v>
                      </c:pt>
                      <c:pt idx="5">
                        <c:v>179.92417192463799</c:v>
                      </c:pt>
                      <c:pt idx="6">
                        <c:v>182.79411373905253</c:v>
                      </c:pt>
                      <c:pt idx="7">
                        <c:v>187.77037814612754</c:v>
                      </c:pt>
                      <c:pt idx="8">
                        <c:v>195.98239609291036</c:v>
                      </c:pt>
                      <c:pt idx="9">
                        <c:v>208.92994448145711</c:v>
                      </c:pt>
                      <c:pt idx="10">
                        <c:v>228.50314213058152</c:v>
                      </c:pt>
                      <c:pt idx="11">
                        <c:v>256.96728835688486</c:v>
                      </c:pt>
                      <c:pt idx="12">
                        <c:v>296.90761436416329</c:v>
                      </c:pt>
                      <c:pt idx="13">
                        <c:v>351.13452882949383</c:v>
                      </c:pt>
                      <c:pt idx="14">
                        <c:v>422.55562718395015</c:v>
                      </c:pt>
                      <c:pt idx="15">
                        <c:v>514.02547869789601</c:v>
                      </c:pt>
                      <c:pt idx="16">
                        <c:v>628.18717303145581</c:v>
                      </c:pt>
                      <c:pt idx="17">
                        <c:v>767.32040625098739</c:v>
                      </c:pt>
                      <c:pt idx="18">
                        <c:v>933.20958927173785</c:v>
                      </c:pt>
                      <c:pt idx="19">
                        <c:v>1127.0425264296478</c:v>
                      </c:pt>
                      <c:pt idx="20">
                        <c:v>1349.3462843941877</c:v>
                      </c:pt>
                      <c:pt idx="21">
                        <c:v>1599.9626789637382</c:v>
                      </c:pt>
                      <c:pt idx="22">
                        <c:v>1878.0619238612055</c:v>
                      </c:pt>
                      <c:pt idx="23">
                        <c:v>2182.189888545633</c:v>
                      </c:pt>
                      <c:pt idx="24">
                        <c:v>2510.3422679729242</c:v>
                      </c:pt>
                      <c:pt idx="25">
                        <c:v>2860.0578885341642</c:v>
                      </c:pt>
                      <c:pt idx="26">
                        <c:v>3228.5231782741257</c:v>
                      </c:pt>
                      <c:pt idx="27">
                        <c:v>3612.6804012150319</c:v>
                      </c:pt>
                      <c:pt idx="28">
                        <c:v>4009.3333152192686</c:v>
                      </c:pt>
                      <c:pt idx="29">
                        <c:v>4415.2452394390184</c:v>
                      </c:pt>
                      <c:pt idx="30">
                        <c:v>4827.2259690510327</c:v>
                      </c:pt>
                      <c:pt idx="31">
                        <c:v>5242.205328168332</c:v>
                      </c:pt>
                      <c:pt idx="32">
                        <c:v>5657.2923635550305</c:v>
                      </c:pt>
                      <c:pt idx="33">
                        <c:v>6069.8201778056409</c:v>
                      </c:pt>
                      <c:pt idx="34">
                        <c:v>6477.3771496497411</c:v>
                      </c:pt>
                      <c:pt idx="35">
                        <c:v>6877.8258143807743</c:v>
                      </c:pt>
                      <c:pt idx="36">
                        <c:v>7269.3110133892314</c:v>
                      </c:pt>
                      <c:pt idx="37">
                        <c:v>7650.2590339284461</c:v>
                      </c:pt>
                      <c:pt idx="38">
                        <c:v>8019.3695322062158</c:v>
                      </c:pt>
                      <c:pt idx="39">
                        <c:v>8375.6018935519969</c:v>
                      </c:pt>
                      <c:pt idx="40">
                        <c:v>8718.157579278346</c:v>
                      </c:pt>
                      <c:pt idx="41">
                        <c:v>9046.4597927837494</c:v>
                      </c:pt>
                      <c:pt idx="42">
                        <c:v>9360.1316225220398</c:v>
                      </c:pt>
                      <c:pt idx="43">
                        <c:v>9658.973590179241</c:v>
                      </c:pt>
                      <c:pt idx="44">
                        <c:v>9942.9413577565629</c:v>
                      </c:pt>
                      <c:pt idx="45">
                        <c:v>10212.124157698416</c:v>
                      </c:pt>
                      <c:pt idx="46">
                        <c:v>10466.724362377807</c:v>
                      </c:pt>
                      <c:pt idx="47">
                        <c:v>10707.038490398094</c:v>
                      </c:pt>
                      <c:pt idx="48">
                        <c:v>10933.439800129161</c:v>
                      </c:pt>
                      <c:pt idx="49">
                        <c:v>11146.362571934334</c:v>
                      </c:pt>
                      <c:pt idx="50">
                        <c:v>11346.288096534401</c:v>
                      </c:pt>
                      <c:pt idx="51">
                        <c:v>11533.732320753348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68.836273693191373</c:v>
                      </c:pt>
                      <c:pt idx="15">
                        <c:v>160.30612520713723</c:v>
                      </c:pt>
                      <c:pt idx="16">
                        <c:v>274.46781954069695</c:v>
                      </c:pt>
                      <c:pt idx="17">
                        <c:v>413.60105276022864</c:v>
                      </c:pt>
                      <c:pt idx="18">
                        <c:v>579.49023578097911</c:v>
                      </c:pt>
                      <c:pt idx="19">
                        <c:v>773.323172938889</c:v>
                      </c:pt>
                      <c:pt idx="20">
                        <c:v>995.62693090342896</c:v>
                      </c:pt>
                      <c:pt idx="21">
                        <c:v>1246.2433254729794</c:v>
                      </c:pt>
                      <c:pt idx="22">
                        <c:v>1524.3425703704468</c:v>
                      </c:pt>
                      <c:pt idx="23">
                        <c:v>1828.4705350548741</c:v>
                      </c:pt>
                      <c:pt idx="24">
                        <c:v>2156.622914482165</c:v>
                      </c:pt>
                      <c:pt idx="25">
                        <c:v>2506.338535043405</c:v>
                      </c:pt>
                      <c:pt idx="26">
                        <c:v>2874.8038247833665</c:v>
                      </c:pt>
                      <c:pt idx="27">
                        <c:v>3258.9610477242727</c:v>
                      </c:pt>
                      <c:pt idx="28">
                        <c:v>3655.6139617285094</c:v>
                      </c:pt>
                      <c:pt idx="29">
                        <c:v>4061.5258859482597</c:v>
                      </c:pt>
                      <c:pt idx="30">
                        <c:v>4473.5066155602744</c:v>
                      </c:pt>
                      <c:pt idx="31">
                        <c:v>4888.4859746775737</c:v>
                      </c:pt>
                      <c:pt idx="32">
                        <c:v>5303.5730100642722</c:v>
                      </c:pt>
                      <c:pt idx="33">
                        <c:v>5716.1008243148826</c:v>
                      </c:pt>
                      <c:pt idx="34">
                        <c:v>6123.6577961589828</c:v>
                      </c:pt>
                      <c:pt idx="35">
                        <c:v>6524.106460890016</c:v>
                      </c:pt>
                      <c:pt idx="36">
                        <c:v>6915.5916598984732</c:v>
                      </c:pt>
                      <c:pt idx="37">
                        <c:v>7296.5396804376878</c:v>
                      </c:pt>
                      <c:pt idx="38">
                        <c:v>7665.6501787154575</c:v>
                      </c:pt>
                      <c:pt idx="39">
                        <c:v>8021.8825400612377</c:v>
                      </c:pt>
                      <c:pt idx="40">
                        <c:v>8364.4382257875859</c:v>
                      </c:pt>
                      <c:pt idx="41">
                        <c:v>8692.7404392929893</c:v>
                      </c:pt>
                      <c:pt idx="42">
                        <c:v>9006.4122690312797</c:v>
                      </c:pt>
                      <c:pt idx="43">
                        <c:v>9305.2542366884809</c:v>
                      </c:pt>
                      <c:pt idx="44">
                        <c:v>9589.2220042658028</c:v>
                      </c:pt>
                      <c:pt idx="45">
                        <c:v>9858.4048042076556</c:v>
                      </c:pt>
                      <c:pt idx="46">
                        <c:v>10113.005008887047</c:v>
                      </c:pt>
                      <c:pt idx="47">
                        <c:v>10353.319136907334</c:v>
                      </c:pt>
                      <c:pt idx="48">
                        <c:v>10579.720446638401</c:v>
                      </c:pt>
                      <c:pt idx="49">
                        <c:v>10792.643218443574</c:v>
                      </c:pt>
                      <c:pt idx="50">
                        <c:v>10992.568743043641</c:v>
                      </c:pt>
                      <c:pt idx="51">
                        <c:v>11180.012967262588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117.76910758496317</c:v>
                      </c:pt>
                      <c:pt idx="1">
                        <c:v>117.78267006179725</c:v>
                      </c:pt>
                      <c:pt idx="2">
                        <c:v>117.81678551580296</c:v>
                      </c:pt>
                      <c:pt idx="3">
                        <c:v>117.89667787074734</c:v>
                      </c:pt>
                      <c:pt idx="4">
                        <c:v>118.07175023566893</c:v>
                      </c:pt>
                      <c:pt idx="5">
                        <c:v>118.43245163774765</c:v>
                      </c:pt>
                      <c:pt idx="6">
                        <c:v>119.13424553065228</c:v>
                      </c:pt>
                      <c:pt idx="7">
                        <c:v>120.42898039339663</c:v>
                      </c:pt>
                      <c:pt idx="8">
                        <c:v>122.70257692191197</c:v>
                      </c:pt>
                      <c:pt idx="9">
                        <c:v>126.51623454809624</c:v>
                      </c:pt>
                      <c:pt idx="10">
                        <c:v>132.64666678442481</c:v>
                      </c:pt>
                      <c:pt idx="11">
                        <c:v>142.11962201603535</c:v>
                      </c:pt>
                      <c:pt idx="12">
                        <c:v>156.23051401638742</c:v>
                      </c:pt>
                      <c:pt idx="13">
                        <c:v>176.54659765157183</c:v>
                      </c:pt>
                      <c:pt idx="14">
                        <c:v>204.88677308739386</c:v>
                      </c:pt>
                      <c:pt idx="15">
                        <c:v>243.27754639737418</c:v>
                      </c:pt>
                      <c:pt idx="16">
                        <c:v>293.88650281410389</c:v>
                      </c:pt>
                      <c:pt idx="17">
                        <c:v>358.93737751211063</c:v>
                      </c:pt>
                      <c:pt idx="18">
                        <c:v>440.61299848845715</c:v>
                      </c:pt>
                      <c:pt idx="19">
                        <c:v>540.95371159860304</c:v>
                      </c:pt>
                      <c:pt idx="20">
                        <c:v>661.75924625554944</c:v>
                      </c:pt>
                      <c:pt idx="21">
                        <c:v>804.50138149495842</c:v>
                      </c:pt>
                      <c:pt idx="22">
                        <c:v>970.25340394188368</c:v>
                      </c:pt>
                      <c:pt idx="23">
                        <c:v>1159.6404921314277</c:v>
                      </c:pt>
                      <c:pt idx="24">
                        <c:v>1372.8130887207969</c:v>
                      </c:pt>
                      <c:pt idx="25">
                        <c:v>1609.4433309570343</c:v>
                      </c:pt>
                      <c:pt idx="26">
                        <c:v>1868.7428696531476</c:v>
                      </c:pt>
                      <c:pt idx="27">
                        <c:v>2149.4991008152047</c:v>
                      </c:pt>
                      <c:pt idx="28">
                        <c:v>2450.1259599205582</c:v>
                      </c:pt>
                      <c:pt idx="29">
                        <c:v>2768.7250357938929</c:v>
                      </c:pt>
                      <c:pt idx="30">
                        <c:v>3103.152744358385</c:v>
                      </c:pt>
                      <c:pt idx="31">
                        <c:v>3451.0896256586493</c:v>
                      </c:pt>
                      <c:pt idx="32">
                        <c:v>3810.1083315549158</c:v>
                      </c:pt>
                      <c:pt idx="33">
                        <c:v>4177.7375540997236</c:v>
                      </c:pt>
                      <c:pt idx="34">
                        <c:v>4551.5198235015541</c:v>
                      </c:pt>
                      <c:pt idx="35">
                        <c:v>4929.061804638689</c:v>
                      </c:pt>
                      <c:pt idx="36">
                        <c:v>5308.0763416336304</c:v>
                      </c:pt>
                      <c:pt idx="37">
                        <c:v>5686.4160135351285</c:v>
                      </c:pt>
                      <c:pt idx="38">
                        <c:v>6062.0984256754291</c:v>
                      </c:pt>
                      <c:pt idx="39">
                        <c:v>6433.3237484328238</c:v>
                      </c:pt>
                      <c:pt idx="40">
                        <c:v>6798.4852528803667</c:v>
                      </c:pt>
                      <c:pt idx="41">
                        <c:v>7156.1737411413978</c:v>
                      </c:pt>
                      <c:pt idx="42">
                        <c:v>7505.1767755748315</c:v>
                      </c:pt>
                      <c:pt idx="43">
                        <c:v>7844.4736905896534</c:v>
                      </c:pt>
                      <c:pt idx="44">
                        <c:v>8173.2272766664209</c:v>
                      </c:pt>
                      <c:pt idx="45">
                        <c:v>8490.7729428914627</c:v>
                      </c:pt>
                      <c:pt idx="46">
                        <c:v>8796.6061575069798</c:v>
                      </c:pt>
                      <c:pt idx="47">
                        <c:v>9090.3687471802059</c:v>
                      </c:pt>
                      <c:pt idx="48">
                        <c:v>9371.8346536247118</c:v>
                      </c:pt>
                      <c:pt idx="49">
                        <c:v>9640.8955634199447</c:v>
                      </c:pt>
                      <c:pt idx="50">
                        <c:v>9897.5467813370888</c:v>
                      </c:pt>
                      <c:pt idx="51">
                        <c:v>10141.873607546939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7.7541371773283601</c:v>
                      </c:pt>
                      <c:pt idx="16">
                        <c:v>58.3630935940581</c:v>
                      </c:pt>
                      <c:pt idx="17">
                        <c:v>123.41396829206484</c:v>
                      </c:pt>
                      <c:pt idx="18">
                        <c:v>205.08958926841137</c:v>
                      </c:pt>
                      <c:pt idx="19">
                        <c:v>305.43030237855726</c:v>
                      </c:pt>
                      <c:pt idx="20">
                        <c:v>426.23583703550366</c:v>
                      </c:pt>
                      <c:pt idx="21">
                        <c:v>568.97797227491264</c:v>
                      </c:pt>
                      <c:pt idx="22">
                        <c:v>734.7299947218379</c:v>
                      </c:pt>
                      <c:pt idx="23">
                        <c:v>924.11708291138189</c:v>
                      </c:pt>
                      <c:pt idx="24">
                        <c:v>1137.2896795007512</c:v>
                      </c:pt>
                      <c:pt idx="25">
                        <c:v>1373.9199217369885</c:v>
                      </c:pt>
                      <c:pt idx="26">
                        <c:v>1633.2194604331019</c:v>
                      </c:pt>
                      <c:pt idx="27">
                        <c:v>1913.9756915951589</c:v>
                      </c:pt>
                      <c:pt idx="28">
                        <c:v>2214.602550700512</c:v>
                      </c:pt>
                      <c:pt idx="29">
                        <c:v>2533.2016265738466</c:v>
                      </c:pt>
                      <c:pt idx="30">
                        <c:v>2867.6293351383388</c:v>
                      </c:pt>
                      <c:pt idx="31">
                        <c:v>3215.5662164386031</c:v>
                      </c:pt>
                      <c:pt idx="32">
                        <c:v>3574.5849223348696</c:v>
                      </c:pt>
                      <c:pt idx="33">
                        <c:v>3942.2141448796779</c:v>
                      </c:pt>
                      <c:pt idx="34">
                        <c:v>4315.9964142815079</c:v>
                      </c:pt>
                      <c:pt idx="35">
                        <c:v>4693.5383954186427</c:v>
                      </c:pt>
                      <c:pt idx="36">
                        <c:v>5072.5529324135841</c:v>
                      </c:pt>
                      <c:pt idx="37">
                        <c:v>5450.8926043150823</c:v>
                      </c:pt>
                      <c:pt idx="38">
                        <c:v>5826.5750164553829</c:v>
                      </c:pt>
                      <c:pt idx="39">
                        <c:v>6197.8003392127775</c:v>
                      </c:pt>
                      <c:pt idx="40">
                        <c:v>6562.9618436603205</c:v>
                      </c:pt>
                      <c:pt idx="41">
                        <c:v>6920.6503319213516</c:v>
                      </c:pt>
                      <c:pt idx="42">
                        <c:v>7269.6533663547852</c:v>
                      </c:pt>
                      <c:pt idx="43">
                        <c:v>7608.9502813696072</c:v>
                      </c:pt>
                      <c:pt idx="44">
                        <c:v>7937.7038674463747</c:v>
                      </c:pt>
                      <c:pt idx="45">
                        <c:v>8255.2495336714182</c:v>
                      </c:pt>
                      <c:pt idx="46">
                        <c:v>8561.0827482869354</c:v>
                      </c:pt>
                      <c:pt idx="47">
                        <c:v>8854.8453379601615</c:v>
                      </c:pt>
                      <c:pt idx="48">
                        <c:v>9136.3112444046674</c:v>
                      </c:pt>
                      <c:pt idx="49">
                        <c:v>9405.3721541999003</c:v>
                      </c:pt>
                      <c:pt idx="50">
                        <c:v>9662.0233721170443</c:v>
                      </c:pt>
                      <c:pt idx="51">
                        <c:v>9906.3501983268943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GGoM'!$D$7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GGoM'!$L$7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GGoM'!$R$7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GGoM'!$R$8:$R$78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GGoM'!$J$7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GGoM'!$J$8:$J$78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222.63032339508803</c:v>
                      </c:pt>
                      <c:pt idx="1">
                        <c:v>222.71824308645208</c:v>
                      </c:pt>
                      <c:pt idx="2">
                        <c:v>222.92946848420416</c:v>
                      </c:pt>
                      <c:pt idx="3">
                        <c:v>223.40105719232122</c:v>
                      </c:pt>
                      <c:pt idx="4">
                        <c:v>224.38512510022954</c:v>
                      </c:pt>
                      <c:pt idx="5">
                        <c:v>226.31453848973632</c:v>
                      </c:pt>
                      <c:pt idx="6">
                        <c:v>229.88627419705549</c:v>
                      </c:pt>
                      <c:pt idx="7">
                        <c:v>236.15727346687484</c:v>
                      </c:pt>
                      <c:pt idx="8">
                        <c:v>246.64288794217302</c:v>
                      </c:pt>
                      <c:pt idx="9">
                        <c:v>263.40409395690403</c:v>
                      </c:pt>
                      <c:pt idx="10">
                        <c:v>289.10772384235702</c:v>
                      </c:pt>
                      <c:pt idx="11">
                        <c:v>327.04482530027087</c:v>
                      </c:pt>
                      <c:pt idx="12">
                        <c:v>381.09604330790137</c:v>
                      </c:pt>
                      <c:pt idx="13">
                        <c:v>455.63904140841635</c:v>
                      </c:pt>
                      <c:pt idx="14">
                        <c:v>555.40031519869467</c:v>
                      </c:pt>
                      <c:pt idx="15">
                        <c:v>685.26094002262084</c:v>
                      </c:pt>
                      <c:pt idx="16">
                        <c:v>850.03159077291025</c:v>
                      </c:pt>
                      <c:pt idx="17">
                        <c:v>1054.2156986904488</c:v>
                      </c:pt>
                      <c:pt idx="18">
                        <c:v>1301.7805026875455</c:v>
                      </c:pt>
                      <c:pt idx="19">
                        <c:v>1595.9541529556016</c:v>
                      </c:pt>
                      <c:pt idx="20">
                        <c:v>1939.0634455770878</c:v>
                      </c:pt>
                      <c:pt idx="21">
                        <c:v>2332.4219753860475</c:v>
                      </c:pt>
                      <c:pt idx="22">
                        <c:v>2776.27324273044</c:v>
                      </c:pt>
                      <c:pt idx="23">
                        <c:v>3269.7882956044114</c:v>
                      </c:pt>
                      <c:pt idx="24">
                        <c:v>3811.1132716210718</c:v>
                      </c:pt>
                      <c:pt idx="25">
                        <c:v>4397.4591344185483</c:v>
                      </c:pt>
                      <c:pt idx="26">
                        <c:v>5025.2239628546231</c:v>
                      </c:pt>
                      <c:pt idx="27">
                        <c:v>5690.1374169575865</c:v>
                      </c:pt>
                      <c:pt idx="28">
                        <c:v>6387.4171900671772</c:v>
                      </c:pt>
                      <c:pt idx="29">
                        <c:v>7111.9281901602617</c:v>
                      </c:pt>
                      <c:pt idx="30">
                        <c:v>7858.3366283367686</c:v>
                      </c:pt>
                      <c:pt idx="31">
                        <c:v>8621.2528687543327</c:v>
                      </c:pt>
                      <c:pt idx="32">
                        <c:v>9395.3586100372977</c:v>
                      </c:pt>
                      <c:pt idx="33">
                        <c:v>10175.515646832715</c:v>
                      </c:pt>
                      <c:pt idx="34">
                        <c:v>10956.854888078646</c:v>
                      </c:pt>
                      <c:pt idx="35">
                        <c:v>11734.845533946815</c:v>
                      </c:pt>
                      <c:pt idx="36">
                        <c:v>12505.345269950212</c:v>
                      </c:pt>
                      <c:pt idx="37">
                        <c:v>13264.632962390924</c:v>
                      </c:pt>
                      <c:pt idx="38">
                        <c:v>14009.425872808995</c:v>
                      </c:pt>
                      <c:pt idx="39">
                        <c:v>14736.883556912171</c:v>
                      </c:pt>
                      <c:pt idx="40">
                        <c:v>15444.600747086062</c:v>
                      </c:pt>
                      <c:pt idx="41">
                        <c:v>16130.591448852496</c:v>
                      </c:pt>
                      <c:pt idx="42">
                        <c:v>16793.266313024222</c:v>
                      </c:pt>
                      <c:pt idx="43">
                        <c:v>17431.405195696247</c:v>
                      </c:pt>
                      <c:pt idx="44">
                        <c:v>18044.126549350334</c:v>
                      </c:pt>
                      <c:pt idx="45">
                        <c:v>18630.855015517231</c:v>
                      </c:pt>
                      <c:pt idx="46">
                        <c:v>19191.288434812137</c:v>
                      </c:pt>
                      <c:pt idx="47">
                        <c:v>19725.365152505652</c:v>
                      </c:pt>
                      <c:pt idx="48">
                        <c:v>20233.232368681223</c:v>
                      </c:pt>
                      <c:pt idx="49">
                        <c:v>20715.216050281633</c:v>
                      </c:pt>
                      <c:pt idx="50">
                        <c:v>21171.792792798842</c:v>
                      </c:pt>
                      <c:pt idx="51">
                        <c:v>21603.563843227639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GGoM'!$K$8:$K$78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10.480448842910363</c:v>
                      </c:pt>
                      <c:pt idx="14">
                        <c:v>110.24172263318877</c:v>
                      </c:pt>
                      <c:pt idx="15">
                        <c:v>240.10234745711494</c:v>
                      </c:pt>
                      <c:pt idx="16">
                        <c:v>404.87299820740435</c:v>
                      </c:pt>
                      <c:pt idx="17">
                        <c:v>609.05710612494272</c:v>
                      </c:pt>
                      <c:pt idx="18">
                        <c:v>856.62191012203971</c:v>
                      </c:pt>
                      <c:pt idx="19">
                        <c:v>1150.7955603900957</c:v>
                      </c:pt>
                      <c:pt idx="20">
                        <c:v>1493.904853011582</c:v>
                      </c:pt>
                      <c:pt idx="21">
                        <c:v>1887.2633828205414</c:v>
                      </c:pt>
                      <c:pt idx="22">
                        <c:v>2331.1146501649337</c:v>
                      </c:pt>
                      <c:pt idx="23">
                        <c:v>2824.6297030389051</c:v>
                      </c:pt>
                      <c:pt idx="24">
                        <c:v>3365.9546790555655</c:v>
                      </c:pt>
                      <c:pt idx="25">
                        <c:v>3952.3005418530424</c:v>
                      </c:pt>
                      <c:pt idx="26">
                        <c:v>4580.0653702891177</c:v>
                      </c:pt>
                      <c:pt idx="27">
                        <c:v>5244.9788243920812</c:v>
                      </c:pt>
                      <c:pt idx="28">
                        <c:v>5942.2585975016718</c:v>
                      </c:pt>
                      <c:pt idx="29">
                        <c:v>6666.7695975947563</c:v>
                      </c:pt>
                      <c:pt idx="30">
                        <c:v>7413.1780357712632</c:v>
                      </c:pt>
                      <c:pt idx="31">
                        <c:v>8176.0942761888273</c:v>
                      </c:pt>
                      <c:pt idx="32">
                        <c:v>8950.2000174717923</c:v>
                      </c:pt>
                      <c:pt idx="33">
                        <c:v>9730.3570542672096</c:v>
                      </c:pt>
                      <c:pt idx="34">
                        <c:v>10511.69629551314</c:v>
                      </c:pt>
                      <c:pt idx="35">
                        <c:v>11289.686941381309</c:v>
                      </c:pt>
                      <c:pt idx="36">
                        <c:v>12060.186677384707</c:v>
                      </c:pt>
                      <c:pt idx="37">
                        <c:v>12819.474369825419</c:v>
                      </c:pt>
                      <c:pt idx="38">
                        <c:v>13564.26728024349</c:v>
                      </c:pt>
                      <c:pt idx="39">
                        <c:v>14291.724964346666</c:v>
                      </c:pt>
                      <c:pt idx="40">
                        <c:v>14999.442154520557</c:v>
                      </c:pt>
                      <c:pt idx="41">
                        <c:v>15685.43285628699</c:v>
                      </c:pt>
                      <c:pt idx="42">
                        <c:v>16348.107720458715</c:v>
                      </c:pt>
                      <c:pt idx="43">
                        <c:v>16986.246603130738</c:v>
                      </c:pt>
                      <c:pt idx="44">
                        <c:v>17598.967956784825</c:v>
                      </c:pt>
                      <c:pt idx="45">
                        <c:v>18185.696422951722</c:v>
                      </c:pt>
                      <c:pt idx="46">
                        <c:v>18746.129842246628</c:v>
                      </c:pt>
                      <c:pt idx="47">
                        <c:v>19280.206559940143</c:v>
                      </c:pt>
                      <c:pt idx="48">
                        <c:v>19788.073776115714</c:v>
                      </c:pt>
                      <c:pt idx="49">
                        <c:v>20270.057457716124</c:v>
                      </c:pt>
                      <c:pt idx="50">
                        <c:v>20726.634200233333</c:v>
                      </c:pt>
                      <c:pt idx="51">
                        <c:v>21158.40525066213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GGoM'!$Y$47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GGoM'!$Z$47</c:f>
              <c:numCache>
                <c:formatCode>00,000</c:formatCode>
                <c:ptCount val="1"/>
                <c:pt idx="0">
                  <c:v>0.99983061181062449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GGoM'!$Y$49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GGoM'!$Z$49</c:f>
              <c:numCache>
                <c:formatCode>0</c:formatCode>
                <c:ptCount val="1"/>
                <c:pt idx="0">
                  <c:v>235.33457031407627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GGoM'!$Y$41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GGoM'!$Z$41</c:f>
              <c:numCache>
                <c:formatCode>0</c:formatCode>
                <c:ptCount val="1"/>
                <c:pt idx="0">
                  <c:v>27406.824701797748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GGoM'!$Y$14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GGoM'!$Z$14</c:f>
              <c:numCache>
                <c:formatCode>00,000</c:formatCode>
                <c:ptCount val="1"/>
                <c:pt idx="0">
                  <c:v>0.99983519598052462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GGoM'!$Y$16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GGoM'!$Z$16</c:f>
              <c:numCache>
                <c:formatCode>0</c:formatCode>
                <c:ptCount val="1"/>
                <c:pt idx="0">
                  <c:v>222.57929628275298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GGoM'!$Y$17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GGoM'!$Z$17</c:f>
              <c:numCache>
                <c:formatCode>0</c:formatCode>
                <c:ptCount val="1"/>
                <c:pt idx="0">
                  <c:v>27575.410155021291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GGoM'!$Y$25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GGoM'!$Z$25</c:f>
              <c:numCache>
                <c:formatCode>00,000</c:formatCode>
                <c:ptCount val="1"/>
                <c:pt idx="0">
                  <c:v>0.99968229394222197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GGoM'!$Y$27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GGoM'!$Z$27</c:f>
              <c:numCache>
                <c:formatCode>0</c:formatCode>
                <c:ptCount val="1"/>
                <c:pt idx="0">
                  <c:v>176.8596767453794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GGoM'!$Y$19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GGoM'!$Z$19</c:f>
              <c:numCache>
                <c:formatCode>0</c:formatCode>
                <c:ptCount val="1"/>
                <c:pt idx="0">
                  <c:v>13805.080912251422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GGoM'!$Y$36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GGoM'!$Z$36</c:f>
              <c:numCache>
                <c:formatCode>00,000</c:formatCode>
                <c:ptCount val="1"/>
                <c:pt idx="0">
                  <c:v>0.99979316115798567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GGoM'!$Y$38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GGoM'!$Z$38</c:f>
              <c:numCache>
                <c:formatCode>0</c:formatCode>
                <c:ptCount val="1"/>
                <c:pt idx="0">
                  <c:v>117.7617046100229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GGoM'!$Y$30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GGoM'!$Z$30</c:f>
              <c:numCache>
                <c:formatCode>0</c:formatCode>
                <c:ptCount val="1"/>
                <c:pt idx="0">
                  <c:v>13770.329242769869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Generalized Gompertz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GGoM'!$E$7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9E1-44DE-9DAF-9529BD98EE71}"/>
            </c:ext>
          </c:extLst>
        </c:ser>
        <c:ser>
          <c:idx val="5"/>
          <c:order val="5"/>
          <c:tx>
            <c:strRef>
              <c:f>'New_deaths - GGoM'!$O$7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  <c:pt idx="50">
                  <c:v>241</c:v>
                </c:pt>
                <c:pt idx="51">
                  <c:v>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E1-44DE-9DAF-9529BD98EE71}"/>
            </c:ext>
          </c:extLst>
        </c:ser>
        <c:ser>
          <c:idx val="9"/>
          <c:order val="9"/>
          <c:tx>
            <c:strRef>
              <c:f>'New_deaths - GGoM'!$W$7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GGoM'!$W$8:$W$78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  <c:pt idx="50">
                  <c:v>361</c:v>
                </c:pt>
                <c:pt idx="51">
                  <c:v>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GGoM'!$L$7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GGoM'!$L$8:$L$78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148.67284586858295</c:v>
                      </c:pt>
                      <c:pt idx="1">
                        <c:v>148.75330901973197</c:v>
                      </c:pt>
                      <c:pt idx="2">
                        <c:v>148.93049513017374</c:v>
                      </c:pt>
                      <c:pt idx="3">
                        <c:v>149.29289607163304</c:v>
                      </c:pt>
                      <c:pt idx="4">
                        <c:v>149.98527345616898</c:v>
                      </c:pt>
                      <c:pt idx="5">
                        <c:v>151.22738547382244</c:v>
                      </c:pt>
                      <c:pt idx="6">
                        <c:v>153.32985911641205</c:v>
                      </c:pt>
                      <c:pt idx="7">
                        <c:v>156.70249660130301</c:v>
                      </c:pt>
                      <c:pt idx="8">
                        <c:v>161.85047869254788</c:v>
                      </c:pt>
                      <c:pt idx="9">
                        <c:v>169.35536279168926</c:v>
                      </c:pt>
                      <c:pt idx="10">
                        <c:v>179.84026033585255</c:v>
                      </c:pt>
                      <c:pt idx="11">
                        <c:v>193.92155619869612</c:v>
                      </c:pt>
                      <c:pt idx="12">
                        <c:v>212.15227428106402</c:v>
                      </c:pt>
                      <c:pt idx="13">
                        <c:v>234.96403700976424</c:v>
                      </c:pt>
                      <c:pt idx="14">
                        <c:v>262.61510961037152</c:v>
                      </c:pt>
                      <c:pt idx="15">
                        <c:v>295.15120541403314</c:v>
                      </c:pt>
                      <c:pt idx="16">
                        <c:v>332.3838185920124</c:v>
                      </c:pt>
                      <c:pt idx="17">
                        <c:v>373.88831131637562</c:v>
                      </c:pt>
                      <c:pt idx="18">
                        <c:v>419.02134051499536</c:v>
                      </c:pt>
                      <c:pt idx="19">
                        <c:v>466.95492487276329</c:v>
                      </c:pt>
                      <c:pt idx="20">
                        <c:v>516.72283063694283</c:v>
                      </c:pt>
                      <c:pt idx="21">
                        <c:v>567.2741306312447</c:v>
                      </c:pt>
                      <c:pt idx="22">
                        <c:v>617.52872516818672</c:v>
                      </c:pt>
                      <c:pt idx="23">
                        <c:v>666.43017520235446</c:v>
                      </c:pt>
                      <c:pt idx="24">
                        <c:v>712.99216565800793</c:v>
                      </c:pt>
                      <c:pt idx="25">
                        <c:v>756.33609800385057</c:v>
                      </c:pt>
                      <c:pt idx="26">
                        <c:v>795.71849594097341</c:v>
                      </c:pt>
                      <c:pt idx="27">
                        <c:v>830.54798060382188</c:v>
                      </c:pt>
                      <c:pt idx="28">
                        <c:v>860.39242519226241</c:v>
                      </c:pt>
                      <c:pt idx="29">
                        <c:v>884.97750931842199</c:v>
                      </c:pt>
                      <c:pt idx="30">
                        <c:v>904.17825966785347</c:v>
                      </c:pt>
                      <c:pt idx="31">
                        <c:v>918.0053126818284</c:v>
                      </c:pt>
                      <c:pt idx="32">
                        <c:v>926.58760929658922</c:v>
                      </c:pt>
                      <c:pt idx="33">
                        <c:v>930.15308841844796</c:v>
                      </c:pt>
                      <c:pt idx="34">
                        <c:v>929.00871786927667</c:v>
                      </c:pt>
                      <c:pt idx="35">
                        <c:v>923.52094121485834</c:v>
                      </c:pt>
                      <c:pt idx="36">
                        <c:v>914.09735091582604</c:v>
                      </c:pt>
                      <c:pt idx="37">
                        <c:v>901.17014210720083</c:v>
                      </c:pt>
                      <c:pt idx="38">
                        <c:v>885.18168527423234</c:v>
                      </c:pt>
                      <c:pt idx="39">
                        <c:v>866.57236493334392</c:v>
                      </c:pt>
                      <c:pt idx="40">
                        <c:v>845.77069004396606</c:v>
                      </c:pt>
                      <c:pt idx="41">
                        <c:v>823.18557333358058</c:v>
                      </c:pt>
                      <c:pt idx="42">
                        <c:v>799.20060135826031</c:v>
                      </c:pt>
                      <c:pt idx="43">
                        <c:v>774.17007553944256</c:v>
                      </c:pt>
                      <c:pt idx="44">
                        <c:v>748.41658015572284</c:v>
                      </c:pt>
                      <c:pt idx="45">
                        <c:v>722.22982871907971</c:v>
                      </c:pt>
                      <c:pt idx="46">
                        <c:v>695.86655272846576</c:v>
                      </c:pt>
                      <c:pt idx="47">
                        <c:v>669.55120947824776</c:v>
                      </c:pt>
                      <c:pt idx="48">
                        <c:v>643.47731229884084</c:v>
                      </c:pt>
                      <c:pt idx="49">
                        <c:v>617.80920960076492</c:v>
                      </c:pt>
                      <c:pt idx="50">
                        <c:v>592.68416628680063</c:v>
                      </c:pt>
                      <c:pt idx="51">
                        <c:v>568.2146250444398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9E1-44DE-9DAF-9529BD98EE7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35.144527788033344</c:v>
                      </c:pt>
                      <c:pt idx="17">
                        <c:v>76.649020512396561</c:v>
                      </c:pt>
                      <c:pt idx="18">
                        <c:v>121.78204971101636</c:v>
                      </c:pt>
                      <c:pt idx="19">
                        <c:v>169.71563406878423</c:v>
                      </c:pt>
                      <c:pt idx="20">
                        <c:v>219.48353983296383</c:v>
                      </c:pt>
                      <c:pt idx="21">
                        <c:v>270.03483982726573</c:v>
                      </c:pt>
                      <c:pt idx="22">
                        <c:v>320.28943436420764</c:v>
                      </c:pt>
                      <c:pt idx="23">
                        <c:v>369.19088439837549</c:v>
                      </c:pt>
                      <c:pt idx="24">
                        <c:v>415.75287485402896</c:v>
                      </c:pt>
                      <c:pt idx="25">
                        <c:v>459.09680719987159</c:v>
                      </c:pt>
                      <c:pt idx="26">
                        <c:v>498.47920513699444</c:v>
                      </c:pt>
                      <c:pt idx="27">
                        <c:v>533.30868979984291</c:v>
                      </c:pt>
                      <c:pt idx="28">
                        <c:v>563.15313438828343</c:v>
                      </c:pt>
                      <c:pt idx="29">
                        <c:v>587.73821851444302</c:v>
                      </c:pt>
                      <c:pt idx="30">
                        <c:v>606.93896886387449</c:v>
                      </c:pt>
                      <c:pt idx="31">
                        <c:v>620.76602187784943</c:v>
                      </c:pt>
                      <c:pt idx="32">
                        <c:v>629.34831849261025</c:v>
                      </c:pt>
                      <c:pt idx="33">
                        <c:v>632.91379761446899</c:v>
                      </c:pt>
                      <c:pt idx="34">
                        <c:v>631.76942706529769</c:v>
                      </c:pt>
                      <c:pt idx="35">
                        <c:v>626.28165041087937</c:v>
                      </c:pt>
                      <c:pt idx="36">
                        <c:v>616.85806011184707</c:v>
                      </c:pt>
                      <c:pt idx="37">
                        <c:v>603.93085130322186</c:v>
                      </c:pt>
                      <c:pt idx="38">
                        <c:v>587.94239447025336</c:v>
                      </c:pt>
                      <c:pt idx="39">
                        <c:v>569.33307412936495</c:v>
                      </c:pt>
                      <c:pt idx="40">
                        <c:v>548.53139923998708</c:v>
                      </c:pt>
                      <c:pt idx="41">
                        <c:v>525.9462825296016</c:v>
                      </c:pt>
                      <c:pt idx="42">
                        <c:v>501.96131055428134</c:v>
                      </c:pt>
                      <c:pt idx="43">
                        <c:v>476.93078473546359</c:v>
                      </c:pt>
                      <c:pt idx="44">
                        <c:v>451.17728935174387</c:v>
                      </c:pt>
                      <c:pt idx="45">
                        <c:v>424.99053791510073</c:v>
                      </c:pt>
                      <c:pt idx="46">
                        <c:v>398.62726192448679</c:v>
                      </c:pt>
                      <c:pt idx="47">
                        <c:v>372.31191867426878</c:v>
                      </c:pt>
                      <c:pt idx="48">
                        <c:v>346.23802149486175</c:v>
                      </c:pt>
                      <c:pt idx="49">
                        <c:v>320.56991879678594</c:v>
                      </c:pt>
                      <c:pt idx="50">
                        <c:v>295.44487548282166</c:v>
                      </c:pt>
                      <c:pt idx="51">
                        <c:v>270.97533424046071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E1-44DE-9DAF-9529BD98EE7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122.26323801553178</c:v>
                      </c:pt>
                      <c:pt idx="1">
                        <c:v>122.33068122601975</c:v>
                      </c:pt>
                      <c:pt idx="2">
                        <c:v>122.47764770918036</c:v>
                      </c:pt>
                      <c:pt idx="3">
                        <c:v>122.77478419779659</c:v>
                      </c:pt>
                      <c:pt idx="4">
                        <c:v>123.33534547109566</c:v>
                      </c:pt>
                      <c:pt idx="5">
                        <c:v>124.32730653110204</c:v>
                      </c:pt>
                      <c:pt idx="6">
                        <c:v>125.98179147374096</c:v>
                      </c:pt>
                      <c:pt idx="7">
                        <c:v>128.59425321294358</c:v>
                      </c:pt>
                      <c:pt idx="8">
                        <c:v>132.51546155254522</c:v>
                      </c:pt>
                      <c:pt idx="9">
                        <c:v>138.13096740898817</c:v>
                      </c:pt>
                      <c:pt idx="10">
                        <c:v>145.82997186732422</c:v>
                      </c:pt>
                      <c:pt idx="11">
                        <c:v>155.9668589926431</c:v>
                      </c:pt>
                      <c:pt idx="12">
                        <c:v>168.82042657210116</c:v>
                      </c:pt>
                      <c:pt idx="13">
                        <c:v>184.55661132775603</c:v>
                      </c:pt>
                      <c:pt idx="14">
                        <c:v>203.20009585158616</c:v>
                      </c:pt>
                      <c:pt idx="15">
                        <c:v>224.61875871988175</c:v>
                      </c:pt>
                      <c:pt idx="16">
                        <c:v>248.52287494365149</c:v>
                      </c:pt>
                      <c:pt idx="17">
                        <c:v>274.47876979244251</c:v>
                      </c:pt>
                      <c:pt idx="18">
                        <c:v>301.93471022685475</c:v>
                      </c:pt>
                      <c:pt idx="19">
                        <c:v>330.25548526445732</c:v>
                      </c:pt>
                      <c:pt idx="20">
                        <c:v>358.76149995333463</c:v>
                      </c:pt>
                      <c:pt idx="21">
                        <c:v>386.76825912426943</c:v>
                      </c:pt>
                      <c:pt idx="22">
                        <c:v>413.6226925641916</c:v>
                      </c:pt>
                      <c:pt idx="23">
                        <c:v>438.73368351262059</c:v>
                      </c:pt>
                      <c:pt idx="24">
                        <c:v>461.59519319915171</c:v>
                      </c:pt>
                      <c:pt idx="25">
                        <c:v>481.80137209777934</c:v>
                      </c:pt>
                      <c:pt idx="26">
                        <c:v>499.0538830856209</c:v>
                      </c:pt>
                      <c:pt idx="27">
                        <c:v>513.16228510190047</c:v>
                      </c:pt>
                      <c:pt idx="28">
                        <c:v>524.03871450951613</c:v>
                      </c:pt>
                      <c:pt idx="29">
                        <c:v>531.68827709754748</c:v>
                      </c:pt>
                      <c:pt idx="30">
                        <c:v>536.19657187584278</c:v>
                      </c:pt>
                      <c:pt idx="31">
                        <c:v>537.7156472296557</c:v>
                      </c:pt>
                      <c:pt idx="32">
                        <c:v>536.4494950967304</c:v>
                      </c:pt>
                      <c:pt idx="33">
                        <c:v>532.63995742175689</c:v>
                      </c:pt>
                      <c:pt idx="34">
                        <c:v>526.55368207136803</c:v>
                      </c:pt>
                      <c:pt idx="35">
                        <c:v>518.47054616150376</c:v>
                      </c:pt>
                      <c:pt idx="36">
                        <c:v>508.67377667847313</c:v>
                      </c:pt>
                      <c:pt idx="37">
                        <c:v>497.44184333301951</c:v>
                      </c:pt>
                      <c:pt idx="38">
                        <c:v>485.04208668288936</c:v>
                      </c:pt>
                      <c:pt idx="39">
                        <c:v>471.72596020852325</c:v>
                      </c:pt>
                      <c:pt idx="40">
                        <c:v>457.72571655381489</c:v>
                      </c:pt>
                      <c:pt idx="41">
                        <c:v>443.25233977178391</c:v>
                      </c:pt>
                      <c:pt idx="42">
                        <c:v>428.49451864213995</c:v>
                      </c:pt>
                      <c:pt idx="43">
                        <c:v>413.61846041399059</c:v>
                      </c:pt>
                      <c:pt idx="44">
                        <c:v>398.76835956702035</c:v>
                      </c:pt>
                      <c:pt idx="45">
                        <c:v>384.06735551654924</c:v>
                      </c:pt>
                      <c:pt idx="46">
                        <c:v>369.61883590866449</c:v>
                      </c:pt>
                      <c:pt idx="47">
                        <c:v>355.50796539227895</c:v>
                      </c:pt>
                      <c:pt idx="48">
                        <c:v>341.80334088326379</c:v>
                      </c:pt>
                      <c:pt idx="49">
                        <c:v>328.55869574331297</c:v>
                      </c:pt>
                      <c:pt idx="50">
                        <c:v>315.81459284060941</c:v>
                      </c:pt>
                      <c:pt idx="51">
                        <c:v>303.60006178859811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E1-44DE-9DAF-9529BD98EE7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4.0868029738639962</c:v>
                      </c:pt>
                      <c:pt idx="17">
                        <c:v>30.042697822655001</c:v>
                      </c:pt>
                      <c:pt idx="18">
                        <c:v>57.49863825706727</c:v>
                      </c:pt>
                      <c:pt idx="19">
                        <c:v>85.819413294669815</c:v>
                      </c:pt>
                      <c:pt idx="20">
                        <c:v>114.32542798354716</c:v>
                      </c:pt>
                      <c:pt idx="21">
                        <c:v>142.33218715448197</c:v>
                      </c:pt>
                      <c:pt idx="22">
                        <c:v>169.18662059440413</c:v>
                      </c:pt>
                      <c:pt idx="23">
                        <c:v>194.29761154283312</c:v>
                      </c:pt>
                      <c:pt idx="24">
                        <c:v>217.15912122936425</c:v>
                      </c:pt>
                      <c:pt idx="25">
                        <c:v>237.36530012799187</c:v>
                      </c:pt>
                      <c:pt idx="26">
                        <c:v>254.61781111583343</c:v>
                      </c:pt>
                      <c:pt idx="27">
                        <c:v>268.726213132113</c:v>
                      </c:pt>
                      <c:pt idx="28">
                        <c:v>279.60264253972866</c:v>
                      </c:pt>
                      <c:pt idx="29">
                        <c:v>287.25220512775996</c:v>
                      </c:pt>
                      <c:pt idx="30">
                        <c:v>291.76049990605532</c:v>
                      </c:pt>
                      <c:pt idx="31">
                        <c:v>293.27957525986824</c:v>
                      </c:pt>
                      <c:pt idx="32">
                        <c:v>292.01342312694294</c:v>
                      </c:pt>
                      <c:pt idx="33">
                        <c:v>288.20388545196943</c:v>
                      </c:pt>
                      <c:pt idx="34">
                        <c:v>282.11761010158057</c:v>
                      </c:pt>
                      <c:pt idx="35">
                        <c:v>274.03447419171624</c:v>
                      </c:pt>
                      <c:pt idx="36">
                        <c:v>264.23770470868567</c:v>
                      </c:pt>
                      <c:pt idx="37">
                        <c:v>253.00577136323204</c:v>
                      </c:pt>
                      <c:pt idx="38">
                        <c:v>240.6060147131019</c:v>
                      </c:pt>
                      <c:pt idx="39">
                        <c:v>227.28988823873578</c:v>
                      </c:pt>
                      <c:pt idx="40">
                        <c:v>213.28964458402743</c:v>
                      </c:pt>
                      <c:pt idx="41">
                        <c:v>198.81626780199645</c:v>
                      </c:pt>
                      <c:pt idx="42">
                        <c:v>184.05844667235249</c:v>
                      </c:pt>
                      <c:pt idx="43">
                        <c:v>169.18238844420313</c:v>
                      </c:pt>
                      <c:pt idx="44">
                        <c:v>154.33228759723289</c:v>
                      </c:pt>
                      <c:pt idx="45">
                        <c:v>139.63128354676178</c:v>
                      </c:pt>
                      <c:pt idx="46">
                        <c:v>125.18276393887702</c:v>
                      </c:pt>
                      <c:pt idx="47">
                        <c:v>111.07189342249144</c:v>
                      </c:pt>
                      <c:pt idx="48">
                        <c:v>97.367268913476309</c:v>
                      </c:pt>
                      <c:pt idx="49">
                        <c:v>84.122623773525461</c:v>
                      </c:pt>
                      <c:pt idx="50">
                        <c:v>71.378520870821902</c:v>
                      </c:pt>
                      <c:pt idx="51">
                        <c:v>59.163989818810634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E1-44DE-9DAF-9529BD98EE7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78.90899012105065</c:v>
                      </c:pt>
                      <c:pt idx="1">
                        <c:v>78.922010061711703</c:v>
                      </c:pt>
                      <c:pt idx="2">
                        <c:v>78.952229688992873</c:v>
                      </c:pt>
                      <c:pt idx="3">
                        <c:v>79.017494141835911</c:v>
                      </c:pt>
                      <c:pt idx="4">
                        <c:v>79.149310253072798</c:v>
                      </c:pt>
                      <c:pt idx="5">
                        <c:v>79.399461210719892</c:v>
                      </c:pt>
                      <c:pt idx="6">
                        <c:v>79.847449910670576</c:v>
                      </c:pt>
                      <c:pt idx="7">
                        <c:v>80.607625656358891</c:v>
                      </c:pt>
                      <c:pt idx="8">
                        <c:v>81.834399408002128</c:v>
                      </c:pt>
                      <c:pt idx="9">
                        <c:v>83.723777650700555</c:v>
                      </c:pt>
                      <c:pt idx="10">
                        <c:v>86.509670736527795</c:v>
                      </c:pt>
                      <c:pt idx="11">
                        <c:v>90.454079474052534</c:v>
                      </c:pt>
                      <c:pt idx="12">
                        <c:v>95.831229976962348</c:v>
                      </c:pt>
                      <c:pt idx="13">
                        <c:v>102.90680795000769</c:v>
                      </c:pt>
                      <c:pt idx="14">
                        <c:v>111.91439602678483</c:v>
                      </c:pt>
                      <c:pt idx="15">
                        <c:v>123.03182896215088</c:v>
                      </c:pt>
                      <c:pt idx="16">
                        <c:v>136.36032591636035</c:v>
                      </c:pt>
                      <c:pt idx="17">
                        <c:v>151.90892379193258</c:v>
                      </c:pt>
                      <c:pt idx="18">
                        <c:v>169.58601255614008</c:v>
                      </c:pt>
                      <c:pt idx="19">
                        <c:v>189.19882187630543</c:v>
                      </c:pt>
                      <c:pt idx="20">
                        <c:v>210.46071295160769</c:v>
                      </c:pt>
                      <c:pt idx="21">
                        <c:v>233.00525377497479</c:v>
                      </c:pt>
                      <c:pt idx="22">
                        <c:v>256.40541487199459</c:v>
                      </c:pt>
                      <c:pt idx="23">
                        <c:v>280.19587395773334</c:v>
                      </c:pt>
                      <c:pt idx="24">
                        <c:v>303.89635472685575</c:v>
                      </c:pt>
                      <c:pt idx="25">
                        <c:v>327.03410817407075</c:v>
                      </c:pt>
                      <c:pt idx="26">
                        <c:v>349.16399512335204</c:v>
                      </c:pt>
                      <c:pt idx="27">
                        <c:v>369.88507776992094</c:v>
                      </c:pt>
                      <c:pt idx="28">
                        <c:v>388.8530929507458</c:v>
                      </c:pt>
                      <c:pt idx="29">
                        <c:v>405.78861448887403</c:v>
                      </c:pt>
                      <c:pt idx="30">
                        <c:v>420.48107006001021</c:v>
                      </c:pt>
                      <c:pt idx="31">
                        <c:v>432.78904772017222</c:v>
                      </c:pt>
                      <c:pt idx="32">
                        <c:v>442.63749646785834</c:v>
                      </c:pt>
                      <c:pt idx="33">
                        <c:v>450.0125132646906</c:v>
                      </c:pt>
                      <c:pt idx="34">
                        <c:v>454.95441806590816</c:v>
                      </c:pt>
                      <c:pt idx="35">
                        <c:v>457.5497773213541</c:v>
                      </c:pt>
                      <c:pt idx="36">
                        <c:v>457.92295650535243</c:v>
                      </c:pt>
                      <c:pt idx="37">
                        <c:v>456.22768104218073</c:v>
                      </c:pt>
                      <c:pt idx="38">
                        <c:v>452.6389808593425</c:v>
                      </c:pt>
                      <c:pt idx="39">
                        <c:v>447.34578699282019</c:v>
                      </c:pt>
                      <c:pt idx="40">
                        <c:v>440.54435575815069</c:v>
                      </c:pt>
                      <c:pt idx="41">
                        <c:v>432.43261582979619</c:v>
                      </c:pt>
                      <c:pt idx="42">
                        <c:v>423.20546498411989</c:v>
                      </c:pt>
                      <c:pt idx="43">
                        <c:v>413.05099739345155</c:v>
                      </c:pt>
                      <c:pt idx="44">
                        <c:v>402.14760285670195</c:v>
                      </c:pt>
                      <c:pt idx="45">
                        <c:v>390.66185547052999</c:v>
                      </c:pt>
                      <c:pt idx="46">
                        <c:v>378.74709908780073</c:v>
                      </c:pt>
                      <c:pt idx="47">
                        <c:v>366.54262635396833</c:v>
                      </c:pt>
                      <c:pt idx="48">
                        <c:v>354.17335368357647</c:v>
                      </c:pt>
                      <c:pt idx="49">
                        <c:v>341.74989612545141</c:v>
                      </c:pt>
                      <c:pt idx="50">
                        <c:v>329.36895571419075</c:v>
                      </c:pt>
                      <c:pt idx="51">
                        <c:v>317.11394552384115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E1-44DE-9DAF-9529BD98EE71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GGoM'!$AC$8:$AC$78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11.784029185949592</c:v>
                      </c:pt>
                      <c:pt idx="19">
                        <c:v>31.396838506114932</c:v>
                      </c:pt>
                      <c:pt idx="20">
                        <c:v>52.658729581417191</c:v>
                      </c:pt>
                      <c:pt idx="21">
                        <c:v>75.203270404784291</c:v>
                      </c:pt>
                      <c:pt idx="22">
                        <c:v>98.603431501804067</c:v>
                      </c:pt>
                      <c:pt idx="23">
                        <c:v>122.39389058754284</c:v>
                      </c:pt>
                      <c:pt idx="24">
                        <c:v>146.09437135666525</c:v>
                      </c:pt>
                      <c:pt idx="25">
                        <c:v>169.23212480388023</c:v>
                      </c:pt>
                      <c:pt idx="26">
                        <c:v>191.36201175316151</c:v>
                      </c:pt>
                      <c:pt idx="27">
                        <c:v>212.08309439973047</c:v>
                      </c:pt>
                      <c:pt idx="28">
                        <c:v>231.05110958055528</c:v>
                      </c:pt>
                      <c:pt idx="29">
                        <c:v>247.9866311186835</c:v>
                      </c:pt>
                      <c:pt idx="30">
                        <c:v>262.67908668981977</c:v>
                      </c:pt>
                      <c:pt idx="31">
                        <c:v>274.98706434998167</c:v>
                      </c:pt>
                      <c:pt idx="32">
                        <c:v>284.8355130976679</c:v>
                      </c:pt>
                      <c:pt idx="33">
                        <c:v>292.21052989450004</c:v>
                      </c:pt>
                      <c:pt idx="34">
                        <c:v>297.15243469571772</c:v>
                      </c:pt>
                      <c:pt idx="35">
                        <c:v>299.74779395116366</c:v>
                      </c:pt>
                      <c:pt idx="36">
                        <c:v>300.12097313516188</c:v>
                      </c:pt>
                      <c:pt idx="37">
                        <c:v>298.42569767199029</c:v>
                      </c:pt>
                      <c:pt idx="38">
                        <c:v>294.83699748915194</c:v>
                      </c:pt>
                      <c:pt idx="39">
                        <c:v>289.54380362262975</c:v>
                      </c:pt>
                      <c:pt idx="40">
                        <c:v>282.74237238796013</c:v>
                      </c:pt>
                      <c:pt idx="41">
                        <c:v>274.63063245960564</c:v>
                      </c:pt>
                      <c:pt idx="42">
                        <c:v>265.40348161392933</c:v>
                      </c:pt>
                      <c:pt idx="43">
                        <c:v>255.24901402326103</c:v>
                      </c:pt>
                      <c:pt idx="44">
                        <c:v>244.34561948651148</c:v>
                      </c:pt>
                      <c:pt idx="45">
                        <c:v>232.85987210033946</c:v>
                      </c:pt>
                      <c:pt idx="46">
                        <c:v>220.94511571761021</c:v>
                      </c:pt>
                      <c:pt idx="47">
                        <c:v>208.74064298377786</c:v>
                      </c:pt>
                      <c:pt idx="48">
                        <c:v>196.371370313386</c:v>
                      </c:pt>
                      <c:pt idx="49">
                        <c:v>183.94791275526094</c:v>
                      </c:pt>
                      <c:pt idx="50">
                        <c:v>171.56697234400025</c:v>
                      </c:pt>
                      <c:pt idx="51">
                        <c:v>159.31196215365063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E1-44DE-9DAF-9529BD98EE7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GGoM'!$H$7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GGoM'!$H$8:$H$78</c:f>
              <c:numCache>
                <c:formatCode>0</c:formatCode>
                <c:ptCount val="71"/>
                <c:pt idx="0">
                  <c:v>5.3200466593424769E-2</c:v>
                </c:pt>
                <c:pt idx="1">
                  <c:v>0.13366361774244886</c:v>
                </c:pt>
                <c:pt idx="2">
                  <c:v>0.31084972818423695</c:v>
                </c:pt>
                <c:pt idx="3">
                  <c:v>0.67325066964350977</c:v>
                </c:pt>
                <c:pt idx="4">
                  <c:v>1.3656280541794679</c:v>
                </c:pt>
                <c:pt idx="5">
                  <c:v>2.6077400718329282</c:v>
                </c:pt>
                <c:pt idx="6">
                  <c:v>4.710213714422542</c:v>
                </c:pt>
                <c:pt idx="7">
                  <c:v>8.0828511993134917</c:v>
                </c:pt>
                <c:pt idx="8">
                  <c:v>13.230833290558353</c:v>
                </c:pt>
                <c:pt idx="9">
                  <c:v>20.735717389699733</c:v>
                </c:pt>
                <c:pt idx="10">
                  <c:v>31.220614933863025</c:v>
                </c:pt>
                <c:pt idx="11">
                  <c:v>45.301910796706622</c:v>
                </c:pt>
                <c:pt idx="12">
                  <c:v>63.532628879074508</c:v>
                </c:pt>
                <c:pt idx="13">
                  <c:v>86.344391607774725</c:v>
                </c:pt>
                <c:pt idx="14">
                  <c:v>113.99546420838197</c:v>
                </c:pt>
                <c:pt idx="15">
                  <c:v>146.53156001204363</c:v>
                </c:pt>
                <c:pt idx="16">
                  <c:v>183.76417319002286</c:v>
                </c:pt>
                <c:pt idx="17">
                  <c:v>225.26866591438608</c:v>
                </c:pt>
                <c:pt idx="18">
                  <c:v>270.40169511300587</c:v>
                </c:pt>
                <c:pt idx="19">
                  <c:v>318.33527947077374</c:v>
                </c:pt>
                <c:pt idx="20">
                  <c:v>368.10318523495334</c:v>
                </c:pt>
                <c:pt idx="21">
                  <c:v>418.65448522925522</c:v>
                </c:pt>
                <c:pt idx="22">
                  <c:v>468.90907976619718</c:v>
                </c:pt>
                <c:pt idx="23">
                  <c:v>517.81052980036498</c:v>
                </c:pt>
                <c:pt idx="24">
                  <c:v>564.37252025601845</c:v>
                </c:pt>
                <c:pt idx="25">
                  <c:v>607.71645260186108</c:v>
                </c:pt>
                <c:pt idx="26">
                  <c:v>647.09885053898392</c:v>
                </c:pt>
                <c:pt idx="27">
                  <c:v>681.9283352018324</c:v>
                </c:pt>
                <c:pt idx="28">
                  <c:v>711.77277979027292</c:v>
                </c:pt>
                <c:pt idx="29">
                  <c:v>736.35786391643251</c:v>
                </c:pt>
                <c:pt idx="30">
                  <c:v>755.55861426586398</c:v>
                </c:pt>
                <c:pt idx="31">
                  <c:v>769.38566727983891</c:v>
                </c:pt>
                <c:pt idx="32">
                  <c:v>777.96796389459973</c:v>
                </c:pt>
                <c:pt idx="33">
                  <c:v>781.53344301645848</c:v>
                </c:pt>
                <c:pt idx="34">
                  <c:v>780.38907246728718</c:v>
                </c:pt>
                <c:pt idx="35">
                  <c:v>774.90129581286885</c:v>
                </c:pt>
                <c:pt idx="36">
                  <c:v>765.47770551383655</c:v>
                </c:pt>
                <c:pt idx="37">
                  <c:v>752.55049670521134</c:v>
                </c:pt>
                <c:pt idx="38">
                  <c:v>736.56203987224285</c:v>
                </c:pt>
                <c:pt idx="39">
                  <c:v>717.95271953135443</c:v>
                </c:pt>
                <c:pt idx="40">
                  <c:v>697.15104464197657</c:v>
                </c:pt>
                <c:pt idx="41">
                  <c:v>674.56592793159109</c:v>
                </c:pt>
                <c:pt idx="42">
                  <c:v>650.58095595627083</c:v>
                </c:pt>
                <c:pt idx="43">
                  <c:v>625.55043013745308</c:v>
                </c:pt>
                <c:pt idx="44">
                  <c:v>599.79693475373335</c:v>
                </c:pt>
                <c:pt idx="45">
                  <c:v>573.61018331709022</c:v>
                </c:pt>
                <c:pt idx="46">
                  <c:v>547.24690732647628</c:v>
                </c:pt>
                <c:pt idx="47">
                  <c:v>520.93156407625827</c:v>
                </c:pt>
                <c:pt idx="48">
                  <c:v>494.8576668968513</c:v>
                </c:pt>
                <c:pt idx="49">
                  <c:v>469.18956419877543</c:v>
                </c:pt>
                <c:pt idx="50">
                  <c:v>444.06452088481115</c:v>
                </c:pt>
                <c:pt idx="51">
                  <c:v>419.59497964245026</c:v>
                </c:pt>
                <c:pt idx="52">
                  <c:v>395.8709046438035</c:v>
                </c:pt>
                <c:pt idx="53">
                  <c:v>372.96212879761345</c:v>
                </c:pt>
                <c:pt idx="54">
                  <c:v>350.9206466518084</c:v>
                </c:pt>
                <c:pt idx="55">
                  <c:v>329.78280788811196</c:v>
                </c:pt>
                <c:pt idx="56">
                  <c:v>309.57138306247941</c:v>
                </c:pt>
                <c:pt idx="57">
                  <c:v>290.29748009098944</c:v>
                </c:pt>
                <c:pt idx="58">
                  <c:v>271.96230203054898</c:v>
                </c:pt>
                <c:pt idx="59">
                  <c:v>254.55874135293857</c:v>
                </c:pt>
                <c:pt idx="60">
                  <c:v>238.0728120035551</c:v>
                </c:pt>
                <c:pt idx="61">
                  <c:v>222.48492440387759</c:v>
                </c:pt>
                <c:pt idx="62">
                  <c:v>207.7710103714486</c:v>
                </c:pt>
                <c:pt idx="63">
                  <c:v>193.90350830399566</c:v>
                </c:pt>
                <c:pt idx="64">
                  <c:v>180.85221846241964</c:v>
                </c:pt>
                <c:pt idx="65">
                  <c:v>168.58503971376877</c:v>
                </c:pt>
                <c:pt idx="66">
                  <c:v>157.06859890961712</c:v>
                </c:pt>
                <c:pt idx="67">
                  <c:v>146.26878384024891</c:v>
                </c:pt>
                <c:pt idx="68">
                  <c:v>136.15119017945108</c:v>
                </c:pt>
                <c:pt idx="69">
                  <c:v>126.68149250470793</c:v>
                </c:pt>
                <c:pt idx="70">
                  <c:v>117.82574865737163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E1-44DE-9DAF-9529BD98EE71}"/>
            </c:ext>
          </c:extLst>
        </c:ser>
        <c:ser>
          <c:idx val="12"/>
          <c:order val="2"/>
          <c:tx>
            <c:strRef>
              <c:f>'New_deaths - GGoM'!$I$7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GGoM'!$I$8:$I$78</c:f>
              <c:numCache>
                <c:formatCode>0</c:formatCode>
                <c:ptCount val="71"/>
                <c:pt idx="0">
                  <c:v>5.5714904398306675E-2</c:v>
                </c:pt>
                <c:pt idx="1">
                  <c:v>0.13747170291543984</c:v>
                </c:pt>
                <c:pt idx="2">
                  <c:v>0.31522637948218613</c:v>
                </c:pt>
                <c:pt idx="3">
                  <c:v>0.67542631423563571</c:v>
                </c:pt>
                <c:pt idx="4">
                  <c:v>1.3591915505808898</c:v>
                </c:pt>
                <c:pt idx="5">
                  <c:v>2.580876469332928</c:v>
                </c:pt>
                <c:pt idx="6">
                  <c:v>4.644318876759284</c:v>
                </c:pt>
                <c:pt idx="7">
                  <c:v>7.9522253451178679</c:v>
                </c:pt>
                <c:pt idx="8">
                  <c:v>13.004104105111232</c:v>
                </c:pt>
                <c:pt idx="9">
                  <c:v>20.379335690449381</c:v>
                </c:pt>
                <c:pt idx="10">
                  <c:v>30.704257403062336</c:v>
                </c:pt>
                <c:pt idx="11">
                  <c:v>44.605058315127991</c:v>
                </c:pt>
                <c:pt idx="12">
                  <c:v>62.651144632362993</c:v>
                </c:pt>
                <c:pt idx="13">
                  <c:v>85.295746866735072</c:v>
                </c:pt>
                <c:pt idx="14">
                  <c:v>112.82141243486551</c:v>
                </c:pt>
                <c:pt idx="15">
                  <c:v>145.29750257518535</c:v>
                </c:pt>
                <c:pt idx="16">
                  <c:v>182.55507113787834</c:v>
                </c:pt>
                <c:pt idx="17">
                  <c:v>224.18197770661092</c:v>
                </c:pt>
                <c:pt idx="18">
                  <c:v>269.53831846909986</c:v>
                </c:pt>
                <c:pt idx="19">
                  <c:v>317.78975388506353</c:v>
                </c:pt>
                <c:pt idx="20">
                  <c:v>367.95444480434236</c:v>
                </c:pt>
                <c:pt idx="21">
                  <c:v>418.95826458850775</c:v>
                </c:pt>
                <c:pt idx="22">
                  <c:v>469.69274529451422</c:v>
                </c:pt>
                <c:pt idx="23">
                  <c:v>519.07070600814711</c:v>
                </c:pt>
                <c:pt idx="24">
                  <c:v>566.07549821689508</c:v>
                </c:pt>
                <c:pt idx="25">
                  <c:v>609.80104418292422</c:v>
                </c:pt>
                <c:pt idx="26">
                  <c:v>649.48113994001505</c:v>
                </c:pt>
                <c:pt idx="27">
                  <c:v>684.50766791707861</c:v>
                </c:pt>
                <c:pt idx="28">
                  <c:v>714.43831956213478</c:v>
                </c:pt>
                <c:pt idx="29">
                  <c:v>738.99511543971596</c:v>
                </c:pt>
                <c:pt idx="30">
                  <c:v>758.0554232195442</c:v>
                </c:pt>
                <c:pt idx="31">
                  <c:v>771.63734888324643</c:v>
                </c:pt>
                <c:pt idx="32">
                  <c:v>779.88135347976686</c:v>
                </c:pt>
                <c:pt idx="33">
                  <c:v>783.02978459396161</c:v>
                </c:pt>
                <c:pt idx="34">
                  <c:v>781.40577157216103</c:v>
                </c:pt>
                <c:pt idx="35">
                  <c:v>775.39263469254388</c:v>
                </c:pt>
                <c:pt idx="36">
                  <c:v>765.41467078572714</c:v>
                </c:pt>
                <c:pt idx="37">
                  <c:v>751.91989678115192</c:v>
                </c:pt>
                <c:pt idx="38">
                  <c:v>735.36509119140521</c:v>
                </c:pt>
                <c:pt idx="39">
                  <c:v>716.20327789445957</c:v>
                </c:pt>
                <c:pt idx="40">
                  <c:v>694.87363531306789</c:v>
                </c:pt>
                <c:pt idx="41">
                  <c:v>671.79370407867623</c:v>
                </c:pt>
                <c:pt idx="42">
                  <c:v>647.35369336963629</c:v>
                </c:pt>
                <c:pt idx="43">
                  <c:v>621.91263384394335</c:v>
                </c:pt>
                <c:pt idx="44">
                  <c:v>595.79611304977004</c:v>
                </c:pt>
                <c:pt idx="45">
                  <c:v>569.29532504156452</c:v>
                </c:pt>
                <c:pt idx="46">
                  <c:v>542.66717670685523</c:v>
                </c:pt>
                <c:pt idx="47">
                  <c:v>516.13521707238635</c:v>
                </c:pt>
                <c:pt idx="48">
                  <c:v>489.89118152698575</c:v>
                </c:pt>
                <c:pt idx="49">
                  <c:v>464.09697086545287</c:v>
                </c:pt>
                <c:pt idx="50">
                  <c:v>438.88691268168782</c:v>
                </c:pt>
                <c:pt idx="51">
                  <c:v>414.37018175568949</c:v>
                </c:pt>
                <c:pt idx="52">
                  <c:v>390.63327939819135</c:v>
                </c:pt>
                <c:pt idx="53">
                  <c:v>367.7424947679703</c:v>
                </c:pt>
                <c:pt idx="54">
                  <c:v>345.74629027375784</c:v>
                </c:pt>
                <c:pt idx="55">
                  <c:v>324.6775689126049</c:v>
                </c:pt>
                <c:pt idx="56">
                  <c:v>304.55579535399937</c:v>
                </c:pt>
                <c:pt idx="57">
                  <c:v>285.38895383539835</c:v>
                </c:pt>
                <c:pt idx="58">
                  <c:v>267.17533395116635</c:v>
                </c:pt>
                <c:pt idx="59">
                  <c:v>249.90514221473202</c:v>
                </c:pt>
                <c:pt idx="60">
                  <c:v>233.56194263537049</c:v>
                </c:pt>
                <c:pt idx="61">
                  <c:v>218.12393315439019</c:v>
                </c:pt>
                <c:pt idx="62">
                  <c:v>203.565066566339</c:v>
                </c:pt>
                <c:pt idx="63">
                  <c:v>189.85602743420026</c:v>
                </c:pt>
                <c:pt idx="64">
                  <c:v>176.96507622283943</c:v>
                </c:pt>
                <c:pt idx="65">
                  <c:v>164.85877284982519</c:v>
                </c:pt>
                <c:pt idx="66">
                  <c:v>153.50259148496193</c:v>
                </c:pt>
                <c:pt idx="67">
                  <c:v>142.86143820608103</c:v>
                </c:pt>
                <c:pt idx="68">
                  <c:v>132.90008279664951</c:v>
                </c:pt>
                <c:pt idx="69">
                  <c:v>123.58351447601503</c:v>
                </c:pt>
                <c:pt idx="70">
                  <c:v>114.87723170903305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E1-44DE-9DAF-9529BD98EE71}"/>
            </c:ext>
          </c:extLst>
        </c:ser>
        <c:ser>
          <c:idx val="6"/>
          <c:order val="6"/>
          <c:tx>
            <c:strRef>
              <c:f>'New_deaths - GGoM'!$R$7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GGoM'!$R$8:$R$78</c:f>
              <c:numCache>
                <c:formatCode>0</c:formatCode>
                <c:ptCount val="71"/>
                <c:pt idx="0">
                  <c:v>4.5202030638031084E-2</c:v>
                </c:pt>
                <c:pt idx="1">
                  <c:v>0.11264524112599826</c:v>
                </c:pt>
                <c:pt idx="2">
                  <c:v>0.259611724286612</c:v>
                </c:pt>
                <c:pt idx="3">
                  <c:v>0.55674821290284182</c:v>
                </c:pt>
                <c:pt idx="4">
                  <c:v>1.1173094862019231</c:v>
                </c:pt>
                <c:pt idx="5">
                  <c:v>2.1092705462082861</c:v>
                </c:pt>
                <c:pt idx="6">
                  <c:v>3.76375548884721</c:v>
                </c:pt>
                <c:pt idx="7">
                  <c:v>6.3762172280498444</c:v>
                </c:pt>
                <c:pt idx="8">
                  <c:v>10.297425567651469</c:v>
                </c:pt>
                <c:pt idx="9">
                  <c:v>15.912931424094424</c:v>
                </c:pt>
                <c:pt idx="10">
                  <c:v>23.611935882430476</c:v>
                </c:pt>
                <c:pt idx="11">
                  <c:v>33.748823007749344</c:v>
                </c:pt>
                <c:pt idx="12">
                  <c:v>46.602390587207402</c:v>
                </c:pt>
                <c:pt idx="13">
                  <c:v>62.338575342862285</c:v>
                </c:pt>
                <c:pt idx="14">
                  <c:v>80.98205986669241</c:v>
                </c:pt>
                <c:pt idx="15">
                  <c:v>102.40072273498801</c:v>
                </c:pt>
                <c:pt idx="16">
                  <c:v>126.30483895875774</c:v>
                </c:pt>
                <c:pt idx="17">
                  <c:v>152.26073380754875</c:v>
                </c:pt>
                <c:pt idx="18">
                  <c:v>179.71667424196102</c:v>
                </c:pt>
                <c:pt idx="19">
                  <c:v>208.03744927956356</c:v>
                </c:pt>
                <c:pt idx="20">
                  <c:v>236.5434639684409</c:v>
                </c:pt>
                <c:pt idx="21">
                  <c:v>264.5502231393757</c:v>
                </c:pt>
                <c:pt idx="22">
                  <c:v>291.40465657929786</c:v>
                </c:pt>
                <c:pt idx="23">
                  <c:v>316.51564752772686</c:v>
                </c:pt>
                <c:pt idx="24">
                  <c:v>339.37715721425798</c:v>
                </c:pt>
                <c:pt idx="25">
                  <c:v>359.5833361128856</c:v>
                </c:pt>
                <c:pt idx="26">
                  <c:v>376.83584710072716</c:v>
                </c:pt>
                <c:pt idx="27">
                  <c:v>390.94424911700673</c:v>
                </c:pt>
                <c:pt idx="28">
                  <c:v>401.82067852462239</c:v>
                </c:pt>
                <c:pt idx="29">
                  <c:v>409.4702411126537</c:v>
                </c:pt>
                <c:pt idx="30">
                  <c:v>413.97853589094905</c:v>
                </c:pt>
                <c:pt idx="31">
                  <c:v>415.49761124476197</c:v>
                </c:pt>
                <c:pt idx="32">
                  <c:v>414.23145911183667</c:v>
                </c:pt>
                <c:pt idx="33">
                  <c:v>410.42192143686316</c:v>
                </c:pt>
                <c:pt idx="34">
                  <c:v>404.3356460864743</c:v>
                </c:pt>
                <c:pt idx="35">
                  <c:v>396.25251017660997</c:v>
                </c:pt>
                <c:pt idx="36">
                  <c:v>386.4557406935794</c:v>
                </c:pt>
                <c:pt idx="37">
                  <c:v>375.22380734812577</c:v>
                </c:pt>
                <c:pt idx="38">
                  <c:v>362.82405069799563</c:v>
                </c:pt>
                <c:pt idx="39">
                  <c:v>349.50792422362952</c:v>
                </c:pt>
                <c:pt idx="40">
                  <c:v>335.50768056892116</c:v>
                </c:pt>
                <c:pt idx="41">
                  <c:v>321.03430378689018</c:v>
                </c:pt>
                <c:pt idx="42">
                  <c:v>306.27648265724622</c:v>
                </c:pt>
                <c:pt idx="43">
                  <c:v>291.40042442909686</c:v>
                </c:pt>
                <c:pt idx="44">
                  <c:v>276.55032358212662</c:v>
                </c:pt>
                <c:pt idx="45">
                  <c:v>261.84931953165551</c:v>
                </c:pt>
                <c:pt idx="46">
                  <c:v>247.40079992377076</c:v>
                </c:pt>
                <c:pt idx="47">
                  <c:v>233.28992940738519</c:v>
                </c:pt>
                <c:pt idx="48">
                  <c:v>219.58530489837005</c:v>
                </c:pt>
                <c:pt idx="49">
                  <c:v>206.34065975841921</c:v>
                </c:pt>
                <c:pt idx="50">
                  <c:v>193.59655685571565</c:v>
                </c:pt>
                <c:pt idx="51">
                  <c:v>181.38202580370438</c:v>
                </c:pt>
                <c:pt idx="52">
                  <c:v>169.71611361236114</c:v>
                </c:pt>
                <c:pt idx="53">
                  <c:v>158.60932707789053</c:v>
                </c:pt>
                <c:pt idx="54">
                  <c:v>148.06495565468069</c:v>
                </c:pt>
                <c:pt idx="55">
                  <c:v>138.08026885804873</c:v>
                </c:pt>
                <c:pt idx="56">
                  <c:v>128.64758792783761</c:v>
                </c:pt>
                <c:pt idx="57">
                  <c:v>119.75523489218345</c:v>
                </c:pt>
                <c:pt idx="58">
                  <c:v>111.3883651743796</c:v>
                </c:pt>
                <c:pt idx="59">
                  <c:v>103.52969105800257</c:v>
                </c:pt>
                <c:pt idx="60">
                  <c:v>96.16010473598952</c:v>
                </c:pt>
                <c:pt idx="61">
                  <c:v>89.259210102157013</c:v>
                </c:pt>
                <c:pt idx="62">
                  <c:v>82.805772266175524</c:v>
                </c:pt>
                <c:pt idx="63">
                  <c:v>76.778094057210183</c:v>
                </c:pt>
                <c:pt idx="64">
                  <c:v>71.154327770628257</c:v>
                </c:pt>
                <c:pt idx="65">
                  <c:v>65.912730268105449</c:v>
                </c:pt>
                <c:pt idx="66">
                  <c:v>61.031868962504838</c:v>
                </c:pt>
                <c:pt idx="67">
                  <c:v>56.490785309456541</c:v>
                </c:pt>
                <c:pt idx="68">
                  <c:v>52.269121805324424</c:v>
                </c:pt>
                <c:pt idx="69">
                  <c:v>48.347218103410121</c:v>
                </c:pt>
                <c:pt idx="70">
                  <c:v>44.706180975691893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E1-44DE-9DAF-9529BD98EE71}"/>
            </c:ext>
          </c:extLst>
        </c:ser>
        <c:ser>
          <c:idx val="10"/>
          <c:order val="10"/>
          <c:tx>
            <c:strRef>
              <c:f>'New_deaths - GGoM'!$Z$7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GGoM'!$C$8:$C$78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GGoM'!$Z$8:$Z$78</c:f>
              <c:numCache>
                <c:formatCode>0</c:formatCode>
                <c:ptCount val="71"/>
                <c:pt idx="0">
                  <c:v>7.9984359553936877E-3</c:v>
                </c:pt>
                <c:pt idx="1">
                  <c:v>2.1018376616450608E-2</c:v>
                </c:pt>
                <c:pt idx="2">
                  <c:v>5.123800389762493E-2</c:v>
                </c:pt>
                <c:pt idx="3">
                  <c:v>0.11650245674066796</c:v>
                </c:pt>
                <c:pt idx="4">
                  <c:v>0.24831856797754481</c:v>
                </c:pt>
                <c:pt idx="5">
                  <c:v>0.49846952562464225</c:v>
                </c:pt>
                <c:pt idx="6">
                  <c:v>0.94645822557533166</c:v>
                </c:pt>
                <c:pt idx="7">
                  <c:v>1.7066339712636465</c:v>
                </c:pt>
                <c:pt idx="8">
                  <c:v>2.933407722906884</c:v>
                </c:pt>
                <c:pt idx="9">
                  <c:v>4.8227859656053091</c:v>
                </c:pt>
                <c:pt idx="10">
                  <c:v>7.6086790514325475</c:v>
                </c:pt>
                <c:pt idx="11">
                  <c:v>11.553087788957281</c:v>
                </c:pt>
                <c:pt idx="12">
                  <c:v>16.930238291867102</c:v>
                </c:pt>
                <c:pt idx="13">
                  <c:v>24.005816264912436</c:v>
                </c:pt>
                <c:pt idx="14">
                  <c:v>33.013404341689572</c:v>
                </c:pt>
                <c:pt idx="15">
                  <c:v>44.130837277055626</c:v>
                </c:pt>
                <c:pt idx="16">
                  <c:v>57.459334231265117</c:v>
                </c:pt>
                <c:pt idx="17">
                  <c:v>73.007932106837316</c:v>
                </c:pt>
                <c:pt idx="18">
                  <c:v>90.685020871044841</c:v>
                </c:pt>
                <c:pt idx="19">
                  <c:v>110.29783019121018</c:v>
                </c:pt>
                <c:pt idx="20">
                  <c:v>131.55972126651244</c:v>
                </c:pt>
                <c:pt idx="21">
                  <c:v>154.10426208987954</c:v>
                </c:pt>
                <c:pt idx="22">
                  <c:v>177.50442318689932</c:v>
                </c:pt>
                <c:pt idx="23">
                  <c:v>201.29488227263809</c:v>
                </c:pt>
                <c:pt idx="24">
                  <c:v>224.9953630417605</c:v>
                </c:pt>
                <c:pt idx="25">
                  <c:v>248.13311648897547</c:v>
                </c:pt>
                <c:pt idx="26">
                  <c:v>270.26300343825676</c:v>
                </c:pt>
                <c:pt idx="27">
                  <c:v>290.98408608482572</c:v>
                </c:pt>
                <c:pt idx="28">
                  <c:v>309.95210126565053</c:v>
                </c:pt>
                <c:pt idx="29">
                  <c:v>326.88762280377875</c:v>
                </c:pt>
                <c:pt idx="30">
                  <c:v>341.58007837491499</c:v>
                </c:pt>
                <c:pt idx="31">
                  <c:v>353.88805603507694</c:v>
                </c:pt>
                <c:pt idx="32">
                  <c:v>363.73650478276312</c:v>
                </c:pt>
                <c:pt idx="33">
                  <c:v>371.11152157959532</c:v>
                </c:pt>
                <c:pt idx="34">
                  <c:v>376.05342638081294</c:v>
                </c:pt>
                <c:pt idx="35">
                  <c:v>378.64878563625888</c:v>
                </c:pt>
                <c:pt idx="36">
                  <c:v>379.02196482025715</c:v>
                </c:pt>
                <c:pt idx="37">
                  <c:v>377.32668935708551</c:v>
                </c:pt>
                <c:pt idx="38">
                  <c:v>373.73798917424722</c:v>
                </c:pt>
                <c:pt idx="39">
                  <c:v>368.44479530772497</c:v>
                </c:pt>
                <c:pt idx="40">
                  <c:v>361.64336407305541</c:v>
                </c:pt>
                <c:pt idx="41">
                  <c:v>353.53162414470091</c:v>
                </c:pt>
                <c:pt idx="42">
                  <c:v>344.30447329902461</c:v>
                </c:pt>
                <c:pt idx="43">
                  <c:v>334.15000570835628</c:v>
                </c:pt>
                <c:pt idx="44">
                  <c:v>323.24661117160673</c:v>
                </c:pt>
                <c:pt idx="45">
                  <c:v>311.76086378543471</c:v>
                </c:pt>
                <c:pt idx="46">
                  <c:v>299.84610740270546</c:v>
                </c:pt>
                <c:pt idx="47">
                  <c:v>287.64163466887311</c:v>
                </c:pt>
                <c:pt idx="48">
                  <c:v>275.27236199848124</c:v>
                </c:pt>
                <c:pt idx="49">
                  <c:v>262.84890444035619</c:v>
                </c:pt>
                <c:pt idx="50">
                  <c:v>250.4679640290955</c:v>
                </c:pt>
                <c:pt idx="51">
                  <c:v>238.21295383874588</c:v>
                </c:pt>
                <c:pt idx="52">
                  <c:v>226.15479103144236</c:v>
                </c:pt>
                <c:pt idx="53">
                  <c:v>214.35280171972289</c:v>
                </c:pt>
                <c:pt idx="54">
                  <c:v>202.85569099712774</c:v>
                </c:pt>
                <c:pt idx="55">
                  <c:v>191.70253903006324</c:v>
                </c:pt>
                <c:pt idx="56">
                  <c:v>180.92379513464178</c:v>
                </c:pt>
                <c:pt idx="57">
                  <c:v>170.54224519880597</c:v>
                </c:pt>
                <c:pt idx="58">
                  <c:v>160.57393685616938</c:v>
                </c:pt>
                <c:pt idx="59">
                  <c:v>151.02905029493601</c:v>
                </c:pt>
                <c:pt idx="60">
                  <c:v>141.91270726756559</c:v>
                </c:pt>
                <c:pt idx="61">
                  <c:v>133.22571430172059</c:v>
                </c:pt>
                <c:pt idx="62">
                  <c:v>124.96523810527306</c:v>
                </c:pt>
                <c:pt idx="63">
                  <c:v>117.12541424678548</c:v>
                </c:pt>
                <c:pt idx="64">
                  <c:v>109.69789069179139</c:v>
                </c:pt>
                <c:pt idx="65">
                  <c:v>102.67230944566333</c:v>
                </c:pt>
                <c:pt idx="66">
                  <c:v>96.036729947112278</c:v>
                </c:pt>
                <c:pt idx="67">
                  <c:v>89.777998530792374</c:v>
                </c:pt>
                <c:pt idx="68">
                  <c:v>83.882068374126661</c:v>
                </c:pt>
                <c:pt idx="69">
                  <c:v>78.334274401297805</c:v>
                </c:pt>
                <c:pt idx="70">
                  <c:v>73.11956768167974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GGoM'!$AE$14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GGoM'!$AF$14</c:f>
              <c:numCache>
                <c:formatCode>0.0000</c:formatCode>
                <c:ptCount val="1"/>
                <c:pt idx="0">
                  <c:v>0.96564904261877627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605-B250-3CD275ABE471}"/>
            </c:ext>
          </c:extLst>
        </c:ser>
        <c:ser>
          <c:idx val="1"/>
          <c:order val="1"/>
          <c:tx>
            <c:strRef>
              <c:f>'New_deaths - GGoM'!$AE$16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GGoM'!$AF$16</c:f>
              <c:numCache>
                <c:formatCode>0</c:formatCode>
                <c:ptCount val="1"/>
                <c:pt idx="0">
                  <c:v>148.61964540198952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4-4605-B250-3CD275ABE471}"/>
            </c:ext>
          </c:extLst>
        </c:ser>
        <c:ser>
          <c:idx val="2"/>
          <c:order val="2"/>
          <c:tx>
            <c:strRef>
              <c:f>'New_deaths - GGoM'!$AE$17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GGoM'!$AF$17</c:f>
              <c:numCache>
                <c:formatCode>0</c:formatCode>
                <c:ptCount val="1"/>
                <c:pt idx="0">
                  <c:v>781.53344301645848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4-4605-B250-3CD275ABE471}"/>
            </c:ext>
          </c:extLst>
        </c:ser>
        <c:ser>
          <c:idx val="3"/>
          <c:order val="3"/>
          <c:tx>
            <c:strRef>
              <c:f>'New_deaths - GGoM'!$AE$18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GGoM'!$AF$18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605-B250-3CD275AB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GGoM'!$AE$26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GGoM'!$AF$26</c:f>
              <c:numCache>
                <c:formatCode>0.0000</c:formatCode>
                <c:ptCount val="1"/>
                <c:pt idx="0">
                  <c:v>0.92405128667663972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9-4C13-9204-0FF03DD5D144}"/>
            </c:ext>
          </c:extLst>
        </c:ser>
        <c:ser>
          <c:idx val="1"/>
          <c:order val="1"/>
          <c:tx>
            <c:strRef>
              <c:f>'New_deaths - GGoM'!$AE$28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GGoM'!$AF$28</c:f>
              <c:numCache>
                <c:formatCode>0</c:formatCode>
                <c:ptCount val="1"/>
                <c:pt idx="0">
                  <c:v>122.21803598489375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9-4C13-9204-0FF03DD5D144}"/>
            </c:ext>
          </c:extLst>
        </c:ser>
        <c:ser>
          <c:idx val="2"/>
          <c:order val="2"/>
          <c:tx>
            <c:strRef>
              <c:f>'New_deaths - GGoM'!$AE$29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GGoM'!$AF$29</c:f>
              <c:numCache>
                <c:formatCode>0</c:formatCode>
                <c:ptCount val="1"/>
                <c:pt idx="0">
                  <c:v>415.49902808361327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9-4C13-9204-0FF03DD5D144}"/>
            </c:ext>
          </c:extLst>
        </c:ser>
        <c:ser>
          <c:idx val="3"/>
          <c:order val="3"/>
          <c:tx>
            <c:strRef>
              <c:f>'New_deaths - GGoM'!$AE$30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GGoM'!$AF$30</c:f>
              <c:numCache>
                <c:formatCode>[$-409]mmmm\ d\,\ yyyy;@</c:formatCode>
                <c:ptCount val="1"/>
                <c:pt idx="0">
                  <c:v>43916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9-4C13-9204-0FF03DD5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GGoM'!$AE$39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GGoM'!$AF$39</c:f>
              <c:numCache>
                <c:formatCode>0.0000</c:formatCode>
                <c:ptCount val="1"/>
                <c:pt idx="0">
                  <c:v>0.96360700811860334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4-4A86-BE8D-0B44633B5D0E}"/>
            </c:ext>
          </c:extLst>
        </c:ser>
        <c:ser>
          <c:idx val="1"/>
          <c:order val="1"/>
          <c:tx>
            <c:strRef>
              <c:f>'New_deaths - GGoM'!$AE$41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GGoM'!$AF$41</c:f>
              <c:numCache>
                <c:formatCode>0</c:formatCode>
                <c:ptCount val="1"/>
                <c:pt idx="0">
                  <c:v>78.900991685095249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4-4A86-BE8D-0B44633B5D0E}"/>
            </c:ext>
          </c:extLst>
        </c:ser>
        <c:ser>
          <c:idx val="2"/>
          <c:order val="2"/>
          <c:tx>
            <c:strRef>
              <c:f>'New_deaths - GGoM'!$AE$42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GGoM'!$AF$42</c:f>
              <c:numCache>
                <c:formatCode>0</c:formatCode>
                <c:ptCount val="1"/>
                <c:pt idx="0">
                  <c:v>379.13553071586705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4-4A86-BE8D-0B44633B5D0E}"/>
            </c:ext>
          </c:extLst>
        </c:ser>
        <c:ser>
          <c:idx val="3"/>
          <c:order val="3"/>
          <c:tx>
            <c:strRef>
              <c:f>'New_deaths - GGoM'!$AE$43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GGoM'!$AF$43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4-4A86-BE8D-0B44633B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GGoM'!$AE$52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GGoM'!$AF$52</c:f>
              <c:numCache>
                <c:formatCode>0.0000</c:formatCode>
                <c:ptCount val="1"/>
                <c:pt idx="0">
                  <c:v>0.96510970300598142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6-42FB-8E4E-7A7C3C0566B3}"/>
            </c:ext>
          </c:extLst>
        </c:ser>
        <c:ser>
          <c:idx val="1"/>
          <c:order val="1"/>
          <c:tx>
            <c:strRef>
              <c:f>'New_deaths - GGoM'!$AE$54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GGoM'!$AF$54</c:f>
              <c:numCache>
                <c:formatCode>0</c:formatCode>
                <c:ptCount val="1"/>
                <c:pt idx="0">
                  <c:v>156.34844858717005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6-42FB-8E4E-7A7C3C0566B3}"/>
            </c:ext>
          </c:extLst>
        </c:ser>
        <c:ser>
          <c:idx val="2"/>
          <c:order val="2"/>
          <c:tx>
            <c:strRef>
              <c:f>'New_deaths - GGoM'!$AE$55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GGoM'!$AF$55</c:f>
              <c:numCache>
                <c:formatCode>0</c:formatCode>
                <c:ptCount val="1"/>
                <c:pt idx="0">
                  <c:v>783.08165174085252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6-42FB-8E4E-7A7C3C0566B3}"/>
            </c:ext>
          </c:extLst>
        </c:ser>
        <c:ser>
          <c:idx val="3"/>
          <c:order val="3"/>
          <c:tx>
            <c:strRef>
              <c:f>'New_deaths - GGoM'!$AE$56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GGoM'!$AF$56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6-42FB-8E4E-7A7C3C05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150345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4596469" y="1593277"/>
          <a:ext cx="6935586" cy="5553613"/>
          <a:chOff x="20493897" y="1434353"/>
          <a:chExt cx="6940476" cy="5556865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493897" y="1434353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1332638" y="234202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1218337" y="355674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4333576" y="3608837"/>
            <a:ext cx="1559001" cy="10085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4269546" y="5622085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735462" y="6726658"/>
            <a:ext cx="5582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6</xdr:col>
      <xdr:colOff>1114095</xdr:colOff>
      <xdr:row>2</xdr:row>
      <xdr:rowOff>0</xdr:rowOff>
    </xdr:from>
    <xdr:ext cx="2091560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85D63674-AC64-4D08-9E23-264FE1D33133}"/>
                </a:ext>
              </a:extLst>
            </xdr:cNvPr>
            <xdr:cNvSpPr txBox="1"/>
          </xdr:nvSpPr>
          <xdr:spPr>
            <a:xfrm>
              <a:off x="7236371" y="493986"/>
              <a:ext cx="2091560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85D63674-AC64-4D08-9E23-264FE1D33133}"/>
                </a:ext>
              </a:extLst>
            </xdr:cNvPr>
            <xdr:cNvSpPr txBox="1"/>
          </xdr:nvSpPr>
          <xdr:spPr>
            <a:xfrm>
              <a:off x="7236371" y="493986"/>
              <a:ext cx="2091560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[𝐾^(1−𝑝)−(1−𝑝) 𝑒^(− □(64&amp;(𝑡−𝑡_0)/𝑤)) ]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^(1⁄(1−𝑝))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35</xdr:col>
      <xdr:colOff>110836</xdr:colOff>
      <xdr:row>28</xdr:row>
      <xdr:rowOff>13854</xdr:rowOff>
    </xdr:from>
    <xdr:ext cx="2075315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08270" y="5768268"/>
              <a:ext cx="207531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08270" y="5768268"/>
              <a:ext cx="207531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𝑦=[𝐾^(1−𝑝)−(1−𝑝) 𝑒^(− □(64&amp;(𝑡−𝑡_0)/𝑤)) ]^(1⁄(1−𝑝))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</xdr:colOff>
      <xdr:row>6</xdr:row>
      <xdr:rowOff>16627</xdr:rowOff>
    </xdr:from>
    <xdr:to>
      <xdr:col>43</xdr:col>
      <xdr:colOff>318654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2A923A13-5722-45E4-933B-FDA5184B5B53}"/>
            </a:ext>
          </a:extLst>
        </xdr:cNvPr>
        <xdr:cNvGrpSpPr/>
      </xdr:nvGrpSpPr>
      <xdr:grpSpPr>
        <a:xfrm>
          <a:off x="40352056" y="1485209"/>
          <a:ext cx="7778634" cy="6334989"/>
          <a:chOff x="40169502" y="1307545"/>
          <a:chExt cx="7559040" cy="6283645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A66DF0D5-8484-470A-A4B0-F15CDD57AC0C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8FF4F991-6874-4C08-B19A-3786024D64FD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3D4669AE-F3D9-4BDD-8B7C-C5E6BDC2701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1ACF5C08-C333-440C-8111-3647859328FA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511B37C-27D8-46E8-ACE8-818C7EBDB139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08E80AC9-CCE3-4C8A-A9F9-6FD9A575FAEB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5</xdr:col>
      <xdr:colOff>-1</xdr:colOff>
      <xdr:row>2</xdr:row>
      <xdr:rowOff>0</xdr:rowOff>
    </xdr:from>
    <xdr:ext cx="2272145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1DA2B986-8FD6-4DD2-9DFE-D7A7AC122B4B}"/>
                </a:ext>
              </a:extLst>
            </xdr:cNvPr>
            <xdr:cNvSpPr txBox="1"/>
          </xdr:nvSpPr>
          <xdr:spPr>
            <a:xfrm>
              <a:off x="4946072" y="498764"/>
              <a:ext cx="227214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1DA2B986-8FD6-4DD2-9DFE-D7A7AC122B4B}"/>
                </a:ext>
              </a:extLst>
            </xdr:cNvPr>
            <xdr:cNvSpPr txBox="1"/>
          </xdr:nvSpPr>
          <xdr:spPr>
            <a:xfrm>
              <a:off x="4946072" y="498764"/>
              <a:ext cx="227214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[𝐾^(1−𝑝)−(1−𝑝) 𝑒^(− □(64&amp;(𝑡−𝑡_0)/𝑤)) ]^(1⁄(1−𝑝))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40</xdr:col>
      <xdr:colOff>110843</xdr:colOff>
      <xdr:row>30</xdr:row>
      <xdr:rowOff>41564</xdr:rowOff>
    </xdr:from>
    <xdr:ext cx="2216719" cy="11083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5900116" y="6151419"/>
              <a:ext cx="2216719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5900116" y="6151419"/>
              <a:ext cx="2216719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[𝐾^(1−𝑝)−(1−𝑝) 𝑒^(− □(64&amp;(𝑡−𝑡_0)/𝑤)) ]^(1⁄(1−𝑝))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40</xdr:col>
      <xdr:colOff>595744</xdr:colOff>
      <xdr:row>9</xdr:row>
      <xdr:rowOff>13854</xdr:rowOff>
    </xdr:from>
    <xdr:ext cx="1614055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403667" y="2211931"/>
              <a:ext cx="161405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𝐶𝑑𝑓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403667" y="2211931"/>
              <a:ext cx="161405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𝑃𝑑𝑓=𝑤^(−1) 〖𝐶𝑑𝑓〗^𝑝∙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 □(64&amp;(𝑡−𝑡_0)/𝑤))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fn" refreshedDate="43936.987733217589" createdVersion="6" refreshedVersion="6" minRefreshableVersion="3" recordCount="1093" xr:uid="{A1228D19-044A-4358-9048-D477CE971B26}">
  <cacheSource type="worksheet">
    <worksheetSource ref="A1:Q1048576" sheet="dpc-covid19-ita-regioni"/>
  </cacheSource>
  <cacheFields count="18">
    <cacheField name="data" numFmtId="0">
      <sharedItems containsNonDate="0" containsDate="1" containsString="0" containsBlank="1" minDate="2020-02-24T18:00:00" maxDate="2020-04-15T17:00:00" count="53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d v="2020-03-25T17:00:00"/>
        <d v="2020-03-26T17:00:00"/>
        <d v="2020-03-27T17:00:00"/>
        <d v="2020-03-28T17:00:00"/>
        <d v="2020-03-29T17:00:00"/>
        <d v="2020-03-30T17:00:00"/>
        <d v="2020-03-31T17:00:00"/>
        <d v="2020-04-01T17:00:00"/>
        <d v="2020-04-02T17:00:00"/>
        <d v="2020-04-03T17:00:00"/>
        <d v="2020-04-04T17:00:00"/>
        <d v="2020-04-05T17:00:00"/>
        <d v="2020-04-06T17:00:00"/>
        <d v="2020-04-07T17:00:00"/>
        <d v="2020-04-08T17:00:00"/>
        <d v="2020-04-09T17:00:00"/>
        <d v="2020-04-10T17:00:00"/>
        <d v="2020-04-11T17:00:00"/>
        <d v="2020-04-12T17:00:00"/>
        <d v="2020-04-13T17:00:00"/>
        <d v="2020-04-14T17:00:00"/>
        <d v="2020-04-15T17:00:00"/>
        <m/>
      </sharedItems>
      <fieldGroup par="17" base="0">
        <rangePr groupBy="days" startDate="2020-02-24T18:00:00" endDate="2020-04-15T17:00:00"/>
        <groupItems count="368">
          <s v="(vuoto)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5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 count="21">
        <n v="13"/>
        <n v="17"/>
        <n v="4"/>
        <n v="18"/>
        <n v="15"/>
        <n v="8"/>
        <n v="6"/>
        <n v="12"/>
        <n v="7"/>
        <n v="3"/>
        <n v="11"/>
        <n v="14"/>
        <n v="1"/>
        <n v="16"/>
        <n v="20"/>
        <n v="19"/>
        <n v="9"/>
        <n v="10"/>
        <n v="2"/>
        <n v="5"/>
        <m/>
      </sharedItems>
    </cacheField>
    <cacheField name="denominazione_regione" numFmtId="0">
      <sharedItems containsBlank="1" count="22">
        <s v="Abruzzo"/>
        <s v="Basilicata"/>
        <s v="P.A. Bolzano"/>
        <s v="Calabria"/>
        <s v="Campania"/>
        <s v="Emilia-Romagna"/>
        <s v="Friuli Venezia Giulia"/>
        <s v="Lazio"/>
        <s v="Liguria"/>
        <s v="Lombardia"/>
        <s v="Marche"/>
        <s v="Molise"/>
        <s v="Piemonte"/>
        <s v="Puglia"/>
        <s v="Sardegna"/>
        <s v="Sicilia"/>
        <s v="Toscana"/>
        <s v="P.A. Trento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0" maxValue="12077"/>
    </cacheField>
    <cacheField name="terapia_intensiva" numFmtId="0">
      <sharedItems containsString="0" containsBlank="1" containsNumber="1" containsInteger="1" minValue="0" maxValue="1381"/>
    </cacheField>
    <cacheField name="totale_ospedalizzati" numFmtId="0">
      <sharedItems containsString="0" containsBlank="1" containsNumber="1" containsInteger="1" minValue="0" maxValue="13328"/>
    </cacheField>
    <cacheField name="isolamento_domiciliare" numFmtId="0">
      <sharedItems containsString="0" containsBlank="1" containsNumber="1" containsInteger="1" minValue="0" maxValue="19804"/>
    </cacheField>
    <cacheField name="totale_positivi" numFmtId="0">
      <sharedItems containsString="0" containsBlank="1" containsNumber="1" containsInteger="1" minValue="0" maxValue="32921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17" maxValue="3251"/>
    </cacheField>
    <cacheField name="dimessi_guariti" numFmtId="0">
      <sharedItems containsString="0" containsBlank="1" containsNumber="1" containsInteger="1" minValue="0" maxValue="17855"/>
    </cacheField>
    <cacheField name="deceduti" numFmtId="0">
      <sharedItems containsString="0" containsBlank="1" containsNumber="1" containsInteger="1" minValue="0" maxValue="11377"/>
    </cacheField>
    <cacheField name="totale_casi" numFmtId="0">
      <sharedItems containsString="0" containsBlank="1" containsNumber="1" containsInteger="1" minValue="0" maxValue="62153"/>
    </cacheField>
    <cacheField name="tamponi" numFmtId="0">
      <sharedItems containsString="0" containsBlank="1" containsNumber="1" containsInteger="1" minValue="0" maxValue="221968"/>
    </cacheField>
    <cacheField name="Mesi" numFmtId="0" databaseField="0">
      <fieldGroup base="0">
        <rangePr groupBy="months" startDate="2020-02-24T18:00:00" endDate="2020-04-15T17:00:00"/>
        <groupItems count="14">
          <s v="&lt;24/02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15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x v="0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x v="2"/>
    <x v="2"/>
    <n v="4649933453"/>
    <n v="1135662422"/>
    <n v="0"/>
    <n v="0"/>
    <n v="0"/>
    <n v="0"/>
    <n v="0"/>
    <n v="0"/>
    <n v="0"/>
    <n v="0"/>
    <n v="0"/>
    <n v="0"/>
    <n v="1"/>
  </r>
  <r>
    <x v="0"/>
    <s v="ITA"/>
    <x v="3"/>
    <x v="3"/>
    <n v="3890597598"/>
    <n v="1659440194"/>
    <n v="0"/>
    <n v="0"/>
    <n v="0"/>
    <n v="0"/>
    <n v="0"/>
    <n v="0"/>
    <n v="0"/>
    <n v="0"/>
    <n v="0"/>
    <n v="0"/>
    <n v="1"/>
  </r>
  <r>
    <x v="0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0"/>
    <s v="ITA"/>
    <x v="5"/>
    <x v="5"/>
    <n v="4449436681"/>
    <n v="113417208"/>
    <n v="10"/>
    <n v="2"/>
    <n v="12"/>
    <n v="6"/>
    <n v="18"/>
    <n v="0"/>
    <n v="18"/>
    <n v="0"/>
    <n v="0"/>
    <n v="18"/>
    <n v="148"/>
  </r>
  <r>
    <x v="0"/>
    <s v="ITA"/>
    <x v="6"/>
    <x v="6"/>
    <n v="456494354"/>
    <n v="1376813649"/>
    <n v="0"/>
    <n v="0"/>
    <n v="0"/>
    <n v="0"/>
    <n v="0"/>
    <n v="0"/>
    <n v="0"/>
    <n v="0"/>
    <n v="0"/>
    <n v="0"/>
    <n v="58"/>
  </r>
  <r>
    <x v="0"/>
    <s v="ITA"/>
    <x v="7"/>
    <x v="7"/>
    <n v="4189277044"/>
    <n v="1248366722"/>
    <n v="1"/>
    <n v="1"/>
    <n v="2"/>
    <n v="0"/>
    <n v="2"/>
    <n v="0"/>
    <n v="2"/>
    <n v="1"/>
    <n v="0"/>
    <n v="3"/>
    <n v="124"/>
  </r>
  <r>
    <x v="0"/>
    <s v="ITA"/>
    <x v="8"/>
    <x v="8"/>
    <n v="4441149315"/>
    <n v="89326992"/>
    <n v="0"/>
    <n v="0"/>
    <n v="0"/>
    <n v="0"/>
    <n v="0"/>
    <n v="0"/>
    <n v="0"/>
    <n v="0"/>
    <n v="0"/>
    <n v="0"/>
    <n v="1"/>
  </r>
  <r>
    <x v="0"/>
    <s v="ITA"/>
    <x v="9"/>
    <x v="9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x v="10"/>
    <x v="10"/>
    <n v="4361675973"/>
    <n v="135188753"/>
    <n v="0"/>
    <n v="0"/>
    <n v="0"/>
    <n v="0"/>
    <n v="0"/>
    <n v="0"/>
    <n v="0"/>
    <n v="0"/>
    <n v="0"/>
    <n v="0"/>
    <n v="16"/>
  </r>
  <r>
    <x v="0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0"/>
    <s v="ITA"/>
    <x v="12"/>
    <x v="12"/>
    <n v="450732745"/>
    <n v="7680687483"/>
    <n v="2"/>
    <n v="0"/>
    <n v="2"/>
    <n v="1"/>
    <n v="3"/>
    <n v="0"/>
    <n v="3"/>
    <n v="0"/>
    <n v="0"/>
    <n v="3"/>
    <n v="141"/>
  </r>
  <r>
    <x v="0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0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0"/>
    <s v="ITA"/>
    <x v="15"/>
    <x v="15"/>
    <n v="3811569725"/>
    <n v="133623567"/>
    <n v="0"/>
    <n v="0"/>
    <n v="0"/>
    <n v="0"/>
    <n v="0"/>
    <n v="0"/>
    <n v="0"/>
    <n v="0"/>
    <n v="0"/>
    <n v="0"/>
    <n v="5"/>
  </r>
  <r>
    <x v="0"/>
    <s v="ITA"/>
    <x v="16"/>
    <x v="16"/>
    <n v="4376923077"/>
    <n v="1125588885"/>
    <n v="0"/>
    <n v="0"/>
    <n v="0"/>
    <n v="0"/>
    <n v="0"/>
    <n v="0"/>
    <n v="0"/>
    <n v="0"/>
    <n v="0"/>
    <n v="0"/>
    <n v="140"/>
  </r>
  <r>
    <x v="0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0"/>
    <s v="ITA"/>
    <x v="17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x v="19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x v="2"/>
    <x v="2"/>
    <n v="4649933453"/>
    <n v="1135662422"/>
    <n v="1"/>
    <n v="0"/>
    <n v="1"/>
    <n v="0"/>
    <n v="1"/>
    <n v="1"/>
    <n v="1"/>
    <n v="0"/>
    <n v="0"/>
    <n v="1"/>
    <n v="1"/>
  </r>
  <r>
    <x v="1"/>
    <s v="ITA"/>
    <x v="3"/>
    <x v="3"/>
    <n v="3890597598"/>
    <n v="1659440194"/>
    <n v="0"/>
    <n v="0"/>
    <n v="0"/>
    <n v="0"/>
    <n v="0"/>
    <n v="0"/>
    <n v="0"/>
    <n v="0"/>
    <n v="0"/>
    <n v="0"/>
    <n v="2"/>
  </r>
  <r>
    <x v="1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1"/>
    <s v="ITA"/>
    <x v="5"/>
    <x v="5"/>
    <n v="4449436681"/>
    <n v="113417208"/>
    <n v="15"/>
    <n v="2"/>
    <n v="17"/>
    <n v="9"/>
    <n v="26"/>
    <n v="8"/>
    <n v="8"/>
    <n v="0"/>
    <n v="0"/>
    <n v="26"/>
    <n v="391"/>
  </r>
  <r>
    <x v="1"/>
    <s v="ITA"/>
    <x v="6"/>
    <x v="6"/>
    <n v="456494354"/>
    <n v="1376813649"/>
    <n v="0"/>
    <n v="0"/>
    <n v="0"/>
    <n v="0"/>
    <n v="0"/>
    <n v="0"/>
    <n v="0"/>
    <n v="0"/>
    <n v="0"/>
    <n v="0"/>
    <n v="89"/>
  </r>
  <r>
    <x v="1"/>
    <s v="ITA"/>
    <x v="7"/>
    <x v="7"/>
    <n v="4189277044"/>
    <n v="1248366722"/>
    <n v="1"/>
    <n v="1"/>
    <n v="2"/>
    <n v="0"/>
    <n v="2"/>
    <n v="0"/>
    <n v="0"/>
    <n v="1"/>
    <n v="0"/>
    <n v="3"/>
    <n v="124"/>
  </r>
  <r>
    <x v="1"/>
    <s v="ITA"/>
    <x v="8"/>
    <x v="8"/>
    <n v="4441149315"/>
    <n v="89326992"/>
    <n v="1"/>
    <n v="0"/>
    <n v="1"/>
    <n v="0"/>
    <n v="1"/>
    <n v="1"/>
    <n v="1"/>
    <n v="0"/>
    <n v="0"/>
    <n v="1"/>
    <n v="39"/>
  </r>
  <r>
    <x v="1"/>
    <s v="ITA"/>
    <x v="9"/>
    <x v="9"/>
    <n v="4546679409"/>
    <n v="9190347404"/>
    <n v="79"/>
    <n v="25"/>
    <n v="104"/>
    <n v="127"/>
    <n v="231"/>
    <n v="65"/>
    <n v="68"/>
    <n v="0"/>
    <n v="9"/>
    <n v="240"/>
    <n v="3700"/>
  </r>
  <r>
    <x v="1"/>
    <s v="ITA"/>
    <x v="10"/>
    <x v="10"/>
    <n v="4361675973"/>
    <n v="135188753"/>
    <n v="0"/>
    <n v="0"/>
    <n v="0"/>
    <n v="0"/>
    <n v="0"/>
    <n v="0"/>
    <n v="0"/>
    <n v="0"/>
    <n v="0"/>
    <n v="0"/>
    <n v="21"/>
  </r>
  <r>
    <x v="1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1"/>
    <s v="ITA"/>
    <x v="12"/>
    <x v="12"/>
    <n v="450732745"/>
    <n v="7680687483"/>
    <n v="2"/>
    <n v="0"/>
    <n v="2"/>
    <n v="1"/>
    <n v="3"/>
    <n v="0"/>
    <n v="0"/>
    <n v="0"/>
    <n v="0"/>
    <n v="3"/>
    <n v="141"/>
  </r>
  <r>
    <x v="1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1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1"/>
    <s v="ITA"/>
    <x v="15"/>
    <x v="15"/>
    <n v="3811569725"/>
    <n v="133623567"/>
    <n v="1"/>
    <n v="0"/>
    <n v="1"/>
    <n v="2"/>
    <n v="3"/>
    <n v="3"/>
    <n v="3"/>
    <n v="0"/>
    <n v="0"/>
    <n v="3"/>
    <n v="5"/>
  </r>
  <r>
    <x v="1"/>
    <s v="ITA"/>
    <x v="16"/>
    <x v="16"/>
    <n v="4376923077"/>
    <n v="1125588885"/>
    <n v="2"/>
    <n v="0"/>
    <n v="2"/>
    <n v="0"/>
    <n v="2"/>
    <n v="2"/>
    <n v="2"/>
    <n v="0"/>
    <n v="0"/>
    <n v="2"/>
    <n v="296"/>
  </r>
  <r>
    <x v="1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1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x v="19"/>
    <x v="20"/>
    <n v="4543490485"/>
    <n v="1233845213"/>
    <n v="12"/>
    <n v="7"/>
    <n v="19"/>
    <n v="23"/>
    <n v="42"/>
    <n v="10"/>
    <n v="10"/>
    <n v="0"/>
    <n v="1"/>
    <n v="43"/>
    <n v="3780"/>
  </r>
  <r>
    <x v="2"/>
    <s v="ITA"/>
    <x v="0"/>
    <x v="0"/>
    <n v="4235122196"/>
    <n v="1339843823"/>
    <n v="0"/>
    <n v="0"/>
    <n v="0"/>
    <n v="0"/>
    <n v="0"/>
    <n v="0"/>
    <n v="0"/>
    <n v="0"/>
    <n v="0"/>
    <n v="0"/>
    <n v="13"/>
  </r>
  <r>
    <x v="2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x v="2"/>
    <x v="2"/>
    <n v="4649933453"/>
    <n v="1135662422"/>
    <n v="1"/>
    <n v="0"/>
    <n v="1"/>
    <n v="0"/>
    <n v="1"/>
    <n v="0"/>
    <n v="0"/>
    <n v="0"/>
    <n v="0"/>
    <n v="1"/>
    <n v="1"/>
  </r>
  <r>
    <x v="2"/>
    <s v="ITA"/>
    <x v="3"/>
    <x v="3"/>
    <n v="3890597598"/>
    <n v="1659440194"/>
    <n v="0"/>
    <n v="0"/>
    <n v="0"/>
    <n v="0"/>
    <n v="0"/>
    <n v="0"/>
    <n v="0"/>
    <n v="0"/>
    <n v="0"/>
    <n v="0"/>
    <n v="3"/>
  </r>
  <r>
    <x v="2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2"/>
    <s v="ITA"/>
    <x v="5"/>
    <x v="5"/>
    <n v="4449436681"/>
    <n v="113417208"/>
    <n v="20"/>
    <n v="3"/>
    <n v="23"/>
    <n v="23"/>
    <n v="46"/>
    <n v="20"/>
    <n v="21"/>
    <n v="0"/>
    <n v="1"/>
    <n v="47"/>
    <n v="577"/>
  </r>
  <r>
    <x v="2"/>
    <s v="ITA"/>
    <x v="6"/>
    <x v="6"/>
    <n v="456494354"/>
    <n v="1376813649"/>
    <n v="0"/>
    <n v="0"/>
    <n v="0"/>
    <n v="0"/>
    <n v="0"/>
    <n v="0"/>
    <n v="0"/>
    <n v="0"/>
    <n v="0"/>
    <n v="0"/>
    <n v="114"/>
  </r>
  <r>
    <x v="2"/>
    <s v="ITA"/>
    <x v="7"/>
    <x v="7"/>
    <n v="4189277044"/>
    <n v="1248366722"/>
    <n v="0"/>
    <n v="0"/>
    <n v="0"/>
    <n v="0"/>
    <n v="0"/>
    <n v="-2"/>
    <n v="0"/>
    <n v="3"/>
    <n v="0"/>
    <n v="3"/>
    <n v="124"/>
  </r>
  <r>
    <x v="2"/>
    <s v="ITA"/>
    <x v="8"/>
    <x v="8"/>
    <n v="4441149315"/>
    <n v="89326992"/>
    <n v="6"/>
    <n v="0"/>
    <n v="6"/>
    <n v="5"/>
    <n v="11"/>
    <n v="10"/>
    <n v="10"/>
    <n v="0"/>
    <n v="0"/>
    <n v="11"/>
    <n v="66"/>
  </r>
  <r>
    <x v="2"/>
    <s v="ITA"/>
    <x v="9"/>
    <x v="9"/>
    <n v="4546679409"/>
    <n v="9190347404"/>
    <n v="79"/>
    <n v="25"/>
    <n v="104"/>
    <n v="145"/>
    <n v="249"/>
    <n v="18"/>
    <n v="18"/>
    <n v="0"/>
    <n v="9"/>
    <n v="258"/>
    <n v="3208"/>
  </r>
  <r>
    <x v="2"/>
    <s v="ITA"/>
    <x v="10"/>
    <x v="10"/>
    <n v="4361675973"/>
    <n v="135188753"/>
    <n v="1"/>
    <n v="0"/>
    <n v="1"/>
    <n v="0"/>
    <n v="1"/>
    <n v="1"/>
    <n v="1"/>
    <n v="0"/>
    <n v="0"/>
    <n v="1"/>
    <n v="28"/>
  </r>
  <r>
    <x v="2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2"/>
    <s v="ITA"/>
    <x v="12"/>
    <x v="12"/>
    <n v="450732745"/>
    <n v="7680687483"/>
    <n v="2"/>
    <n v="0"/>
    <n v="2"/>
    <n v="1"/>
    <n v="3"/>
    <n v="0"/>
    <n v="0"/>
    <n v="0"/>
    <n v="0"/>
    <n v="3"/>
    <n v="156"/>
  </r>
  <r>
    <x v="2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2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2"/>
    <s v="ITA"/>
    <x v="15"/>
    <x v="15"/>
    <n v="3811569725"/>
    <n v="133623567"/>
    <n v="1"/>
    <n v="0"/>
    <n v="1"/>
    <n v="2"/>
    <n v="3"/>
    <n v="0"/>
    <n v="0"/>
    <n v="0"/>
    <n v="0"/>
    <n v="3"/>
    <n v="5"/>
  </r>
  <r>
    <x v="2"/>
    <s v="ITA"/>
    <x v="16"/>
    <x v="16"/>
    <n v="4376923077"/>
    <n v="1125588885"/>
    <n v="2"/>
    <n v="0"/>
    <n v="2"/>
    <n v="0"/>
    <n v="2"/>
    <n v="0"/>
    <n v="0"/>
    <n v="0"/>
    <n v="0"/>
    <n v="2"/>
    <n v="363"/>
  </r>
  <r>
    <x v="2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2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2"/>
    <s v="ITA"/>
    <x v="19"/>
    <x v="20"/>
    <n v="4543490485"/>
    <n v="1233845213"/>
    <n v="16"/>
    <n v="8"/>
    <n v="24"/>
    <n v="45"/>
    <n v="69"/>
    <n v="27"/>
    <n v="28"/>
    <n v="0"/>
    <n v="2"/>
    <n v="71"/>
    <n v="4900"/>
  </r>
  <r>
    <x v="3"/>
    <s v="ITA"/>
    <x v="0"/>
    <x v="0"/>
    <n v="4235122196"/>
    <n v="1339843823"/>
    <n v="1"/>
    <n v="0"/>
    <n v="1"/>
    <n v="0"/>
    <n v="1"/>
    <n v="1"/>
    <n v="1"/>
    <n v="0"/>
    <n v="0"/>
    <n v="1"/>
    <n v="33"/>
  </r>
  <r>
    <x v="3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3"/>
    <s v="ITA"/>
    <x v="3"/>
    <x v="3"/>
    <n v="3890597598"/>
    <n v="1659440194"/>
    <n v="0"/>
    <n v="0"/>
    <n v="0"/>
    <n v="0"/>
    <n v="0"/>
    <n v="0"/>
    <n v="0"/>
    <n v="0"/>
    <n v="0"/>
    <n v="0"/>
    <n v="14"/>
  </r>
  <r>
    <x v="3"/>
    <s v="ITA"/>
    <x v="4"/>
    <x v="4"/>
    <n v="4083956555"/>
    <n v="1425084984"/>
    <n v="2"/>
    <n v="0"/>
    <n v="2"/>
    <n v="1"/>
    <n v="3"/>
    <n v="3"/>
    <n v="3"/>
    <n v="0"/>
    <n v="0"/>
    <n v="3"/>
    <n v="10"/>
  </r>
  <r>
    <x v="3"/>
    <s v="ITA"/>
    <x v="5"/>
    <x v="5"/>
    <n v="4449436681"/>
    <n v="113417208"/>
    <n v="36"/>
    <n v="6"/>
    <n v="42"/>
    <n v="54"/>
    <n v="96"/>
    <n v="50"/>
    <n v="50"/>
    <n v="0"/>
    <n v="1"/>
    <n v="97"/>
    <n v="1033"/>
  </r>
  <r>
    <x v="3"/>
    <s v="ITA"/>
    <x v="6"/>
    <x v="6"/>
    <n v="456494354"/>
    <n v="1376813649"/>
    <n v="0"/>
    <n v="0"/>
    <n v="0"/>
    <n v="0"/>
    <n v="0"/>
    <n v="0"/>
    <n v="0"/>
    <n v="0"/>
    <n v="0"/>
    <n v="0"/>
    <n v="141"/>
  </r>
  <r>
    <x v="3"/>
    <s v="ITA"/>
    <x v="7"/>
    <x v="7"/>
    <n v="4189277044"/>
    <n v="1248366722"/>
    <n v="0"/>
    <n v="0"/>
    <n v="0"/>
    <n v="0"/>
    <n v="0"/>
    <n v="0"/>
    <n v="0"/>
    <n v="3"/>
    <n v="0"/>
    <n v="3"/>
    <n v="552"/>
  </r>
  <r>
    <x v="3"/>
    <s v="ITA"/>
    <x v="8"/>
    <x v="8"/>
    <n v="4441149315"/>
    <n v="89326992"/>
    <n v="9"/>
    <n v="0"/>
    <n v="9"/>
    <n v="10"/>
    <n v="19"/>
    <n v="8"/>
    <n v="8"/>
    <n v="0"/>
    <n v="0"/>
    <n v="19"/>
    <n v="78"/>
  </r>
  <r>
    <x v="3"/>
    <s v="ITA"/>
    <x v="9"/>
    <x v="9"/>
    <n v="4546679409"/>
    <n v="9190347404"/>
    <n v="172"/>
    <n v="41"/>
    <n v="213"/>
    <n v="136"/>
    <n v="349"/>
    <n v="100"/>
    <n v="145"/>
    <n v="40"/>
    <n v="14"/>
    <n v="403"/>
    <n v="3320"/>
  </r>
  <r>
    <x v="3"/>
    <s v="ITA"/>
    <x v="10"/>
    <x v="10"/>
    <n v="4361675973"/>
    <n v="135188753"/>
    <n v="2"/>
    <n v="1"/>
    <n v="3"/>
    <n v="0"/>
    <n v="3"/>
    <n v="2"/>
    <n v="2"/>
    <n v="0"/>
    <n v="0"/>
    <n v="3"/>
    <n v="46"/>
  </r>
  <r>
    <x v="3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3"/>
    <s v="ITA"/>
    <x v="12"/>
    <x v="12"/>
    <n v="450732745"/>
    <n v="7680687483"/>
    <n v="2"/>
    <n v="0"/>
    <n v="2"/>
    <n v="0"/>
    <n v="2"/>
    <n v="-1"/>
    <n v="-1"/>
    <n v="0"/>
    <n v="0"/>
    <n v="2"/>
    <n v="156"/>
  </r>
  <r>
    <x v="3"/>
    <s v="ITA"/>
    <x v="13"/>
    <x v="13"/>
    <n v="4112559576"/>
    <n v="1686736689"/>
    <n v="1"/>
    <n v="0"/>
    <n v="1"/>
    <n v="0"/>
    <n v="1"/>
    <n v="1"/>
    <n v="1"/>
    <n v="0"/>
    <n v="0"/>
    <n v="1"/>
    <n v="0"/>
  </r>
  <r>
    <x v="3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3"/>
    <s v="ITA"/>
    <x v="15"/>
    <x v="15"/>
    <n v="3811569725"/>
    <n v="133623567"/>
    <n v="1"/>
    <n v="0"/>
    <n v="1"/>
    <n v="1"/>
    <n v="2"/>
    <n v="-1"/>
    <n v="1"/>
    <n v="2"/>
    <n v="0"/>
    <n v="4"/>
    <n v="5"/>
  </r>
  <r>
    <x v="3"/>
    <s v="ITA"/>
    <x v="16"/>
    <x v="16"/>
    <n v="4376923077"/>
    <n v="1125588885"/>
    <n v="2"/>
    <n v="0"/>
    <n v="2"/>
    <n v="0"/>
    <n v="2"/>
    <n v="0"/>
    <n v="0"/>
    <n v="0"/>
    <n v="0"/>
    <n v="2"/>
    <n v="410"/>
  </r>
  <r>
    <x v="3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3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3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3"/>
    <s v="ITA"/>
    <x v="19"/>
    <x v="20"/>
    <n v="4543490485"/>
    <n v="1233845213"/>
    <n v="19"/>
    <n v="8"/>
    <n v="27"/>
    <n v="82"/>
    <n v="109"/>
    <n v="40"/>
    <n v="40"/>
    <n v="0"/>
    <n v="2"/>
    <n v="111"/>
    <n v="6164"/>
  </r>
  <r>
    <x v="4"/>
    <s v="ITA"/>
    <x v="0"/>
    <x v="0"/>
    <n v="4235122196"/>
    <n v="1339843823"/>
    <n v="1"/>
    <n v="0"/>
    <n v="1"/>
    <n v="0"/>
    <n v="1"/>
    <n v="0"/>
    <n v="0"/>
    <n v="0"/>
    <n v="0"/>
    <n v="1"/>
    <n v="33"/>
  </r>
  <r>
    <x v="4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4"/>
    <s v="ITA"/>
    <x v="3"/>
    <x v="3"/>
    <n v="3890597598"/>
    <n v="1659440194"/>
    <n v="0"/>
    <n v="0"/>
    <n v="0"/>
    <n v="1"/>
    <n v="1"/>
    <n v="1"/>
    <n v="1"/>
    <n v="0"/>
    <n v="0"/>
    <n v="1"/>
    <n v="21"/>
  </r>
  <r>
    <x v="4"/>
    <s v="ITA"/>
    <x v="4"/>
    <x v="4"/>
    <n v="4083956555"/>
    <n v="1425084984"/>
    <n v="2"/>
    <n v="0"/>
    <n v="2"/>
    <n v="2"/>
    <n v="4"/>
    <n v="1"/>
    <n v="1"/>
    <n v="0"/>
    <n v="0"/>
    <n v="4"/>
    <n v="213"/>
  </r>
  <r>
    <x v="4"/>
    <s v="ITA"/>
    <x v="5"/>
    <x v="5"/>
    <n v="4449436681"/>
    <n v="113417208"/>
    <n v="56"/>
    <n v="6"/>
    <n v="62"/>
    <n v="81"/>
    <n v="143"/>
    <n v="47"/>
    <n v="48"/>
    <n v="0"/>
    <n v="2"/>
    <n v="145"/>
    <n v="1277"/>
  </r>
  <r>
    <x v="4"/>
    <s v="ITA"/>
    <x v="6"/>
    <x v="6"/>
    <n v="456494354"/>
    <n v="1376813649"/>
    <n v="0"/>
    <n v="0"/>
    <n v="0"/>
    <n v="0"/>
    <n v="0"/>
    <n v="0"/>
    <n v="0"/>
    <n v="0"/>
    <n v="0"/>
    <n v="0"/>
    <n v="169"/>
  </r>
  <r>
    <x v="4"/>
    <s v="ITA"/>
    <x v="7"/>
    <x v="7"/>
    <n v="4189277044"/>
    <n v="1248366722"/>
    <n v="0"/>
    <n v="0"/>
    <n v="0"/>
    <n v="0"/>
    <n v="0"/>
    <n v="0"/>
    <n v="0"/>
    <n v="3"/>
    <n v="0"/>
    <n v="3"/>
    <n v="611"/>
  </r>
  <r>
    <x v="4"/>
    <s v="ITA"/>
    <x v="8"/>
    <x v="8"/>
    <n v="4441149315"/>
    <n v="89326992"/>
    <n v="9"/>
    <n v="0"/>
    <n v="9"/>
    <n v="10"/>
    <n v="19"/>
    <n v="0"/>
    <n v="0"/>
    <n v="0"/>
    <n v="0"/>
    <n v="19"/>
    <n v="112"/>
  </r>
  <r>
    <x v="4"/>
    <s v="ITA"/>
    <x v="9"/>
    <x v="9"/>
    <n v="4546679409"/>
    <n v="9190347404"/>
    <n v="235"/>
    <n v="47"/>
    <n v="282"/>
    <n v="192"/>
    <n v="474"/>
    <n v="125"/>
    <n v="128"/>
    <n v="40"/>
    <n v="17"/>
    <n v="531"/>
    <n v="4835"/>
  </r>
  <r>
    <x v="4"/>
    <s v="ITA"/>
    <x v="10"/>
    <x v="10"/>
    <n v="4361675973"/>
    <n v="135188753"/>
    <n v="3"/>
    <n v="2"/>
    <n v="5"/>
    <n v="1"/>
    <n v="6"/>
    <n v="3"/>
    <n v="3"/>
    <n v="0"/>
    <n v="0"/>
    <n v="6"/>
    <n v="47"/>
  </r>
  <r>
    <x v="4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4"/>
    <s v="ITA"/>
    <x v="12"/>
    <x v="12"/>
    <n v="450732745"/>
    <n v="7680687483"/>
    <n v="7"/>
    <n v="0"/>
    <n v="7"/>
    <n v="4"/>
    <n v="11"/>
    <n v="9"/>
    <n v="9"/>
    <n v="0"/>
    <n v="0"/>
    <n v="11"/>
    <n v="227"/>
  </r>
  <r>
    <x v="4"/>
    <s v="ITA"/>
    <x v="13"/>
    <x v="13"/>
    <n v="4112559576"/>
    <n v="1686736689"/>
    <n v="1"/>
    <n v="0"/>
    <n v="1"/>
    <n v="2"/>
    <n v="3"/>
    <n v="2"/>
    <n v="2"/>
    <n v="0"/>
    <n v="0"/>
    <n v="3"/>
    <n v="242"/>
  </r>
  <r>
    <x v="4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4"/>
    <s v="ITA"/>
    <x v="15"/>
    <x v="15"/>
    <n v="3811569725"/>
    <n v="133623567"/>
    <n v="1"/>
    <n v="0"/>
    <n v="1"/>
    <n v="1"/>
    <n v="2"/>
    <n v="0"/>
    <n v="0"/>
    <n v="2"/>
    <n v="0"/>
    <n v="4"/>
    <n v="5"/>
  </r>
  <r>
    <x v="4"/>
    <s v="ITA"/>
    <x v="16"/>
    <x v="16"/>
    <n v="4376923077"/>
    <n v="1125588885"/>
    <n v="5"/>
    <n v="0"/>
    <n v="5"/>
    <n v="2"/>
    <n v="7"/>
    <n v="5"/>
    <n v="6"/>
    <n v="1"/>
    <n v="0"/>
    <n v="8"/>
    <n v="437"/>
  </r>
  <r>
    <x v="4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4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4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4"/>
    <s v="ITA"/>
    <x v="19"/>
    <x v="20"/>
    <n v="4543490485"/>
    <n v="1233845213"/>
    <n v="24"/>
    <n v="9"/>
    <n v="33"/>
    <n v="116"/>
    <n v="149"/>
    <n v="40"/>
    <n v="40"/>
    <n v="0"/>
    <n v="2"/>
    <n v="151"/>
    <n v="7414"/>
  </r>
  <r>
    <x v="5"/>
    <s v="ITA"/>
    <x v="0"/>
    <x v="0"/>
    <n v="4235122196"/>
    <n v="1339843823"/>
    <n v="2"/>
    <n v="0"/>
    <n v="2"/>
    <n v="0"/>
    <n v="2"/>
    <n v="1"/>
    <n v="1"/>
    <n v="0"/>
    <n v="0"/>
    <n v="2"/>
    <n v="43"/>
  </r>
  <r>
    <x v="5"/>
    <s v="ITA"/>
    <x v="1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x v="2"/>
    <x v="2"/>
    <n v="4649933453"/>
    <n v="1135662422"/>
    <n v="1"/>
    <n v="0"/>
    <n v="1"/>
    <n v="0"/>
    <n v="1"/>
    <n v="0"/>
    <n v="0"/>
    <n v="0"/>
    <n v="0"/>
    <n v="1"/>
    <n v="16"/>
  </r>
  <r>
    <x v="5"/>
    <s v="ITA"/>
    <x v="3"/>
    <x v="3"/>
    <n v="3890597598"/>
    <n v="1659440194"/>
    <n v="0"/>
    <n v="0"/>
    <n v="0"/>
    <n v="1"/>
    <n v="1"/>
    <n v="0"/>
    <n v="0"/>
    <n v="0"/>
    <n v="0"/>
    <n v="1"/>
    <n v="27"/>
  </r>
  <r>
    <x v="5"/>
    <s v="ITA"/>
    <x v="4"/>
    <x v="4"/>
    <n v="4083956555"/>
    <n v="1425084984"/>
    <n v="3"/>
    <n v="0"/>
    <n v="3"/>
    <n v="10"/>
    <n v="13"/>
    <n v="9"/>
    <n v="9"/>
    <n v="0"/>
    <n v="0"/>
    <n v="13"/>
    <n v="373"/>
  </r>
  <r>
    <x v="5"/>
    <s v="ITA"/>
    <x v="5"/>
    <x v="5"/>
    <n v="4449436681"/>
    <n v="113417208"/>
    <n v="86"/>
    <n v="11"/>
    <n v="97"/>
    <n v="116"/>
    <n v="213"/>
    <n v="70"/>
    <n v="72"/>
    <n v="0"/>
    <n v="4"/>
    <n v="217"/>
    <n v="1550"/>
  </r>
  <r>
    <x v="5"/>
    <s v="ITA"/>
    <x v="6"/>
    <x v="6"/>
    <n v="456494354"/>
    <n v="1376813649"/>
    <n v="0"/>
    <n v="0"/>
    <n v="0"/>
    <n v="0"/>
    <n v="0"/>
    <n v="0"/>
    <n v="0"/>
    <n v="0"/>
    <n v="0"/>
    <n v="0"/>
    <n v="189"/>
  </r>
  <r>
    <x v="5"/>
    <s v="ITA"/>
    <x v="7"/>
    <x v="7"/>
    <n v="4189277044"/>
    <n v="1248366722"/>
    <n v="3"/>
    <n v="0"/>
    <n v="3"/>
    <n v="0"/>
    <n v="3"/>
    <n v="3"/>
    <n v="3"/>
    <n v="3"/>
    <n v="0"/>
    <n v="6"/>
    <n v="679"/>
  </r>
  <r>
    <x v="5"/>
    <s v="ITA"/>
    <x v="8"/>
    <x v="8"/>
    <n v="4441149315"/>
    <n v="89326992"/>
    <n v="4"/>
    <n v="1"/>
    <n v="5"/>
    <n v="33"/>
    <n v="38"/>
    <n v="19"/>
    <n v="23"/>
    <n v="4"/>
    <n v="0"/>
    <n v="42"/>
    <n v="121"/>
  </r>
  <r>
    <x v="5"/>
    <s v="ITA"/>
    <x v="9"/>
    <x v="9"/>
    <n v="4546679409"/>
    <n v="9190347404"/>
    <n v="256"/>
    <n v="80"/>
    <n v="336"/>
    <n v="216"/>
    <n v="552"/>
    <n v="78"/>
    <n v="84"/>
    <n v="40"/>
    <n v="23"/>
    <n v="615"/>
    <n v="5723"/>
  </r>
  <r>
    <x v="5"/>
    <s v="ITA"/>
    <x v="10"/>
    <x v="10"/>
    <n v="4361675973"/>
    <n v="135188753"/>
    <n v="6"/>
    <n v="2"/>
    <n v="8"/>
    <n v="3"/>
    <n v="11"/>
    <n v="5"/>
    <n v="5"/>
    <n v="0"/>
    <n v="0"/>
    <n v="11"/>
    <n v="68"/>
  </r>
  <r>
    <x v="5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5"/>
    <s v="ITA"/>
    <x v="12"/>
    <x v="12"/>
    <n v="450732745"/>
    <n v="7680687483"/>
    <n v="7"/>
    <n v="0"/>
    <n v="7"/>
    <n v="4"/>
    <n v="11"/>
    <n v="0"/>
    <n v="0"/>
    <n v="0"/>
    <n v="0"/>
    <n v="11"/>
    <n v="308"/>
  </r>
  <r>
    <x v="5"/>
    <s v="ITA"/>
    <x v="13"/>
    <x v="13"/>
    <n v="4112559576"/>
    <n v="1686736689"/>
    <n v="1"/>
    <n v="0"/>
    <n v="1"/>
    <n v="2"/>
    <n v="3"/>
    <n v="0"/>
    <n v="0"/>
    <n v="0"/>
    <n v="0"/>
    <n v="3"/>
    <n v="252"/>
  </r>
  <r>
    <x v="5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5"/>
    <s v="ITA"/>
    <x v="15"/>
    <x v="15"/>
    <n v="3811569725"/>
    <n v="133623567"/>
    <n v="1"/>
    <n v="0"/>
    <n v="1"/>
    <n v="1"/>
    <n v="2"/>
    <n v="0"/>
    <n v="0"/>
    <n v="2"/>
    <n v="0"/>
    <n v="4"/>
    <n v="6"/>
  </r>
  <r>
    <x v="5"/>
    <s v="ITA"/>
    <x v="16"/>
    <x v="16"/>
    <n v="4376923077"/>
    <n v="1125588885"/>
    <n v="7"/>
    <n v="0"/>
    <n v="7"/>
    <n v="3"/>
    <n v="10"/>
    <n v="3"/>
    <n v="3"/>
    <n v="1"/>
    <n v="0"/>
    <n v="11"/>
    <n v="531"/>
  </r>
  <r>
    <x v="5"/>
    <s v="ITA"/>
    <x v="2"/>
    <x v="17"/>
    <n v="4606893511"/>
    <n v="1112123097"/>
    <n v="0"/>
    <n v="0"/>
    <n v="0"/>
    <n v="0"/>
    <n v="0"/>
    <n v="0"/>
    <n v="0"/>
    <n v="0"/>
    <n v="0"/>
    <n v="0"/>
    <n v="43"/>
  </r>
  <r>
    <x v="5"/>
    <s v="ITA"/>
    <x v="17"/>
    <x v="18"/>
    <n v="4310675841"/>
    <n v="1238824698"/>
    <n v="0"/>
    <n v="0"/>
    <n v="0"/>
    <n v="0"/>
    <n v="0"/>
    <n v="0"/>
    <n v="0"/>
    <n v="0"/>
    <n v="0"/>
    <n v="0"/>
    <n v="31"/>
  </r>
  <r>
    <x v="5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5"/>
    <s v="ITA"/>
    <x v="19"/>
    <x v="20"/>
    <n v="4543490485"/>
    <n v="1233845213"/>
    <n v="24"/>
    <n v="11"/>
    <n v="35"/>
    <n v="154"/>
    <n v="189"/>
    <n v="40"/>
    <n v="40"/>
    <n v="0"/>
    <n v="2"/>
    <n v="191"/>
    <n v="8659"/>
  </r>
  <r>
    <x v="6"/>
    <s v="ITA"/>
    <x v="0"/>
    <x v="0"/>
    <n v="4235122196"/>
    <n v="1339843823"/>
    <n v="3"/>
    <n v="0"/>
    <n v="3"/>
    <n v="2"/>
    <n v="5"/>
    <n v="3"/>
    <n v="3"/>
    <n v="0"/>
    <n v="0"/>
    <n v="5"/>
    <n v="52"/>
  </r>
  <r>
    <x v="6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6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6"/>
    <s v="ITA"/>
    <x v="3"/>
    <x v="3"/>
    <n v="3890597598"/>
    <n v="1659440194"/>
    <n v="0"/>
    <n v="0"/>
    <n v="0"/>
    <n v="1"/>
    <n v="1"/>
    <n v="0"/>
    <n v="0"/>
    <n v="0"/>
    <n v="0"/>
    <n v="1"/>
    <n v="35"/>
  </r>
  <r>
    <x v="6"/>
    <s v="ITA"/>
    <x v="4"/>
    <x v="4"/>
    <n v="4083956555"/>
    <n v="1425084984"/>
    <n v="4"/>
    <n v="0"/>
    <n v="4"/>
    <n v="13"/>
    <n v="17"/>
    <n v="4"/>
    <n v="4"/>
    <n v="0"/>
    <n v="0"/>
    <n v="17"/>
    <n v="373"/>
  </r>
  <r>
    <x v="6"/>
    <s v="ITA"/>
    <x v="5"/>
    <x v="5"/>
    <n v="4449436681"/>
    <n v="113417208"/>
    <n v="127"/>
    <n v="13"/>
    <n v="140"/>
    <n v="137"/>
    <n v="277"/>
    <n v="64"/>
    <n v="68"/>
    <n v="0"/>
    <n v="8"/>
    <n v="285"/>
    <n v="1795"/>
  </r>
  <r>
    <x v="6"/>
    <s v="ITA"/>
    <x v="6"/>
    <x v="6"/>
    <n v="456494354"/>
    <n v="1376813649"/>
    <n v="0"/>
    <n v="0"/>
    <n v="0"/>
    <n v="6"/>
    <n v="6"/>
    <n v="6"/>
    <n v="6"/>
    <n v="0"/>
    <n v="0"/>
    <n v="6"/>
    <n v="243"/>
  </r>
  <r>
    <x v="6"/>
    <s v="ITA"/>
    <x v="7"/>
    <x v="7"/>
    <n v="4189277044"/>
    <n v="1248366722"/>
    <n v="3"/>
    <n v="0"/>
    <n v="3"/>
    <n v="0"/>
    <n v="3"/>
    <n v="0"/>
    <n v="0"/>
    <n v="3"/>
    <n v="0"/>
    <n v="6"/>
    <n v="724"/>
  </r>
  <r>
    <x v="6"/>
    <s v="ITA"/>
    <x v="8"/>
    <x v="8"/>
    <n v="4441149315"/>
    <n v="89326992"/>
    <n v="12"/>
    <n v="1"/>
    <n v="13"/>
    <n v="8"/>
    <n v="21"/>
    <n v="-17"/>
    <n v="-17"/>
    <n v="4"/>
    <n v="0"/>
    <n v="25"/>
    <n v="121"/>
  </r>
  <r>
    <x v="6"/>
    <s v="ITA"/>
    <x v="9"/>
    <x v="9"/>
    <n v="4546679409"/>
    <n v="9190347404"/>
    <n v="406"/>
    <n v="106"/>
    <n v="512"/>
    <n v="375"/>
    <n v="887"/>
    <n v="335"/>
    <n v="369"/>
    <n v="73"/>
    <n v="24"/>
    <n v="984"/>
    <n v="6879"/>
  </r>
  <r>
    <x v="6"/>
    <s v="ITA"/>
    <x v="10"/>
    <x v="10"/>
    <n v="4361675973"/>
    <n v="135188753"/>
    <n v="12"/>
    <n v="5"/>
    <n v="17"/>
    <n v="8"/>
    <n v="25"/>
    <n v="14"/>
    <n v="14"/>
    <n v="0"/>
    <n v="0"/>
    <n v="25"/>
    <n v="101"/>
  </r>
  <r>
    <x v="6"/>
    <s v="ITA"/>
    <x v="11"/>
    <x v="11"/>
    <n v="4155774754"/>
    <n v="1465916051"/>
    <n v="0"/>
    <n v="0"/>
    <n v="0"/>
    <n v="0"/>
    <n v="0"/>
    <n v="0"/>
    <n v="0"/>
    <n v="0"/>
    <n v="0"/>
    <n v="0"/>
    <n v="6"/>
  </r>
  <r>
    <x v="6"/>
    <s v="ITA"/>
    <x v="12"/>
    <x v="12"/>
    <n v="450732745"/>
    <n v="7680687483"/>
    <n v="11"/>
    <n v="2"/>
    <n v="13"/>
    <n v="36"/>
    <n v="49"/>
    <n v="38"/>
    <n v="38"/>
    <n v="0"/>
    <n v="0"/>
    <n v="49"/>
    <n v="362"/>
  </r>
  <r>
    <x v="6"/>
    <s v="ITA"/>
    <x v="13"/>
    <x v="13"/>
    <n v="4112559576"/>
    <n v="1686736689"/>
    <n v="1"/>
    <n v="0"/>
    <n v="1"/>
    <n v="2"/>
    <n v="3"/>
    <n v="0"/>
    <n v="0"/>
    <n v="0"/>
    <n v="0"/>
    <n v="3"/>
    <n v="262"/>
  </r>
  <r>
    <x v="6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6"/>
    <s v="ITA"/>
    <x v="15"/>
    <x v="15"/>
    <n v="3811569725"/>
    <n v="133623567"/>
    <n v="1"/>
    <n v="0"/>
    <n v="1"/>
    <n v="6"/>
    <n v="7"/>
    <n v="5"/>
    <n v="5"/>
    <n v="2"/>
    <n v="0"/>
    <n v="9"/>
    <n v="291"/>
  </r>
  <r>
    <x v="6"/>
    <s v="ITA"/>
    <x v="16"/>
    <x v="16"/>
    <n v="4376923077"/>
    <n v="1125588885"/>
    <n v="7"/>
    <n v="0"/>
    <n v="7"/>
    <n v="5"/>
    <n v="12"/>
    <n v="2"/>
    <n v="2"/>
    <n v="1"/>
    <n v="0"/>
    <n v="13"/>
    <n v="572"/>
  </r>
  <r>
    <x v="6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6"/>
    <s v="ITA"/>
    <x v="17"/>
    <x v="18"/>
    <n v="4310675841"/>
    <n v="1238824698"/>
    <n v="0"/>
    <n v="0"/>
    <n v="0"/>
    <n v="2"/>
    <n v="2"/>
    <n v="2"/>
    <n v="2"/>
    <n v="0"/>
    <n v="0"/>
    <n v="2"/>
    <n v="35"/>
  </r>
  <r>
    <x v="6"/>
    <s v="ITA"/>
    <x v="18"/>
    <x v="19"/>
    <n v="4573750286"/>
    <n v="7320149366"/>
    <n v="0"/>
    <n v="0"/>
    <n v="0"/>
    <n v="0"/>
    <n v="0"/>
    <n v="0"/>
    <n v="0"/>
    <n v="0"/>
    <n v="0"/>
    <n v="0"/>
    <n v="10"/>
  </r>
  <r>
    <x v="6"/>
    <s v="ITA"/>
    <x v="19"/>
    <x v="20"/>
    <n v="4543490485"/>
    <n v="1233845213"/>
    <n v="51"/>
    <n v="13"/>
    <n v="64"/>
    <n v="197"/>
    <n v="261"/>
    <n v="72"/>
    <n v="72"/>
    <n v="0"/>
    <n v="2"/>
    <n v="263"/>
    <n v="9056"/>
  </r>
  <r>
    <x v="7"/>
    <s v="ITA"/>
    <x v="0"/>
    <x v="0"/>
    <n v="4235122196"/>
    <n v="1339843823"/>
    <n v="3"/>
    <n v="0"/>
    <n v="3"/>
    <n v="2"/>
    <n v="5"/>
    <n v="0"/>
    <n v="0"/>
    <n v="0"/>
    <n v="0"/>
    <n v="5"/>
    <n v="52"/>
  </r>
  <r>
    <x v="7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7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7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7"/>
    <s v="ITA"/>
    <x v="4"/>
    <x v="4"/>
    <n v="4083956555"/>
    <n v="1425084984"/>
    <n v="4"/>
    <n v="0"/>
    <n v="4"/>
    <n v="13"/>
    <n v="17"/>
    <n v="0"/>
    <n v="0"/>
    <n v="0"/>
    <n v="0"/>
    <n v="17"/>
    <n v="373"/>
  </r>
  <r>
    <x v="7"/>
    <s v="ITA"/>
    <x v="5"/>
    <x v="5"/>
    <n v="4449436681"/>
    <n v="113417208"/>
    <n v="148"/>
    <n v="16"/>
    <n v="164"/>
    <n v="160"/>
    <n v="324"/>
    <n v="47"/>
    <n v="50"/>
    <n v="0"/>
    <n v="11"/>
    <n v="335"/>
    <n v="1973"/>
  </r>
  <r>
    <x v="7"/>
    <s v="ITA"/>
    <x v="6"/>
    <x v="6"/>
    <n v="456494354"/>
    <n v="1376813649"/>
    <n v="0"/>
    <n v="0"/>
    <n v="0"/>
    <n v="9"/>
    <n v="9"/>
    <n v="3"/>
    <n v="3"/>
    <n v="0"/>
    <n v="0"/>
    <n v="9"/>
    <n v="269"/>
  </r>
  <r>
    <x v="7"/>
    <s v="ITA"/>
    <x v="7"/>
    <x v="7"/>
    <n v="4189277044"/>
    <n v="1248366722"/>
    <n v="3"/>
    <n v="0"/>
    <n v="3"/>
    <n v="1"/>
    <n v="4"/>
    <n v="1"/>
    <n v="1"/>
    <n v="3"/>
    <n v="0"/>
    <n v="7"/>
    <n v="773"/>
  </r>
  <r>
    <x v="7"/>
    <s v="ITA"/>
    <x v="8"/>
    <x v="8"/>
    <n v="4441149315"/>
    <n v="89326992"/>
    <n v="12"/>
    <n v="1"/>
    <n v="13"/>
    <n v="5"/>
    <n v="18"/>
    <n v="-3"/>
    <n v="-3"/>
    <n v="4"/>
    <n v="0"/>
    <n v="22"/>
    <n v="121"/>
  </r>
  <r>
    <x v="7"/>
    <s v="ITA"/>
    <x v="9"/>
    <x v="9"/>
    <n v="4546679409"/>
    <n v="9190347404"/>
    <n v="478"/>
    <n v="127"/>
    <n v="605"/>
    <n v="472"/>
    <n v="1077"/>
    <n v="190"/>
    <n v="270"/>
    <n v="139"/>
    <n v="38"/>
    <n v="1254"/>
    <n v="7925"/>
  </r>
  <r>
    <x v="7"/>
    <s v="ITA"/>
    <x v="10"/>
    <x v="10"/>
    <n v="4361675973"/>
    <n v="135188753"/>
    <n v="17"/>
    <n v="6"/>
    <n v="23"/>
    <n v="11"/>
    <n v="34"/>
    <n v="9"/>
    <n v="10"/>
    <n v="0"/>
    <n v="1"/>
    <n v="35"/>
    <n v="137"/>
  </r>
  <r>
    <x v="7"/>
    <s v="ITA"/>
    <x v="11"/>
    <x v="11"/>
    <n v="4155774754"/>
    <n v="1465916051"/>
    <n v="0"/>
    <n v="0"/>
    <n v="0"/>
    <n v="0"/>
    <n v="0"/>
    <n v="0"/>
    <n v="0"/>
    <n v="0"/>
    <n v="0"/>
    <n v="0"/>
    <n v="13"/>
  </r>
  <r>
    <x v="7"/>
    <s v="ITA"/>
    <x v="12"/>
    <x v="12"/>
    <n v="450732745"/>
    <n v="7680687483"/>
    <n v="12"/>
    <n v="2"/>
    <n v="14"/>
    <n v="37"/>
    <n v="51"/>
    <n v="2"/>
    <n v="2"/>
    <n v="0"/>
    <n v="0"/>
    <n v="51"/>
    <n v="434"/>
  </r>
  <r>
    <x v="7"/>
    <s v="ITA"/>
    <x v="13"/>
    <x v="13"/>
    <n v="4112559576"/>
    <n v="1686736689"/>
    <n v="2"/>
    <n v="0"/>
    <n v="2"/>
    <n v="2"/>
    <n v="4"/>
    <n v="1"/>
    <n v="1"/>
    <n v="0"/>
    <n v="0"/>
    <n v="4"/>
    <n v="278"/>
  </r>
  <r>
    <x v="7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7"/>
    <s v="ITA"/>
    <x v="15"/>
    <x v="15"/>
    <n v="3811569725"/>
    <n v="133623567"/>
    <n v="2"/>
    <n v="0"/>
    <n v="2"/>
    <n v="3"/>
    <n v="5"/>
    <n v="-2"/>
    <n v="-2"/>
    <n v="2"/>
    <n v="0"/>
    <n v="7"/>
    <n v="307"/>
  </r>
  <r>
    <x v="7"/>
    <s v="ITA"/>
    <x v="16"/>
    <x v="16"/>
    <n v="4376923077"/>
    <n v="1125588885"/>
    <n v="7"/>
    <n v="0"/>
    <n v="7"/>
    <n v="5"/>
    <n v="12"/>
    <n v="0"/>
    <n v="0"/>
    <n v="1"/>
    <n v="0"/>
    <n v="13"/>
    <n v="613"/>
  </r>
  <r>
    <x v="7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7"/>
    <s v="ITA"/>
    <x v="17"/>
    <x v="18"/>
    <n v="4310675841"/>
    <n v="1238824698"/>
    <n v="0"/>
    <n v="0"/>
    <n v="0"/>
    <n v="2"/>
    <n v="2"/>
    <n v="0"/>
    <n v="0"/>
    <n v="0"/>
    <n v="0"/>
    <n v="2"/>
    <n v="35"/>
  </r>
  <r>
    <x v="7"/>
    <s v="ITA"/>
    <x v="18"/>
    <x v="19"/>
    <n v="4573750286"/>
    <n v="7320149366"/>
    <n v="0"/>
    <n v="0"/>
    <n v="0"/>
    <n v="0"/>
    <n v="0"/>
    <n v="0"/>
    <n v="0"/>
    <n v="0"/>
    <n v="0"/>
    <n v="0"/>
    <n v="11"/>
  </r>
  <r>
    <x v="7"/>
    <s v="ITA"/>
    <x v="19"/>
    <x v="20"/>
    <n v="4543490485"/>
    <n v="1233845213"/>
    <n v="53"/>
    <n v="14"/>
    <n v="67"/>
    <n v="204"/>
    <n v="271"/>
    <n v="10"/>
    <n v="10"/>
    <n v="0"/>
    <n v="2"/>
    <n v="273"/>
    <n v="9782"/>
  </r>
  <r>
    <x v="8"/>
    <s v="ITA"/>
    <x v="0"/>
    <x v="0"/>
    <n v="4235122196"/>
    <n v="1339843823"/>
    <n v="5"/>
    <n v="0"/>
    <n v="5"/>
    <n v="1"/>
    <n v="6"/>
    <n v="1"/>
    <n v="1"/>
    <n v="0"/>
    <n v="0"/>
    <n v="6"/>
    <n v="52"/>
  </r>
  <r>
    <x v="8"/>
    <s v="ITA"/>
    <x v="1"/>
    <x v="1"/>
    <n v="4063947052"/>
    <n v="1580514834"/>
    <n v="0"/>
    <n v="0"/>
    <n v="0"/>
    <n v="1"/>
    <n v="1"/>
    <n v="1"/>
    <n v="1"/>
    <n v="0"/>
    <n v="0"/>
    <n v="1"/>
    <n v="42"/>
  </r>
  <r>
    <x v="8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8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8"/>
    <s v="ITA"/>
    <x v="4"/>
    <x v="4"/>
    <n v="4083956555"/>
    <n v="1425084984"/>
    <n v="11"/>
    <n v="0"/>
    <n v="11"/>
    <n v="19"/>
    <n v="30"/>
    <n v="13"/>
    <n v="13"/>
    <n v="0"/>
    <n v="0"/>
    <n v="30"/>
    <n v="405"/>
  </r>
  <r>
    <x v="8"/>
    <s v="ITA"/>
    <x v="5"/>
    <x v="5"/>
    <n v="4449436681"/>
    <n v="113417208"/>
    <n v="187"/>
    <n v="24"/>
    <n v="211"/>
    <n v="187"/>
    <n v="398"/>
    <n v="74"/>
    <n v="85"/>
    <n v="4"/>
    <n v="18"/>
    <n v="420"/>
    <n v="2012"/>
  </r>
  <r>
    <x v="8"/>
    <s v="ITA"/>
    <x v="6"/>
    <x v="6"/>
    <n v="456494354"/>
    <n v="1376813649"/>
    <n v="1"/>
    <n v="0"/>
    <n v="1"/>
    <n v="12"/>
    <n v="13"/>
    <n v="4"/>
    <n v="4"/>
    <n v="0"/>
    <n v="0"/>
    <n v="13"/>
    <n v="354"/>
  </r>
  <r>
    <x v="8"/>
    <s v="ITA"/>
    <x v="7"/>
    <x v="7"/>
    <n v="4189277044"/>
    <n v="1248366722"/>
    <n v="10"/>
    <n v="0"/>
    <n v="10"/>
    <n v="1"/>
    <n v="11"/>
    <n v="7"/>
    <n v="7"/>
    <n v="3"/>
    <n v="0"/>
    <n v="14"/>
    <n v="877"/>
  </r>
  <r>
    <x v="8"/>
    <s v="ITA"/>
    <x v="8"/>
    <x v="8"/>
    <n v="4441149315"/>
    <n v="89326992"/>
    <n v="12"/>
    <n v="2"/>
    <n v="14"/>
    <n v="5"/>
    <n v="19"/>
    <n v="1"/>
    <n v="2"/>
    <n v="4"/>
    <n v="1"/>
    <n v="24"/>
    <n v="121"/>
  </r>
  <r>
    <x v="8"/>
    <s v="ITA"/>
    <x v="9"/>
    <x v="9"/>
    <n v="4546679409"/>
    <n v="9190347404"/>
    <n v="698"/>
    <n v="167"/>
    <n v="865"/>
    <n v="461"/>
    <n v="1326"/>
    <n v="249"/>
    <n v="266"/>
    <n v="139"/>
    <n v="55"/>
    <n v="1520"/>
    <n v="9577"/>
  </r>
  <r>
    <x v="8"/>
    <s v="ITA"/>
    <x v="10"/>
    <x v="10"/>
    <n v="4361675973"/>
    <n v="135188753"/>
    <n v="27"/>
    <n v="13"/>
    <n v="40"/>
    <n v="19"/>
    <n v="59"/>
    <n v="25"/>
    <n v="26"/>
    <n v="0"/>
    <n v="2"/>
    <n v="61"/>
    <n v="200"/>
  </r>
  <r>
    <x v="8"/>
    <s v="ITA"/>
    <x v="11"/>
    <x v="11"/>
    <n v="4155774754"/>
    <n v="1465916051"/>
    <n v="3"/>
    <n v="0"/>
    <n v="3"/>
    <n v="0"/>
    <n v="3"/>
    <n v="3"/>
    <n v="3"/>
    <n v="0"/>
    <n v="0"/>
    <n v="3"/>
    <n v="13"/>
  </r>
  <r>
    <x v="8"/>
    <s v="ITA"/>
    <x v="12"/>
    <x v="12"/>
    <n v="450732745"/>
    <n v="7680687483"/>
    <n v="13"/>
    <n v="3"/>
    <n v="16"/>
    <n v="40"/>
    <n v="56"/>
    <n v="5"/>
    <n v="5"/>
    <n v="0"/>
    <n v="0"/>
    <n v="56"/>
    <n v="458"/>
  </r>
  <r>
    <x v="8"/>
    <s v="ITA"/>
    <x v="13"/>
    <x v="13"/>
    <n v="4112559576"/>
    <n v="1686736689"/>
    <n v="2"/>
    <n v="0"/>
    <n v="2"/>
    <n v="4"/>
    <n v="6"/>
    <n v="2"/>
    <n v="2"/>
    <n v="0"/>
    <n v="0"/>
    <n v="6"/>
    <n v="298"/>
  </r>
  <r>
    <x v="8"/>
    <s v="ITA"/>
    <x v="14"/>
    <x v="14"/>
    <n v="3921531192"/>
    <n v="9110616306"/>
    <n v="1"/>
    <n v="0"/>
    <n v="1"/>
    <n v="0"/>
    <n v="1"/>
    <n v="1"/>
    <n v="1"/>
    <n v="0"/>
    <n v="0"/>
    <n v="1"/>
    <n v="29"/>
  </r>
  <r>
    <x v="8"/>
    <s v="ITA"/>
    <x v="15"/>
    <x v="15"/>
    <n v="3811569725"/>
    <n v="133623567"/>
    <n v="2"/>
    <n v="0"/>
    <n v="2"/>
    <n v="3"/>
    <n v="5"/>
    <n v="0"/>
    <n v="0"/>
    <n v="2"/>
    <n v="0"/>
    <n v="7"/>
    <n v="307"/>
  </r>
  <r>
    <x v="8"/>
    <s v="ITA"/>
    <x v="16"/>
    <x v="16"/>
    <n v="4376923077"/>
    <n v="1125588885"/>
    <n v="10"/>
    <n v="0"/>
    <n v="10"/>
    <n v="8"/>
    <n v="18"/>
    <n v="6"/>
    <n v="6"/>
    <n v="1"/>
    <n v="0"/>
    <n v="19"/>
    <n v="697"/>
  </r>
  <r>
    <x v="8"/>
    <s v="ITA"/>
    <x v="2"/>
    <x v="17"/>
    <n v="4606893511"/>
    <n v="1112123097"/>
    <n v="1"/>
    <n v="0"/>
    <n v="1"/>
    <n v="3"/>
    <n v="4"/>
    <n v="4"/>
    <n v="4"/>
    <n v="0"/>
    <n v="0"/>
    <n v="4"/>
    <n v="122"/>
  </r>
  <r>
    <x v="8"/>
    <s v="ITA"/>
    <x v="17"/>
    <x v="18"/>
    <n v="4310675841"/>
    <n v="1238824698"/>
    <n v="1"/>
    <n v="1"/>
    <n v="2"/>
    <n v="6"/>
    <n v="8"/>
    <n v="6"/>
    <n v="6"/>
    <n v="0"/>
    <n v="0"/>
    <n v="8"/>
    <n v="45"/>
  </r>
  <r>
    <x v="8"/>
    <s v="ITA"/>
    <x v="18"/>
    <x v="19"/>
    <n v="4573750286"/>
    <n v="7320149366"/>
    <n v="0"/>
    <n v="0"/>
    <n v="0"/>
    <n v="0"/>
    <n v="0"/>
    <n v="0"/>
    <n v="0"/>
    <n v="0"/>
    <n v="0"/>
    <n v="0"/>
    <n v="12"/>
  </r>
  <r>
    <x v="8"/>
    <s v="ITA"/>
    <x v="19"/>
    <x v="20"/>
    <n v="4543490485"/>
    <n v="1233845213"/>
    <n v="49"/>
    <n v="19"/>
    <n v="68"/>
    <n v="229"/>
    <n v="297"/>
    <n v="26"/>
    <n v="34"/>
    <n v="7"/>
    <n v="3"/>
    <n v="307"/>
    <n v="10176"/>
  </r>
  <r>
    <x v="9"/>
    <s v="ITA"/>
    <x v="0"/>
    <x v="0"/>
    <n v="4235122196"/>
    <n v="1339843823"/>
    <n v="7"/>
    <n v="0"/>
    <n v="7"/>
    <n v="0"/>
    <n v="7"/>
    <n v="1"/>
    <n v="1"/>
    <n v="0"/>
    <n v="0"/>
    <n v="7"/>
    <n v="85"/>
  </r>
  <r>
    <x v="9"/>
    <s v="ITA"/>
    <x v="1"/>
    <x v="1"/>
    <n v="4063947052"/>
    <n v="1580514834"/>
    <n v="0"/>
    <n v="0"/>
    <n v="0"/>
    <n v="1"/>
    <n v="1"/>
    <n v="0"/>
    <n v="0"/>
    <n v="0"/>
    <n v="0"/>
    <n v="1"/>
    <n v="48"/>
  </r>
  <r>
    <x v="9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9"/>
    <s v="ITA"/>
    <x v="3"/>
    <x v="3"/>
    <n v="3890597598"/>
    <n v="1659440194"/>
    <n v="0"/>
    <n v="0"/>
    <n v="0"/>
    <n v="1"/>
    <n v="1"/>
    <n v="0"/>
    <n v="0"/>
    <n v="0"/>
    <n v="0"/>
    <n v="1"/>
    <n v="46"/>
  </r>
  <r>
    <x v="9"/>
    <s v="ITA"/>
    <x v="4"/>
    <x v="4"/>
    <n v="4083956555"/>
    <n v="1425084984"/>
    <n v="11"/>
    <n v="0"/>
    <n v="11"/>
    <n v="20"/>
    <n v="31"/>
    <n v="1"/>
    <n v="1"/>
    <n v="0"/>
    <n v="0"/>
    <n v="31"/>
    <n v="429"/>
  </r>
  <r>
    <x v="9"/>
    <s v="ITA"/>
    <x v="5"/>
    <x v="5"/>
    <n v="4449436681"/>
    <n v="113417208"/>
    <n v="256"/>
    <n v="26"/>
    <n v="282"/>
    <n v="234"/>
    <n v="516"/>
    <n v="118"/>
    <n v="124"/>
    <n v="6"/>
    <n v="22"/>
    <n v="544"/>
    <n v="2500"/>
  </r>
  <r>
    <x v="9"/>
    <s v="ITA"/>
    <x v="6"/>
    <x v="6"/>
    <n v="456494354"/>
    <n v="1376813649"/>
    <n v="3"/>
    <n v="0"/>
    <n v="3"/>
    <n v="15"/>
    <n v="18"/>
    <n v="5"/>
    <n v="5"/>
    <n v="0"/>
    <n v="0"/>
    <n v="18"/>
    <n v="376"/>
  </r>
  <r>
    <x v="9"/>
    <s v="ITA"/>
    <x v="7"/>
    <x v="7"/>
    <n v="4189277044"/>
    <n v="1248366722"/>
    <n v="15"/>
    <n v="3"/>
    <n v="18"/>
    <n v="9"/>
    <n v="27"/>
    <n v="16"/>
    <n v="16"/>
    <n v="3"/>
    <n v="0"/>
    <n v="30"/>
    <n v="995"/>
  </r>
  <r>
    <x v="9"/>
    <s v="ITA"/>
    <x v="8"/>
    <x v="8"/>
    <n v="4441149315"/>
    <n v="89326992"/>
    <n v="10"/>
    <n v="3"/>
    <n v="13"/>
    <n v="8"/>
    <n v="21"/>
    <n v="2"/>
    <n v="2"/>
    <n v="4"/>
    <n v="1"/>
    <n v="26"/>
    <n v="133"/>
  </r>
  <r>
    <x v="9"/>
    <s v="ITA"/>
    <x v="9"/>
    <x v="9"/>
    <n v="4546679409"/>
    <n v="9190347404"/>
    <n v="877"/>
    <n v="209"/>
    <n v="1086"/>
    <n v="411"/>
    <n v="1497"/>
    <n v="171"/>
    <n v="300"/>
    <n v="250"/>
    <n v="73"/>
    <n v="1820"/>
    <n v="12138"/>
  </r>
  <r>
    <x v="9"/>
    <s v="ITA"/>
    <x v="10"/>
    <x v="10"/>
    <n v="4361675973"/>
    <n v="135188753"/>
    <n v="34"/>
    <n v="15"/>
    <n v="49"/>
    <n v="31"/>
    <n v="80"/>
    <n v="21"/>
    <n v="23"/>
    <n v="0"/>
    <n v="4"/>
    <n v="84"/>
    <n v="288"/>
  </r>
  <r>
    <x v="9"/>
    <s v="ITA"/>
    <x v="11"/>
    <x v="11"/>
    <n v="4155774754"/>
    <n v="1465916051"/>
    <n v="3"/>
    <n v="0"/>
    <n v="3"/>
    <n v="0"/>
    <n v="3"/>
    <n v="0"/>
    <n v="0"/>
    <n v="0"/>
    <n v="0"/>
    <n v="3"/>
    <n v="19"/>
  </r>
  <r>
    <x v="9"/>
    <s v="ITA"/>
    <x v="12"/>
    <x v="12"/>
    <n v="450732745"/>
    <n v="7680687483"/>
    <n v="26"/>
    <n v="13"/>
    <n v="39"/>
    <n v="43"/>
    <n v="82"/>
    <n v="26"/>
    <n v="26"/>
    <n v="0"/>
    <n v="0"/>
    <n v="82"/>
    <n v="543"/>
  </r>
  <r>
    <x v="9"/>
    <s v="ITA"/>
    <x v="13"/>
    <x v="13"/>
    <n v="4112559576"/>
    <n v="1686736689"/>
    <n v="4"/>
    <n v="0"/>
    <n v="4"/>
    <n v="3"/>
    <n v="7"/>
    <n v="1"/>
    <n v="3"/>
    <n v="1"/>
    <n v="1"/>
    <n v="9"/>
    <n v="322"/>
  </r>
  <r>
    <x v="9"/>
    <s v="ITA"/>
    <x v="14"/>
    <x v="14"/>
    <n v="3921531192"/>
    <n v="9110616306"/>
    <n v="1"/>
    <n v="0"/>
    <n v="1"/>
    <n v="1"/>
    <n v="2"/>
    <n v="1"/>
    <n v="1"/>
    <n v="0"/>
    <n v="0"/>
    <n v="2"/>
    <n v="42"/>
  </r>
  <r>
    <x v="9"/>
    <s v="ITA"/>
    <x v="15"/>
    <x v="15"/>
    <n v="3811569725"/>
    <n v="133623567"/>
    <n v="5"/>
    <n v="0"/>
    <n v="5"/>
    <n v="11"/>
    <n v="16"/>
    <n v="11"/>
    <n v="11"/>
    <n v="2"/>
    <n v="0"/>
    <n v="18"/>
    <n v="367"/>
  </r>
  <r>
    <x v="9"/>
    <s v="ITA"/>
    <x v="16"/>
    <x v="16"/>
    <n v="4376923077"/>
    <n v="1125588885"/>
    <n v="15"/>
    <n v="2"/>
    <n v="17"/>
    <n v="20"/>
    <n v="37"/>
    <n v="19"/>
    <n v="19"/>
    <n v="1"/>
    <n v="0"/>
    <n v="38"/>
    <n v="776"/>
  </r>
  <r>
    <x v="9"/>
    <s v="ITA"/>
    <x v="2"/>
    <x v="17"/>
    <n v="4606893511"/>
    <n v="1112123097"/>
    <n v="1"/>
    <n v="0"/>
    <n v="1"/>
    <n v="4"/>
    <n v="5"/>
    <n v="1"/>
    <n v="1"/>
    <n v="0"/>
    <n v="0"/>
    <n v="5"/>
    <n v="122"/>
  </r>
  <r>
    <x v="9"/>
    <s v="ITA"/>
    <x v="17"/>
    <x v="18"/>
    <n v="4310675841"/>
    <n v="1238824698"/>
    <n v="1"/>
    <n v="1"/>
    <n v="2"/>
    <n v="7"/>
    <n v="9"/>
    <n v="1"/>
    <n v="1"/>
    <n v="0"/>
    <n v="0"/>
    <n v="9"/>
    <n v="58"/>
  </r>
  <r>
    <x v="9"/>
    <s v="ITA"/>
    <x v="18"/>
    <x v="19"/>
    <n v="4573750286"/>
    <n v="7320149366"/>
    <n v="0"/>
    <n v="0"/>
    <n v="0"/>
    <n v="0"/>
    <n v="0"/>
    <n v="0"/>
    <n v="0"/>
    <n v="0"/>
    <n v="0"/>
    <n v="0"/>
    <n v="15"/>
  </r>
  <r>
    <x v="9"/>
    <s v="ITA"/>
    <x v="19"/>
    <x v="20"/>
    <n v="4543490485"/>
    <n v="1233845213"/>
    <n v="76"/>
    <n v="23"/>
    <n v="99"/>
    <n v="246"/>
    <n v="345"/>
    <n v="48"/>
    <n v="53"/>
    <n v="9"/>
    <n v="6"/>
    <n v="360"/>
    <n v="10515"/>
  </r>
  <r>
    <x v="10"/>
    <s v="ITA"/>
    <x v="0"/>
    <x v="0"/>
    <n v="4235122196"/>
    <n v="1339843823"/>
    <n v="8"/>
    <n v="0"/>
    <n v="8"/>
    <n v="0"/>
    <n v="8"/>
    <n v="1"/>
    <n v="1"/>
    <n v="0"/>
    <n v="0"/>
    <n v="8"/>
    <n v="96"/>
  </r>
  <r>
    <x v="10"/>
    <s v="ITA"/>
    <x v="1"/>
    <x v="1"/>
    <n v="4063947052"/>
    <n v="1580514834"/>
    <n v="0"/>
    <n v="0"/>
    <n v="0"/>
    <n v="1"/>
    <n v="1"/>
    <n v="0"/>
    <n v="0"/>
    <n v="0"/>
    <n v="0"/>
    <n v="1"/>
    <n v="54"/>
  </r>
  <r>
    <x v="10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10"/>
    <s v="ITA"/>
    <x v="3"/>
    <x v="3"/>
    <n v="3890597598"/>
    <n v="1659440194"/>
    <n v="1"/>
    <n v="0"/>
    <n v="1"/>
    <n v="1"/>
    <n v="2"/>
    <n v="1"/>
    <n v="1"/>
    <n v="0"/>
    <n v="0"/>
    <n v="2"/>
    <n v="53"/>
  </r>
  <r>
    <x v="10"/>
    <s v="ITA"/>
    <x v="4"/>
    <x v="4"/>
    <n v="4083956555"/>
    <n v="1425084984"/>
    <n v="12"/>
    <n v="0"/>
    <n v="12"/>
    <n v="33"/>
    <n v="45"/>
    <n v="14"/>
    <n v="14"/>
    <n v="0"/>
    <n v="0"/>
    <n v="45"/>
    <n v="471"/>
  </r>
  <r>
    <x v="10"/>
    <s v="ITA"/>
    <x v="5"/>
    <x v="5"/>
    <n v="4449436681"/>
    <n v="113417208"/>
    <n v="327"/>
    <n v="32"/>
    <n v="359"/>
    <n v="299"/>
    <n v="658"/>
    <n v="142"/>
    <n v="154"/>
    <n v="10"/>
    <n v="30"/>
    <n v="698"/>
    <n v="2884"/>
  </r>
  <r>
    <x v="10"/>
    <s v="ITA"/>
    <x v="6"/>
    <x v="6"/>
    <n v="456494354"/>
    <n v="1376813649"/>
    <n v="4"/>
    <n v="0"/>
    <n v="4"/>
    <n v="17"/>
    <n v="21"/>
    <n v="3"/>
    <n v="3"/>
    <n v="0"/>
    <n v="0"/>
    <n v="21"/>
    <n v="397"/>
  </r>
  <r>
    <x v="10"/>
    <s v="ITA"/>
    <x v="7"/>
    <x v="7"/>
    <n v="4189277044"/>
    <n v="1248366722"/>
    <n v="20"/>
    <n v="7"/>
    <n v="27"/>
    <n v="14"/>
    <n v="41"/>
    <n v="14"/>
    <n v="14"/>
    <n v="3"/>
    <n v="0"/>
    <n v="44"/>
    <n v="1175"/>
  </r>
  <r>
    <x v="10"/>
    <s v="ITA"/>
    <x v="8"/>
    <x v="8"/>
    <n v="4441149315"/>
    <n v="89326992"/>
    <n v="11"/>
    <n v="3"/>
    <n v="14"/>
    <n v="7"/>
    <n v="21"/>
    <n v="0"/>
    <n v="2"/>
    <n v="4"/>
    <n v="3"/>
    <n v="28"/>
    <n v="146"/>
  </r>
  <r>
    <x v="10"/>
    <s v="ITA"/>
    <x v="9"/>
    <x v="9"/>
    <n v="4546679409"/>
    <n v="9190347404"/>
    <n v="1169"/>
    <n v="244"/>
    <n v="1413"/>
    <n v="364"/>
    <n v="1777"/>
    <n v="280"/>
    <n v="431"/>
    <n v="376"/>
    <n v="98"/>
    <n v="2251"/>
    <n v="12354"/>
  </r>
  <r>
    <x v="10"/>
    <s v="ITA"/>
    <x v="10"/>
    <x v="10"/>
    <n v="4361675973"/>
    <n v="135188753"/>
    <n v="57"/>
    <n v="19"/>
    <n v="76"/>
    <n v="44"/>
    <n v="120"/>
    <n v="40"/>
    <n v="40"/>
    <n v="0"/>
    <n v="4"/>
    <n v="124"/>
    <n v="413"/>
  </r>
  <r>
    <x v="10"/>
    <s v="ITA"/>
    <x v="11"/>
    <x v="11"/>
    <n v="4155774754"/>
    <n v="1465916051"/>
    <n v="4"/>
    <n v="0"/>
    <n v="4"/>
    <n v="3"/>
    <n v="7"/>
    <n v="4"/>
    <n v="4"/>
    <n v="0"/>
    <n v="0"/>
    <n v="7"/>
    <n v="24"/>
  </r>
  <r>
    <x v="10"/>
    <s v="ITA"/>
    <x v="12"/>
    <x v="12"/>
    <n v="450732745"/>
    <n v="7680687483"/>
    <n v="43"/>
    <n v="17"/>
    <n v="60"/>
    <n v="46"/>
    <n v="106"/>
    <n v="24"/>
    <n v="26"/>
    <n v="0"/>
    <n v="2"/>
    <n v="108"/>
    <n v="543"/>
  </r>
  <r>
    <x v="10"/>
    <s v="ITA"/>
    <x v="13"/>
    <x v="13"/>
    <n v="4112559576"/>
    <n v="1686736689"/>
    <n v="5"/>
    <n v="1"/>
    <n v="6"/>
    <n v="6"/>
    <n v="12"/>
    <n v="5"/>
    <n v="5"/>
    <n v="1"/>
    <n v="1"/>
    <n v="14"/>
    <n v="359"/>
  </r>
  <r>
    <x v="10"/>
    <s v="ITA"/>
    <x v="14"/>
    <x v="14"/>
    <n v="3921531192"/>
    <n v="9110616306"/>
    <n v="2"/>
    <n v="0"/>
    <n v="2"/>
    <n v="0"/>
    <n v="2"/>
    <n v="0"/>
    <n v="0"/>
    <n v="0"/>
    <n v="0"/>
    <n v="2"/>
    <n v="50"/>
  </r>
  <r>
    <x v="10"/>
    <s v="ITA"/>
    <x v="15"/>
    <x v="15"/>
    <n v="3811569725"/>
    <n v="133623567"/>
    <n v="5"/>
    <n v="0"/>
    <n v="5"/>
    <n v="11"/>
    <n v="16"/>
    <n v="0"/>
    <n v="0"/>
    <n v="2"/>
    <n v="0"/>
    <n v="18"/>
    <n v="367"/>
  </r>
  <r>
    <x v="10"/>
    <s v="ITA"/>
    <x v="16"/>
    <x v="16"/>
    <n v="4376923077"/>
    <n v="1125588885"/>
    <n v="26"/>
    <n v="3"/>
    <n v="29"/>
    <n v="31"/>
    <n v="60"/>
    <n v="23"/>
    <n v="23"/>
    <n v="1"/>
    <n v="0"/>
    <n v="61"/>
    <n v="776"/>
  </r>
  <r>
    <x v="10"/>
    <s v="ITA"/>
    <x v="2"/>
    <x v="17"/>
    <n v="4606893511"/>
    <n v="1112123097"/>
    <n v="2"/>
    <n v="0"/>
    <n v="2"/>
    <n v="5"/>
    <n v="7"/>
    <n v="2"/>
    <n v="2"/>
    <n v="0"/>
    <n v="0"/>
    <n v="7"/>
    <n v="122"/>
  </r>
  <r>
    <x v="10"/>
    <s v="ITA"/>
    <x v="17"/>
    <x v="18"/>
    <n v="4310675841"/>
    <n v="1238824698"/>
    <n v="1"/>
    <n v="1"/>
    <n v="2"/>
    <n v="7"/>
    <n v="9"/>
    <n v="0"/>
    <n v="0"/>
    <n v="0"/>
    <n v="0"/>
    <n v="9"/>
    <n v="88"/>
  </r>
  <r>
    <x v="10"/>
    <s v="ITA"/>
    <x v="18"/>
    <x v="19"/>
    <n v="4573750286"/>
    <n v="7320149366"/>
    <n v="0"/>
    <n v="0"/>
    <n v="0"/>
    <n v="2"/>
    <n v="2"/>
    <n v="2"/>
    <n v="2"/>
    <n v="0"/>
    <n v="0"/>
    <n v="2"/>
    <n v="21"/>
  </r>
  <r>
    <x v="10"/>
    <s v="ITA"/>
    <x v="19"/>
    <x v="20"/>
    <n v="4543490485"/>
    <n v="1233845213"/>
    <n v="92"/>
    <n v="24"/>
    <n v="116"/>
    <n v="264"/>
    <n v="380"/>
    <n v="35"/>
    <n v="47"/>
    <n v="17"/>
    <n v="10"/>
    <n v="407"/>
    <n v="11949"/>
  </r>
  <r>
    <x v="11"/>
    <s v="ITA"/>
    <x v="0"/>
    <x v="0"/>
    <n v="4235122196"/>
    <n v="1339843823"/>
    <n v="9"/>
    <n v="0"/>
    <n v="9"/>
    <n v="0"/>
    <n v="9"/>
    <n v="1"/>
    <n v="1"/>
    <n v="0"/>
    <n v="0"/>
    <n v="9"/>
    <n v="96"/>
  </r>
  <r>
    <x v="11"/>
    <s v="ITA"/>
    <x v="1"/>
    <x v="1"/>
    <n v="4063947052"/>
    <n v="1580514834"/>
    <n v="1"/>
    <n v="0"/>
    <n v="1"/>
    <n v="2"/>
    <n v="3"/>
    <n v="2"/>
    <n v="2"/>
    <n v="0"/>
    <n v="0"/>
    <n v="3"/>
    <n v="63"/>
  </r>
  <r>
    <x v="11"/>
    <s v="ITA"/>
    <x v="2"/>
    <x v="2"/>
    <n v="4649933453"/>
    <n v="1135662422"/>
    <n v="4"/>
    <n v="0"/>
    <n v="4"/>
    <n v="0"/>
    <n v="4"/>
    <n v="3"/>
    <n v="3"/>
    <n v="0"/>
    <n v="0"/>
    <n v="4"/>
    <n v="36"/>
  </r>
  <r>
    <x v="11"/>
    <s v="ITA"/>
    <x v="3"/>
    <x v="3"/>
    <n v="3890597598"/>
    <n v="1659440194"/>
    <n v="2"/>
    <n v="0"/>
    <n v="2"/>
    <n v="2"/>
    <n v="4"/>
    <n v="2"/>
    <n v="2"/>
    <n v="0"/>
    <n v="0"/>
    <n v="4"/>
    <n v="99"/>
  </r>
  <r>
    <x v="11"/>
    <s v="ITA"/>
    <x v="4"/>
    <x v="4"/>
    <n v="4083956555"/>
    <n v="1425084984"/>
    <n v="12"/>
    <n v="0"/>
    <n v="12"/>
    <n v="45"/>
    <n v="57"/>
    <n v="12"/>
    <n v="12"/>
    <n v="0"/>
    <n v="0"/>
    <n v="57"/>
    <n v="471"/>
  </r>
  <r>
    <x v="11"/>
    <s v="ITA"/>
    <x v="5"/>
    <x v="5"/>
    <n v="4449436681"/>
    <n v="113417208"/>
    <n v="397"/>
    <n v="53"/>
    <n v="450"/>
    <n v="366"/>
    <n v="816"/>
    <n v="158"/>
    <n v="172"/>
    <n v="17"/>
    <n v="37"/>
    <n v="870"/>
    <n v="3136"/>
  </r>
  <r>
    <x v="11"/>
    <s v="ITA"/>
    <x v="6"/>
    <x v="6"/>
    <n v="456494354"/>
    <n v="1376813649"/>
    <n v="4"/>
    <n v="0"/>
    <n v="4"/>
    <n v="24"/>
    <n v="28"/>
    <n v="7"/>
    <n v="10"/>
    <n v="3"/>
    <n v="0"/>
    <n v="31"/>
    <n v="577"/>
  </r>
  <r>
    <x v="11"/>
    <s v="ITA"/>
    <x v="7"/>
    <x v="7"/>
    <n v="4189277044"/>
    <n v="1248366722"/>
    <n v="26"/>
    <n v="8"/>
    <n v="34"/>
    <n v="16"/>
    <n v="50"/>
    <n v="9"/>
    <n v="10"/>
    <n v="3"/>
    <n v="1"/>
    <n v="54"/>
    <n v="1373"/>
  </r>
  <r>
    <x v="11"/>
    <s v="ITA"/>
    <x v="8"/>
    <x v="8"/>
    <n v="4441149315"/>
    <n v="89326992"/>
    <n v="12"/>
    <n v="5"/>
    <n v="17"/>
    <n v="7"/>
    <n v="24"/>
    <n v="3"/>
    <n v="4"/>
    <n v="5"/>
    <n v="3"/>
    <n v="32"/>
    <n v="229"/>
  </r>
  <r>
    <x v="11"/>
    <s v="ITA"/>
    <x v="9"/>
    <x v="9"/>
    <n v="4546679409"/>
    <n v="9190347404"/>
    <n v="1622"/>
    <n v="309"/>
    <n v="1931"/>
    <n v="77"/>
    <n v="2008"/>
    <n v="231"/>
    <n v="361"/>
    <n v="469"/>
    <n v="135"/>
    <n v="2612"/>
    <n v="13556"/>
  </r>
  <r>
    <x v="11"/>
    <s v="ITA"/>
    <x v="10"/>
    <x v="10"/>
    <n v="4361675973"/>
    <n v="135188753"/>
    <n v="73"/>
    <n v="20"/>
    <n v="93"/>
    <n v="62"/>
    <n v="155"/>
    <n v="35"/>
    <n v="35"/>
    <n v="0"/>
    <n v="4"/>
    <n v="159"/>
    <n v="585"/>
  </r>
  <r>
    <x v="11"/>
    <s v="ITA"/>
    <x v="11"/>
    <x v="11"/>
    <n v="4155774754"/>
    <n v="1465916051"/>
    <n v="3"/>
    <n v="2"/>
    <n v="5"/>
    <n v="7"/>
    <n v="12"/>
    <n v="5"/>
    <n v="5"/>
    <n v="0"/>
    <n v="0"/>
    <n v="12"/>
    <n v="104"/>
  </r>
  <r>
    <x v="11"/>
    <s v="ITA"/>
    <x v="12"/>
    <x v="12"/>
    <n v="450732745"/>
    <n v="7680687483"/>
    <n v="57"/>
    <n v="30"/>
    <n v="87"/>
    <n v="52"/>
    <n v="139"/>
    <n v="33"/>
    <n v="35"/>
    <n v="0"/>
    <n v="4"/>
    <n v="143"/>
    <n v="793"/>
  </r>
  <r>
    <x v="11"/>
    <s v="ITA"/>
    <x v="13"/>
    <x v="13"/>
    <n v="4112559576"/>
    <n v="1686736689"/>
    <n v="5"/>
    <n v="1"/>
    <n v="6"/>
    <n v="9"/>
    <n v="15"/>
    <n v="3"/>
    <n v="3"/>
    <n v="1"/>
    <n v="1"/>
    <n v="17"/>
    <n v="395"/>
  </r>
  <r>
    <x v="11"/>
    <s v="ITA"/>
    <x v="14"/>
    <x v="14"/>
    <n v="3921531192"/>
    <n v="9110616306"/>
    <n v="2"/>
    <n v="0"/>
    <n v="2"/>
    <n v="3"/>
    <n v="5"/>
    <n v="3"/>
    <n v="3"/>
    <n v="0"/>
    <n v="0"/>
    <n v="5"/>
    <n v="99"/>
  </r>
  <r>
    <x v="11"/>
    <s v="ITA"/>
    <x v="15"/>
    <x v="15"/>
    <n v="3811569725"/>
    <n v="133623567"/>
    <n v="7"/>
    <n v="0"/>
    <n v="7"/>
    <n v="15"/>
    <n v="22"/>
    <n v="6"/>
    <n v="6"/>
    <n v="2"/>
    <n v="0"/>
    <n v="24"/>
    <n v="367"/>
  </r>
  <r>
    <x v="11"/>
    <s v="ITA"/>
    <x v="16"/>
    <x v="16"/>
    <n v="4376923077"/>
    <n v="1125588885"/>
    <n v="35"/>
    <n v="5"/>
    <n v="40"/>
    <n v="38"/>
    <n v="78"/>
    <n v="18"/>
    <n v="18"/>
    <n v="1"/>
    <n v="0"/>
    <n v="79"/>
    <n v="1097"/>
  </r>
  <r>
    <x v="11"/>
    <s v="ITA"/>
    <x v="2"/>
    <x v="17"/>
    <n v="4606893511"/>
    <n v="1112123097"/>
    <n v="4"/>
    <n v="0"/>
    <n v="4"/>
    <n v="6"/>
    <n v="10"/>
    <n v="3"/>
    <n v="3"/>
    <n v="0"/>
    <n v="0"/>
    <n v="10"/>
    <n v="122"/>
  </r>
  <r>
    <x v="11"/>
    <s v="ITA"/>
    <x v="17"/>
    <x v="18"/>
    <n v="4310675841"/>
    <n v="1238824698"/>
    <n v="2"/>
    <n v="2"/>
    <n v="4"/>
    <n v="12"/>
    <n v="16"/>
    <n v="7"/>
    <n v="7"/>
    <n v="0"/>
    <n v="0"/>
    <n v="16"/>
    <n v="110"/>
  </r>
  <r>
    <x v="11"/>
    <s v="ITA"/>
    <x v="18"/>
    <x v="19"/>
    <n v="4573750286"/>
    <n v="7320149366"/>
    <n v="0"/>
    <n v="0"/>
    <n v="0"/>
    <n v="7"/>
    <n v="7"/>
    <n v="5"/>
    <n v="5"/>
    <n v="0"/>
    <n v="0"/>
    <n v="7"/>
    <n v="28"/>
  </r>
  <r>
    <x v="11"/>
    <s v="ITA"/>
    <x v="19"/>
    <x v="20"/>
    <n v="4543490485"/>
    <n v="1233845213"/>
    <n v="117"/>
    <n v="27"/>
    <n v="144"/>
    <n v="310"/>
    <n v="454"/>
    <n v="74"/>
    <n v="81"/>
    <n v="22"/>
    <n v="12"/>
    <n v="488"/>
    <n v="13023"/>
  </r>
  <r>
    <x v="12"/>
    <s v="ITA"/>
    <x v="0"/>
    <x v="0"/>
    <n v="4235122196"/>
    <n v="1339843823"/>
    <n v="11"/>
    <n v="0"/>
    <n v="11"/>
    <n v="0"/>
    <n v="11"/>
    <n v="2"/>
    <n v="2"/>
    <n v="0"/>
    <n v="0"/>
    <n v="11"/>
    <n v="123"/>
  </r>
  <r>
    <x v="12"/>
    <s v="ITA"/>
    <x v="1"/>
    <x v="1"/>
    <n v="4063947052"/>
    <n v="1580514834"/>
    <n v="1"/>
    <n v="0"/>
    <n v="1"/>
    <n v="2"/>
    <n v="3"/>
    <n v="0"/>
    <n v="0"/>
    <n v="0"/>
    <n v="0"/>
    <n v="3"/>
    <n v="75"/>
  </r>
  <r>
    <x v="12"/>
    <s v="ITA"/>
    <x v="2"/>
    <x v="2"/>
    <n v="4649933453"/>
    <n v="1135662422"/>
    <n v="8"/>
    <n v="0"/>
    <n v="8"/>
    <n v="1"/>
    <n v="9"/>
    <n v="5"/>
    <n v="5"/>
    <n v="0"/>
    <n v="0"/>
    <n v="9"/>
    <n v="36"/>
  </r>
  <r>
    <x v="12"/>
    <s v="ITA"/>
    <x v="3"/>
    <x v="3"/>
    <n v="3890597598"/>
    <n v="1659440194"/>
    <n v="2"/>
    <n v="0"/>
    <n v="2"/>
    <n v="2"/>
    <n v="4"/>
    <n v="0"/>
    <n v="0"/>
    <n v="0"/>
    <n v="0"/>
    <n v="4"/>
    <n v="113"/>
  </r>
  <r>
    <x v="12"/>
    <s v="ITA"/>
    <x v="4"/>
    <x v="4"/>
    <n v="4083956555"/>
    <n v="1425084984"/>
    <n v="16"/>
    <n v="0"/>
    <n v="16"/>
    <n v="45"/>
    <n v="61"/>
    <n v="4"/>
    <n v="4"/>
    <n v="0"/>
    <n v="0"/>
    <n v="61"/>
    <n v="612"/>
  </r>
  <r>
    <x v="12"/>
    <s v="ITA"/>
    <x v="5"/>
    <x v="5"/>
    <n v="4449436681"/>
    <n v="113417208"/>
    <n v="464"/>
    <n v="64"/>
    <n v="528"/>
    <n v="409"/>
    <n v="937"/>
    <n v="121"/>
    <n v="140"/>
    <n v="25"/>
    <n v="48"/>
    <n v="1010"/>
    <n v="3604"/>
  </r>
  <r>
    <x v="12"/>
    <s v="ITA"/>
    <x v="6"/>
    <x v="6"/>
    <n v="456494354"/>
    <n v="1376813649"/>
    <n v="7"/>
    <n v="1"/>
    <n v="8"/>
    <n v="31"/>
    <n v="39"/>
    <n v="11"/>
    <n v="11"/>
    <n v="3"/>
    <n v="0"/>
    <n v="42"/>
    <n v="577"/>
  </r>
  <r>
    <x v="12"/>
    <s v="ITA"/>
    <x v="7"/>
    <x v="7"/>
    <n v="4189277044"/>
    <n v="1248366722"/>
    <n v="43"/>
    <n v="8"/>
    <n v="51"/>
    <n v="21"/>
    <n v="72"/>
    <n v="22"/>
    <n v="22"/>
    <n v="3"/>
    <n v="1"/>
    <n v="76"/>
    <n v="1582"/>
  </r>
  <r>
    <x v="12"/>
    <s v="ITA"/>
    <x v="8"/>
    <x v="8"/>
    <n v="4441149315"/>
    <n v="89326992"/>
    <n v="26"/>
    <n v="6"/>
    <n v="32"/>
    <n v="10"/>
    <n v="42"/>
    <n v="18"/>
    <n v="19"/>
    <n v="5"/>
    <n v="4"/>
    <n v="51"/>
    <n v="331"/>
  </r>
  <r>
    <x v="12"/>
    <s v="ITA"/>
    <x v="9"/>
    <x v="9"/>
    <n v="4546679409"/>
    <n v="9190347404"/>
    <n v="1661"/>
    <n v="359"/>
    <n v="2020"/>
    <n v="722"/>
    <n v="2742"/>
    <n v="734"/>
    <n v="808"/>
    <n v="524"/>
    <n v="154"/>
    <n v="3420"/>
    <n v="15778"/>
  </r>
  <r>
    <x v="12"/>
    <s v="ITA"/>
    <x v="10"/>
    <x v="10"/>
    <n v="4361675973"/>
    <n v="135188753"/>
    <n v="94"/>
    <n v="36"/>
    <n v="130"/>
    <n v="71"/>
    <n v="201"/>
    <n v="46"/>
    <n v="48"/>
    <n v="0"/>
    <n v="6"/>
    <n v="207"/>
    <n v="816"/>
  </r>
  <r>
    <x v="12"/>
    <s v="ITA"/>
    <x v="11"/>
    <x v="11"/>
    <n v="4155774754"/>
    <n v="1465916051"/>
    <n v="3"/>
    <n v="2"/>
    <n v="5"/>
    <n v="9"/>
    <n v="14"/>
    <n v="2"/>
    <n v="2"/>
    <n v="0"/>
    <n v="0"/>
    <n v="14"/>
    <n v="112"/>
  </r>
  <r>
    <x v="12"/>
    <s v="ITA"/>
    <x v="12"/>
    <x v="12"/>
    <n v="450732745"/>
    <n v="7680687483"/>
    <n v="110"/>
    <n v="38"/>
    <n v="148"/>
    <n v="54"/>
    <n v="202"/>
    <n v="63"/>
    <n v="64"/>
    <n v="0"/>
    <n v="5"/>
    <n v="207"/>
    <n v="1046"/>
  </r>
  <r>
    <x v="12"/>
    <s v="ITA"/>
    <x v="13"/>
    <x v="13"/>
    <n v="4112559576"/>
    <n v="1686736689"/>
    <n v="9"/>
    <n v="2"/>
    <n v="11"/>
    <n v="12"/>
    <n v="23"/>
    <n v="8"/>
    <n v="9"/>
    <n v="1"/>
    <n v="2"/>
    <n v="26"/>
    <n v="395"/>
  </r>
  <r>
    <x v="12"/>
    <s v="ITA"/>
    <x v="14"/>
    <x v="14"/>
    <n v="3921531192"/>
    <n v="9110616306"/>
    <n v="2"/>
    <n v="0"/>
    <n v="2"/>
    <n v="3"/>
    <n v="5"/>
    <n v="0"/>
    <n v="0"/>
    <n v="0"/>
    <n v="0"/>
    <n v="5"/>
    <n v="99"/>
  </r>
  <r>
    <x v="12"/>
    <s v="ITA"/>
    <x v="15"/>
    <x v="15"/>
    <n v="3811569725"/>
    <n v="133623567"/>
    <n v="8"/>
    <n v="0"/>
    <n v="8"/>
    <n v="25"/>
    <n v="33"/>
    <n v="11"/>
    <n v="11"/>
    <n v="2"/>
    <n v="0"/>
    <n v="35"/>
    <n v="643"/>
  </r>
  <r>
    <x v="12"/>
    <s v="ITA"/>
    <x v="16"/>
    <x v="16"/>
    <n v="4376923077"/>
    <n v="1125588885"/>
    <n v="54"/>
    <n v="7"/>
    <n v="61"/>
    <n v="51"/>
    <n v="112"/>
    <n v="34"/>
    <n v="34"/>
    <n v="1"/>
    <n v="0"/>
    <n v="113"/>
    <n v="1331"/>
  </r>
  <r>
    <x v="12"/>
    <s v="ITA"/>
    <x v="2"/>
    <x v="17"/>
    <n v="4606893511"/>
    <n v="1112123097"/>
    <n v="6"/>
    <n v="1"/>
    <n v="7"/>
    <n v="7"/>
    <n v="14"/>
    <n v="4"/>
    <n v="4"/>
    <n v="0"/>
    <n v="0"/>
    <n v="14"/>
    <n v="194"/>
  </r>
  <r>
    <x v="12"/>
    <s v="ITA"/>
    <x v="17"/>
    <x v="18"/>
    <n v="4310675841"/>
    <n v="1238824698"/>
    <n v="2"/>
    <n v="2"/>
    <n v="4"/>
    <n v="20"/>
    <n v="24"/>
    <n v="8"/>
    <n v="8"/>
    <n v="0"/>
    <n v="0"/>
    <n v="24"/>
    <n v="134"/>
  </r>
  <r>
    <x v="12"/>
    <s v="ITA"/>
    <x v="18"/>
    <x v="19"/>
    <n v="4573750286"/>
    <n v="7320149366"/>
    <n v="1"/>
    <n v="0"/>
    <n v="1"/>
    <n v="7"/>
    <n v="8"/>
    <n v="1"/>
    <n v="1"/>
    <n v="0"/>
    <n v="0"/>
    <n v="8"/>
    <n v="32"/>
  </r>
  <r>
    <x v="12"/>
    <s v="ITA"/>
    <x v="19"/>
    <x v="20"/>
    <n v="4543490485"/>
    <n v="1233845213"/>
    <n v="123"/>
    <n v="41"/>
    <n v="164"/>
    <n v="341"/>
    <n v="505"/>
    <n v="51"/>
    <n v="55"/>
    <n v="25"/>
    <n v="13"/>
    <n v="543"/>
    <n v="14429"/>
  </r>
  <r>
    <x v="13"/>
    <s v="ITA"/>
    <x v="0"/>
    <x v="0"/>
    <n v="4235122196"/>
    <n v="1339843823"/>
    <n v="14"/>
    <n v="0"/>
    <n v="14"/>
    <n v="3"/>
    <n v="17"/>
    <n v="6"/>
    <n v="6"/>
    <n v="0"/>
    <n v="0"/>
    <n v="17"/>
    <n v="163"/>
  </r>
  <r>
    <x v="13"/>
    <s v="ITA"/>
    <x v="1"/>
    <x v="1"/>
    <n v="4063947052"/>
    <n v="1580514834"/>
    <n v="2"/>
    <n v="0"/>
    <n v="2"/>
    <n v="2"/>
    <n v="4"/>
    <n v="1"/>
    <n v="1"/>
    <n v="0"/>
    <n v="0"/>
    <n v="4"/>
    <n v="123"/>
  </r>
  <r>
    <x v="13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3"/>
    <s v="ITA"/>
    <x v="3"/>
    <x v="3"/>
    <n v="3890597598"/>
    <n v="1659440194"/>
    <n v="5"/>
    <n v="0"/>
    <n v="5"/>
    <n v="4"/>
    <n v="9"/>
    <n v="5"/>
    <n v="5"/>
    <n v="0"/>
    <n v="0"/>
    <n v="9"/>
    <n v="113"/>
  </r>
  <r>
    <x v="13"/>
    <s v="ITA"/>
    <x v="4"/>
    <x v="4"/>
    <n v="4083956555"/>
    <n v="1425084984"/>
    <n v="30"/>
    <n v="7"/>
    <n v="37"/>
    <n v="63"/>
    <n v="100"/>
    <n v="39"/>
    <n v="40"/>
    <n v="1"/>
    <n v="0"/>
    <n v="101"/>
    <n v="980"/>
  </r>
  <r>
    <x v="13"/>
    <s v="ITA"/>
    <x v="5"/>
    <x v="5"/>
    <n v="4449436681"/>
    <n v="113417208"/>
    <n v="542"/>
    <n v="75"/>
    <n v="617"/>
    <n v="480"/>
    <n v="1097"/>
    <n v="160"/>
    <n v="170"/>
    <n v="27"/>
    <n v="56"/>
    <n v="1180"/>
    <n v="4344"/>
  </r>
  <r>
    <x v="13"/>
    <s v="ITA"/>
    <x v="6"/>
    <x v="6"/>
    <n v="456494354"/>
    <n v="1376813649"/>
    <n v="7"/>
    <n v="1"/>
    <n v="8"/>
    <n v="45"/>
    <n v="53"/>
    <n v="14"/>
    <n v="15"/>
    <n v="3"/>
    <n v="1"/>
    <n v="57"/>
    <n v="997"/>
  </r>
  <r>
    <x v="13"/>
    <s v="ITA"/>
    <x v="7"/>
    <x v="7"/>
    <n v="4189277044"/>
    <n v="1248366722"/>
    <n v="47"/>
    <n v="8"/>
    <n v="55"/>
    <n v="26"/>
    <n v="81"/>
    <n v="9"/>
    <n v="11"/>
    <n v="3"/>
    <n v="3"/>
    <n v="87"/>
    <n v="1929"/>
  </r>
  <r>
    <x v="13"/>
    <s v="ITA"/>
    <x v="8"/>
    <x v="8"/>
    <n v="4441149315"/>
    <n v="89326992"/>
    <n v="39"/>
    <n v="11"/>
    <n v="50"/>
    <n v="17"/>
    <n v="67"/>
    <n v="25"/>
    <n v="27"/>
    <n v="5"/>
    <n v="6"/>
    <n v="78"/>
    <n v="401"/>
  </r>
  <r>
    <x v="13"/>
    <s v="ITA"/>
    <x v="9"/>
    <x v="9"/>
    <n v="4546679409"/>
    <n v="9190347404"/>
    <n v="2217"/>
    <n v="399"/>
    <n v="2616"/>
    <n v="756"/>
    <n v="3372"/>
    <n v="630"/>
    <n v="769"/>
    <n v="550"/>
    <n v="267"/>
    <n v="4189"/>
    <n v="18534"/>
  </r>
  <r>
    <x v="13"/>
    <s v="ITA"/>
    <x v="10"/>
    <x v="10"/>
    <n v="4361675973"/>
    <n v="135188753"/>
    <n v="110"/>
    <n v="41"/>
    <n v="151"/>
    <n v="114"/>
    <n v="265"/>
    <n v="64"/>
    <n v="65"/>
    <n v="0"/>
    <n v="7"/>
    <n v="272"/>
    <n v="1025"/>
  </r>
  <r>
    <x v="13"/>
    <s v="ITA"/>
    <x v="11"/>
    <x v="11"/>
    <n v="4155774754"/>
    <n v="1465916051"/>
    <n v="4"/>
    <n v="2"/>
    <n v="6"/>
    <n v="8"/>
    <n v="14"/>
    <n v="0"/>
    <n v="0"/>
    <n v="0"/>
    <n v="0"/>
    <n v="14"/>
    <n v="116"/>
  </r>
  <r>
    <x v="13"/>
    <s v="ITA"/>
    <x v="12"/>
    <x v="12"/>
    <n v="450732745"/>
    <n v="7680687483"/>
    <n v="245"/>
    <n v="45"/>
    <n v="290"/>
    <n v="65"/>
    <n v="355"/>
    <n v="153"/>
    <n v="153"/>
    <n v="0"/>
    <n v="5"/>
    <n v="360"/>
    <n v="1636"/>
  </r>
  <r>
    <x v="13"/>
    <s v="ITA"/>
    <x v="13"/>
    <x v="13"/>
    <n v="4112559576"/>
    <n v="1686736689"/>
    <n v="17"/>
    <n v="3"/>
    <n v="20"/>
    <n v="16"/>
    <n v="36"/>
    <n v="13"/>
    <n v="14"/>
    <n v="1"/>
    <n v="3"/>
    <n v="40"/>
    <n v="627"/>
  </r>
  <r>
    <x v="13"/>
    <s v="ITA"/>
    <x v="14"/>
    <x v="14"/>
    <n v="3921531192"/>
    <n v="9110616306"/>
    <n v="5"/>
    <n v="0"/>
    <n v="5"/>
    <n v="6"/>
    <n v="11"/>
    <n v="6"/>
    <n v="6"/>
    <n v="0"/>
    <n v="0"/>
    <n v="11"/>
    <n v="149"/>
  </r>
  <r>
    <x v="13"/>
    <s v="ITA"/>
    <x v="15"/>
    <x v="15"/>
    <n v="3811569725"/>
    <n v="133623567"/>
    <n v="18"/>
    <n v="0"/>
    <n v="18"/>
    <n v="33"/>
    <n v="51"/>
    <n v="18"/>
    <n v="18"/>
    <n v="2"/>
    <n v="0"/>
    <n v="53"/>
    <n v="791"/>
  </r>
  <r>
    <x v="13"/>
    <s v="ITA"/>
    <x v="16"/>
    <x v="16"/>
    <n v="4376923077"/>
    <n v="1125588885"/>
    <n v="91"/>
    <n v="7"/>
    <n v="98"/>
    <n v="67"/>
    <n v="165"/>
    <n v="53"/>
    <n v="53"/>
    <n v="1"/>
    <n v="0"/>
    <n v="166"/>
    <n v="1618"/>
  </r>
  <r>
    <x v="13"/>
    <s v="ITA"/>
    <x v="2"/>
    <x v="17"/>
    <n v="4606893511"/>
    <n v="1112123097"/>
    <n v="7"/>
    <n v="2"/>
    <n v="9"/>
    <n v="14"/>
    <n v="23"/>
    <n v="9"/>
    <n v="9"/>
    <n v="0"/>
    <n v="0"/>
    <n v="23"/>
    <n v="228"/>
  </r>
  <r>
    <x v="13"/>
    <s v="ITA"/>
    <x v="17"/>
    <x v="18"/>
    <n v="4310675841"/>
    <n v="1238824698"/>
    <n v="2"/>
    <n v="2"/>
    <n v="4"/>
    <n v="22"/>
    <n v="26"/>
    <n v="2"/>
    <n v="2"/>
    <n v="0"/>
    <n v="0"/>
    <n v="26"/>
    <n v="168"/>
  </r>
  <r>
    <x v="13"/>
    <s v="ITA"/>
    <x v="18"/>
    <x v="19"/>
    <n v="4573750286"/>
    <n v="7320149366"/>
    <n v="1"/>
    <n v="0"/>
    <n v="1"/>
    <n v="8"/>
    <n v="9"/>
    <n v="1"/>
    <n v="1"/>
    <n v="0"/>
    <n v="0"/>
    <n v="9"/>
    <n v="41"/>
  </r>
  <r>
    <x v="13"/>
    <s v="ITA"/>
    <x v="19"/>
    <x v="20"/>
    <n v="4543490485"/>
    <n v="1233845213"/>
    <n v="146"/>
    <n v="47"/>
    <n v="193"/>
    <n v="430"/>
    <n v="623"/>
    <n v="118"/>
    <n v="127"/>
    <n v="29"/>
    <n v="18"/>
    <n v="670"/>
    <n v="15918"/>
  </r>
  <r>
    <x v="14"/>
    <s v="ITA"/>
    <x v="0"/>
    <x v="0"/>
    <n v="4235122196"/>
    <n v="1339843823"/>
    <n v="25"/>
    <n v="0"/>
    <n v="25"/>
    <n v="5"/>
    <n v="30"/>
    <n v="13"/>
    <n v="13"/>
    <n v="0"/>
    <n v="0"/>
    <n v="30"/>
    <n v="237"/>
  </r>
  <r>
    <x v="14"/>
    <s v="ITA"/>
    <x v="1"/>
    <x v="1"/>
    <n v="4063947052"/>
    <n v="1580514834"/>
    <n v="2"/>
    <n v="0"/>
    <n v="2"/>
    <n v="3"/>
    <n v="5"/>
    <n v="1"/>
    <n v="1"/>
    <n v="0"/>
    <n v="0"/>
    <n v="5"/>
    <n v="135"/>
  </r>
  <r>
    <x v="14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4"/>
    <s v="ITA"/>
    <x v="3"/>
    <x v="3"/>
    <n v="3890597598"/>
    <n v="1659440194"/>
    <n v="8"/>
    <n v="0"/>
    <n v="8"/>
    <n v="1"/>
    <n v="9"/>
    <n v="0"/>
    <n v="2"/>
    <n v="2"/>
    <n v="0"/>
    <n v="11"/>
    <n v="173"/>
  </r>
  <r>
    <x v="14"/>
    <s v="ITA"/>
    <x v="4"/>
    <x v="4"/>
    <n v="4083956555"/>
    <n v="1425084984"/>
    <n v="42"/>
    <n v="8"/>
    <n v="50"/>
    <n v="69"/>
    <n v="119"/>
    <n v="19"/>
    <n v="19"/>
    <n v="1"/>
    <n v="0"/>
    <n v="120"/>
    <n v="980"/>
  </r>
  <r>
    <x v="14"/>
    <s v="ITA"/>
    <x v="5"/>
    <x v="5"/>
    <n v="4449436681"/>
    <n v="113417208"/>
    <n v="576"/>
    <n v="90"/>
    <n v="666"/>
    <n v="620"/>
    <n v="1286"/>
    <n v="189"/>
    <n v="206"/>
    <n v="30"/>
    <n v="70"/>
    <n v="1386"/>
    <n v="4906"/>
  </r>
  <r>
    <x v="14"/>
    <s v="ITA"/>
    <x v="6"/>
    <x v="6"/>
    <n v="456494354"/>
    <n v="1376813649"/>
    <n v="18"/>
    <n v="1"/>
    <n v="19"/>
    <n v="70"/>
    <n v="89"/>
    <n v="36"/>
    <n v="36"/>
    <n v="3"/>
    <n v="1"/>
    <n v="93"/>
    <n v="1344"/>
  </r>
  <r>
    <x v="14"/>
    <s v="ITA"/>
    <x v="7"/>
    <x v="7"/>
    <n v="4189277044"/>
    <n v="1248366722"/>
    <n v="55"/>
    <n v="8"/>
    <n v="63"/>
    <n v="31"/>
    <n v="94"/>
    <n v="13"/>
    <n v="15"/>
    <n v="3"/>
    <n v="5"/>
    <n v="102"/>
    <n v="1929"/>
  </r>
  <r>
    <x v="14"/>
    <s v="ITA"/>
    <x v="8"/>
    <x v="8"/>
    <n v="4441149315"/>
    <n v="89326992"/>
    <n v="60"/>
    <n v="17"/>
    <n v="77"/>
    <n v="20"/>
    <n v="97"/>
    <n v="30"/>
    <n v="31"/>
    <n v="5"/>
    <n v="7"/>
    <n v="109"/>
    <n v="611"/>
  </r>
  <r>
    <x v="14"/>
    <s v="ITA"/>
    <x v="9"/>
    <x v="9"/>
    <n v="4546679409"/>
    <n v="9190347404"/>
    <n v="2802"/>
    <n v="440"/>
    <n v="3242"/>
    <n v="1248"/>
    <n v="4490"/>
    <n v="1118"/>
    <n v="1280"/>
    <n v="646"/>
    <n v="333"/>
    <n v="5469"/>
    <n v="20135"/>
  </r>
  <r>
    <x v="14"/>
    <s v="ITA"/>
    <x v="10"/>
    <x v="10"/>
    <n v="4361675973"/>
    <n v="135188753"/>
    <n v="136"/>
    <n v="47"/>
    <n v="183"/>
    <n v="130"/>
    <n v="313"/>
    <n v="48"/>
    <n v="51"/>
    <n v="0"/>
    <n v="10"/>
    <n v="323"/>
    <n v="1250"/>
  </r>
  <r>
    <x v="14"/>
    <s v="ITA"/>
    <x v="11"/>
    <x v="11"/>
    <n v="4155774754"/>
    <n v="1465916051"/>
    <n v="4"/>
    <n v="2"/>
    <n v="6"/>
    <n v="8"/>
    <n v="14"/>
    <n v="0"/>
    <n v="0"/>
    <n v="0"/>
    <n v="0"/>
    <n v="14"/>
    <n v="212"/>
  </r>
  <r>
    <x v="14"/>
    <s v="ITA"/>
    <x v="12"/>
    <x v="12"/>
    <n v="450732745"/>
    <n v="7680687483"/>
    <n v="222"/>
    <n v="50"/>
    <n v="272"/>
    <n v="65"/>
    <n v="337"/>
    <n v="-18"/>
    <n v="-10"/>
    <n v="0"/>
    <n v="13"/>
    <n v="350"/>
    <n v="1681"/>
  </r>
  <r>
    <x v="14"/>
    <s v="ITA"/>
    <x v="13"/>
    <x v="13"/>
    <n v="4112559576"/>
    <n v="1686736689"/>
    <n v="20"/>
    <n v="6"/>
    <n v="26"/>
    <n v="20"/>
    <n v="46"/>
    <n v="10"/>
    <n v="10"/>
    <n v="1"/>
    <n v="3"/>
    <n v="50"/>
    <n v="685"/>
  </r>
  <r>
    <x v="14"/>
    <s v="ITA"/>
    <x v="14"/>
    <x v="14"/>
    <n v="3921531192"/>
    <n v="9110616306"/>
    <n v="8"/>
    <n v="0"/>
    <n v="8"/>
    <n v="11"/>
    <n v="19"/>
    <n v="8"/>
    <n v="8"/>
    <n v="0"/>
    <n v="0"/>
    <n v="19"/>
    <n v="185"/>
  </r>
  <r>
    <x v="14"/>
    <s v="ITA"/>
    <x v="15"/>
    <x v="15"/>
    <n v="3811569725"/>
    <n v="133623567"/>
    <n v="19"/>
    <n v="0"/>
    <n v="19"/>
    <n v="33"/>
    <n v="52"/>
    <n v="1"/>
    <n v="1"/>
    <n v="2"/>
    <n v="0"/>
    <n v="54"/>
    <n v="836"/>
  </r>
  <r>
    <x v="14"/>
    <s v="ITA"/>
    <x v="16"/>
    <x v="16"/>
    <n v="4376923077"/>
    <n v="1125588885"/>
    <n v="107"/>
    <n v="9"/>
    <n v="116"/>
    <n v="90"/>
    <n v="206"/>
    <n v="41"/>
    <n v="42"/>
    <n v="1"/>
    <n v="1"/>
    <n v="208"/>
    <n v="2018"/>
  </r>
  <r>
    <x v="14"/>
    <s v="ITA"/>
    <x v="2"/>
    <x v="17"/>
    <n v="4606893511"/>
    <n v="1112123097"/>
    <n v="10"/>
    <n v="2"/>
    <n v="12"/>
    <n v="21"/>
    <n v="33"/>
    <n v="10"/>
    <n v="10"/>
    <n v="0"/>
    <n v="0"/>
    <n v="33"/>
    <n v="267"/>
  </r>
  <r>
    <x v="14"/>
    <s v="ITA"/>
    <x v="17"/>
    <x v="18"/>
    <n v="4310675841"/>
    <n v="1238824698"/>
    <n v="4"/>
    <n v="2"/>
    <n v="6"/>
    <n v="22"/>
    <n v="28"/>
    <n v="2"/>
    <n v="2"/>
    <n v="0"/>
    <n v="0"/>
    <n v="28"/>
    <n v="183"/>
  </r>
  <r>
    <x v="14"/>
    <s v="ITA"/>
    <x v="18"/>
    <x v="19"/>
    <n v="4573750286"/>
    <n v="7320149366"/>
    <n v="4"/>
    <n v="0"/>
    <n v="4"/>
    <n v="11"/>
    <n v="15"/>
    <n v="6"/>
    <n v="6"/>
    <n v="0"/>
    <n v="0"/>
    <n v="15"/>
    <n v="67"/>
  </r>
  <r>
    <x v="14"/>
    <s v="ITA"/>
    <x v="19"/>
    <x v="20"/>
    <n v="4543490485"/>
    <n v="1233845213"/>
    <n v="186"/>
    <n v="51"/>
    <n v="237"/>
    <n v="457"/>
    <n v="694"/>
    <n v="71"/>
    <n v="74"/>
    <n v="30"/>
    <n v="20"/>
    <n v="744"/>
    <n v="15956"/>
  </r>
  <r>
    <x v="15"/>
    <s v="ITA"/>
    <x v="0"/>
    <x v="0"/>
    <n v="4235122196"/>
    <n v="1339843823"/>
    <n v="17"/>
    <n v="9"/>
    <n v="26"/>
    <n v="11"/>
    <n v="37"/>
    <n v="7"/>
    <n v="8"/>
    <n v="0"/>
    <n v="1"/>
    <n v="38"/>
    <n v="310"/>
  </r>
  <r>
    <x v="15"/>
    <s v="ITA"/>
    <x v="1"/>
    <x v="1"/>
    <n v="4063947052"/>
    <n v="1580514834"/>
    <n v="2"/>
    <n v="0"/>
    <n v="2"/>
    <n v="5"/>
    <n v="7"/>
    <n v="2"/>
    <n v="2"/>
    <n v="0"/>
    <n v="0"/>
    <n v="7"/>
    <n v="148"/>
  </r>
  <r>
    <x v="15"/>
    <s v="ITA"/>
    <x v="2"/>
    <x v="2"/>
    <n v="4649933453"/>
    <n v="1135662422"/>
    <n v="17"/>
    <n v="1"/>
    <n v="18"/>
    <n v="20"/>
    <n v="38"/>
    <n v="29"/>
    <n v="29"/>
    <n v="0"/>
    <n v="0"/>
    <n v="38"/>
    <n v="36"/>
  </r>
  <r>
    <x v="15"/>
    <s v="ITA"/>
    <x v="3"/>
    <x v="3"/>
    <n v="3890597598"/>
    <n v="1659440194"/>
    <n v="8"/>
    <n v="2"/>
    <n v="10"/>
    <n v="1"/>
    <n v="11"/>
    <n v="2"/>
    <n v="2"/>
    <n v="2"/>
    <n v="0"/>
    <n v="13"/>
    <n v="360"/>
  </r>
  <r>
    <x v="15"/>
    <s v="ITA"/>
    <x v="4"/>
    <x v="4"/>
    <n v="4083956555"/>
    <n v="1425084984"/>
    <n v="33"/>
    <n v="8"/>
    <n v="41"/>
    <n v="85"/>
    <n v="126"/>
    <n v="7"/>
    <n v="7"/>
    <n v="1"/>
    <n v="0"/>
    <n v="127"/>
    <n v="1141"/>
  </r>
  <r>
    <x v="15"/>
    <s v="ITA"/>
    <x v="5"/>
    <x v="5"/>
    <n v="4449436681"/>
    <n v="113417208"/>
    <n v="669"/>
    <n v="98"/>
    <n v="767"/>
    <n v="650"/>
    <n v="1417"/>
    <n v="131"/>
    <n v="147"/>
    <n v="31"/>
    <n v="85"/>
    <n v="1533"/>
    <n v="5494"/>
  </r>
  <r>
    <x v="15"/>
    <s v="ITA"/>
    <x v="6"/>
    <x v="6"/>
    <n v="456494354"/>
    <n v="1376813649"/>
    <n v="27"/>
    <n v="6"/>
    <n v="33"/>
    <n v="77"/>
    <n v="110"/>
    <n v="21"/>
    <n v="23"/>
    <n v="3"/>
    <n v="3"/>
    <n v="116"/>
    <n v="1602"/>
  </r>
  <r>
    <x v="15"/>
    <s v="ITA"/>
    <x v="7"/>
    <x v="7"/>
    <n v="4189277044"/>
    <n v="1248366722"/>
    <n v="50"/>
    <n v="15"/>
    <n v="65"/>
    <n v="34"/>
    <n v="99"/>
    <n v="5"/>
    <n v="14"/>
    <n v="11"/>
    <n v="6"/>
    <n v="116"/>
    <n v="3591"/>
  </r>
  <r>
    <x v="15"/>
    <s v="ITA"/>
    <x v="8"/>
    <x v="8"/>
    <n v="4441149315"/>
    <n v="89326992"/>
    <n v="57"/>
    <n v="29"/>
    <n v="86"/>
    <n v="42"/>
    <n v="128"/>
    <n v="31"/>
    <n v="32"/>
    <n v="5"/>
    <n v="8"/>
    <n v="141"/>
    <n v="694"/>
  </r>
  <r>
    <x v="15"/>
    <s v="ITA"/>
    <x v="9"/>
    <x v="9"/>
    <n v="4546679409"/>
    <n v="9190347404"/>
    <n v="3319"/>
    <n v="466"/>
    <n v="3785"/>
    <n v="642"/>
    <n v="4427"/>
    <n v="-63"/>
    <n v="322"/>
    <n v="896"/>
    <n v="468"/>
    <n v="5791"/>
    <n v="21479"/>
  </r>
  <r>
    <x v="15"/>
    <s v="ITA"/>
    <x v="10"/>
    <x v="10"/>
    <n v="4361675973"/>
    <n v="135188753"/>
    <n v="152"/>
    <n v="54"/>
    <n v="206"/>
    <n v="175"/>
    <n v="381"/>
    <n v="68"/>
    <n v="71"/>
    <n v="0"/>
    <n v="13"/>
    <n v="394"/>
    <n v="1437"/>
  </r>
  <r>
    <x v="15"/>
    <s v="ITA"/>
    <x v="11"/>
    <x v="11"/>
    <n v="4155774754"/>
    <n v="1465916051"/>
    <n v="3"/>
    <n v="3"/>
    <n v="6"/>
    <n v="9"/>
    <n v="15"/>
    <n v="1"/>
    <n v="1"/>
    <n v="0"/>
    <n v="0"/>
    <n v="15"/>
    <n v="225"/>
  </r>
  <r>
    <x v="15"/>
    <s v="ITA"/>
    <x v="12"/>
    <x v="12"/>
    <n v="450732745"/>
    <n v="7680687483"/>
    <n v="306"/>
    <n v="66"/>
    <n v="372"/>
    <n v="64"/>
    <n v="436"/>
    <n v="99"/>
    <n v="103"/>
    <n v="0"/>
    <n v="17"/>
    <n v="453"/>
    <n v="2374"/>
  </r>
  <r>
    <x v="15"/>
    <s v="ITA"/>
    <x v="13"/>
    <x v="13"/>
    <n v="4112559576"/>
    <n v="1686736689"/>
    <n v="28"/>
    <n v="6"/>
    <n v="34"/>
    <n v="21"/>
    <n v="55"/>
    <n v="9"/>
    <n v="9"/>
    <n v="1"/>
    <n v="3"/>
    <n v="59"/>
    <n v="747"/>
  </r>
  <r>
    <x v="15"/>
    <s v="ITA"/>
    <x v="14"/>
    <x v="14"/>
    <n v="3921531192"/>
    <n v="9110616306"/>
    <n v="9"/>
    <n v="0"/>
    <n v="9"/>
    <n v="11"/>
    <n v="20"/>
    <n v="1"/>
    <n v="1"/>
    <n v="0"/>
    <n v="0"/>
    <n v="20"/>
    <n v="204"/>
  </r>
  <r>
    <x v="15"/>
    <s v="ITA"/>
    <x v="15"/>
    <x v="15"/>
    <n v="3811569725"/>
    <n v="133623567"/>
    <n v="17"/>
    <n v="2"/>
    <n v="19"/>
    <n v="41"/>
    <n v="60"/>
    <n v="8"/>
    <n v="8"/>
    <n v="2"/>
    <n v="0"/>
    <n v="62"/>
    <n v="955"/>
  </r>
  <r>
    <x v="15"/>
    <s v="ITA"/>
    <x v="16"/>
    <x v="16"/>
    <n v="4376923077"/>
    <n v="1125588885"/>
    <n v="91"/>
    <n v="40"/>
    <n v="131"/>
    <n v="129"/>
    <n v="260"/>
    <n v="54"/>
    <n v="56"/>
    <n v="3"/>
    <n v="1"/>
    <n v="264"/>
    <n v="2573"/>
  </r>
  <r>
    <x v="15"/>
    <s v="ITA"/>
    <x v="2"/>
    <x v="17"/>
    <n v="4606893511"/>
    <n v="1112123097"/>
    <n v="19"/>
    <n v="3"/>
    <n v="22"/>
    <n v="28"/>
    <n v="50"/>
    <n v="17"/>
    <n v="19"/>
    <n v="2"/>
    <n v="0"/>
    <n v="52"/>
    <n v="399"/>
  </r>
  <r>
    <x v="15"/>
    <s v="ITA"/>
    <x v="17"/>
    <x v="18"/>
    <n v="4310675841"/>
    <n v="1238824698"/>
    <n v="8"/>
    <n v="2"/>
    <n v="10"/>
    <n v="27"/>
    <n v="37"/>
    <n v="9"/>
    <n v="9"/>
    <n v="0"/>
    <n v="0"/>
    <n v="37"/>
    <n v="260"/>
  </r>
  <r>
    <x v="15"/>
    <s v="ITA"/>
    <x v="18"/>
    <x v="19"/>
    <n v="4573750286"/>
    <n v="7320149366"/>
    <n v="2"/>
    <n v="0"/>
    <n v="2"/>
    <n v="15"/>
    <n v="17"/>
    <n v="2"/>
    <n v="2"/>
    <n v="0"/>
    <n v="0"/>
    <n v="17"/>
    <n v="89"/>
  </r>
  <r>
    <x v="15"/>
    <s v="ITA"/>
    <x v="19"/>
    <x v="20"/>
    <n v="4543490485"/>
    <n v="1233845213"/>
    <n v="204"/>
    <n v="67"/>
    <n v="271"/>
    <n v="512"/>
    <n v="783"/>
    <n v="89"/>
    <n v="112"/>
    <n v="47"/>
    <n v="26"/>
    <n v="856"/>
    <n v="16643"/>
  </r>
  <r>
    <x v="16"/>
    <s v="ITA"/>
    <x v="0"/>
    <x v="0"/>
    <n v="4235122196"/>
    <n v="1339843823"/>
    <n v="17"/>
    <n v="9"/>
    <n v="26"/>
    <n v="11"/>
    <n v="37"/>
    <n v="0"/>
    <n v="0"/>
    <n v="0"/>
    <n v="1"/>
    <n v="38"/>
    <n v="310"/>
  </r>
  <r>
    <x v="16"/>
    <s v="ITA"/>
    <x v="1"/>
    <x v="1"/>
    <n v="4063947052"/>
    <n v="1580514834"/>
    <n v="1"/>
    <n v="1"/>
    <n v="2"/>
    <n v="6"/>
    <n v="8"/>
    <n v="1"/>
    <n v="1"/>
    <n v="0"/>
    <n v="0"/>
    <n v="8"/>
    <n v="155"/>
  </r>
  <r>
    <x v="16"/>
    <s v="ITA"/>
    <x v="2"/>
    <x v="2"/>
    <n v="4649933453"/>
    <n v="1135662422"/>
    <n v="8"/>
    <n v="4"/>
    <n v="12"/>
    <n v="63"/>
    <n v="75"/>
    <n v="37"/>
    <n v="37"/>
    <n v="0"/>
    <n v="0"/>
    <n v="75"/>
    <n v="75"/>
  </r>
  <r>
    <x v="16"/>
    <s v="ITA"/>
    <x v="3"/>
    <x v="3"/>
    <n v="3890597598"/>
    <n v="1659440194"/>
    <n v="10"/>
    <n v="2"/>
    <n v="12"/>
    <n v="5"/>
    <n v="17"/>
    <n v="6"/>
    <n v="6"/>
    <n v="2"/>
    <n v="0"/>
    <n v="19"/>
    <n v="405"/>
  </r>
  <r>
    <x v="16"/>
    <s v="ITA"/>
    <x v="4"/>
    <x v="4"/>
    <n v="4083956555"/>
    <n v="1425084984"/>
    <n v="56"/>
    <n v="11"/>
    <n v="67"/>
    <n v="82"/>
    <n v="149"/>
    <n v="23"/>
    <n v="27"/>
    <n v="4"/>
    <n v="1"/>
    <n v="154"/>
    <n v="1375"/>
  </r>
  <r>
    <x v="16"/>
    <s v="ITA"/>
    <x v="5"/>
    <x v="5"/>
    <n v="4449436681"/>
    <n v="113417208"/>
    <n v="745"/>
    <n v="104"/>
    <n v="849"/>
    <n v="739"/>
    <n v="1588"/>
    <n v="171"/>
    <n v="206"/>
    <n v="38"/>
    <n v="113"/>
    <n v="1739"/>
    <n v="6640"/>
  </r>
  <r>
    <x v="16"/>
    <s v="ITA"/>
    <x v="6"/>
    <x v="6"/>
    <n v="456494354"/>
    <n v="1376813649"/>
    <n v="16"/>
    <n v="5"/>
    <n v="21"/>
    <n v="89"/>
    <n v="110"/>
    <n v="0"/>
    <n v="10"/>
    <n v="10"/>
    <n v="6"/>
    <n v="126"/>
    <n v="2073"/>
  </r>
  <r>
    <x v="16"/>
    <s v="ITA"/>
    <x v="7"/>
    <x v="7"/>
    <n v="4189277044"/>
    <n v="1248366722"/>
    <n v="67"/>
    <n v="18"/>
    <n v="85"/>
    <n v="40"/>
    <n v="125"/>
    <n v="26"/>
    <n v="34"/>
    <n v="19"/>
    <n v="6"/>
    <n v="150"/>
    <n v="3591"/>
  </r>
  <r>
    <x v="16"/>
    <s v="ITA"/>
    <x v="8"/>
    <x v="8"/>
    <n v="4441149315"/>
    <n v="89326992"/>
    <n v="74"/>
    <n v="34"/>
    <n v="108"/>
    <n v="73"/>
    <n v="181"/>
    <n v="53"/>
    <n v="53"/>
    <n v="5"/>
    <n v="8"/>
    <n v="194"/>
    <n v="1025"/>
  </r>
  <r>
    <x v="16"/>
    <s v="ITA"/>
    <x v="9"/>
    <x v="9"/>
    <n v="4546679409"/>
    <n v="9190347404"/>
    <n v="3852"/>
    <n v="560"/>
    <n v="4412"/>
    <n v="1351"/>
    <n v="5763"/>
    <n v="1336"/>
    <n v="1489"/>
    <n v="900"/>
    <n v="617"/>
    <n v="7280"/>
    <n v="25629"/>
  </r>
  <r>
    <x v="16"/>
    <s v="ITA"/>
    <x v="10"/>
    <x v="10"/>
    <n v="4361675973"/>
    <n v="135188753"/>
    <n v="212"/>
    <n v="66"/>
    <n v="278"/>
    <n v="183"/>
    <n v="461"/>
    <n v="80"/>
    <n v="85"/>
    <n v="0"/>
    <n v="18"/>
    <n v="479"/>
    <n v="1656"/>
  </r>
  <r>
    <x v="16"/>
    <s v="ITA"/>
    <x v="11"/>
    <x v="11"/>
    <n v="4155774754"/>
    <n v="1465916051"/>
    <n v="4"/>
    <n v="3"/>
    <n v="7"/>
    <n v="9"/>
    <n v="16"/>
    <n v="1"/>
    <n v="1"/>
    <n v="0"/>
    <n v="0"/>
    <n v="16"/>
    <n v="233"/>
  </r>
  <r>
    <x v="16"/>
    <s v="ITA"/>
    <x v="12"/>
    <x v="12"/>
    <n v="450732745"/>
    <n v="7680687483"/>
    <n v="319"/>
    <n v="75"/>
    <n v="394"/>
    <n v="86"/>
    <n v="480"/>
    <n v="44"/>
    <n v="48"/>
    <n v="0"/>
    <n v="21"/>
    <n v="501"/>
    <n v="2431"/>
  </r>
  <r>
    <x v="16"/>
    <s v="ITA"/>
    <x v="13"/>
    <x v="13"/>
    <n v="4112559576"/>
    <n v="1686736689"/>
    <n v="38"/>
    <n v="4"/>
    <n v="42"/>
    <n v="29"/>
    <n v="71"/>
    <n v="16"/>
    <n v="18"/>
    <n v="1"/>
    <n v="5"/>
    <n v="77"/>
    <n v="909"/>
  </r>
  <r>
    <x v="16"/>
    <s v="ITA"/>
    <x v="14"/>
    <x v="14"/>
    <n v="3921531192"/>
    <n v="9110616306"/>
    <n v="10"/>
    <n v="0"/>
    <n v="10"/>
    <n v="27"/>
    <n v="37"/>
    <n v="17"/>
    <n v="17"/>
    <n v="0"/>
    <n v="0"/>
    <n v="37"/>
    <n v="283"/>
  </r>
  <r>
    <x v="16"/>
    <s v="ITA"/>
    <x v="15"/>
    <x v="15"/>
    <n v="3811569725"/>
    <n v="133623567"/>
    <n v="23"/>
    <n v="1"/>
    <n v="24"/>
    <n v="57"/>
    <n v="81"/>
    <n v="21"/>
    <n v="21"/>
    <n v="2"/>
    <n v="0"/>
    <n v="83"/>
    <n v="1194"/>
  </r>
  <r>
    <x v="16"/>
    <s v="ITA"/>
    <x v="16"/>
    <x v="16"/>
    <n v="4376923077"/>
    <n v="1125588885"/>
    <n v="87"/>
    <n v="54"/>
    <n v="141"/>
    <n v="173"/>
    <n v="314"/>
    <n v="54"/>
    <n v="56"/>
    <n v="5"/>
    <n v="1"/>
    <n v="320"/>
    <n v="2804"/>
  </r>
  <r>
    <x v="16"/>
    <s v="ITA"/>
    <x v="2"/>
    <x v="17"/>
    <n v="4606893511"/>
    <n v="1112123097"/>
    <n v="28"/>
    <n v="4"/>
    <n v="32"/>
    <n v="42"/>
    <n v="74"/>
    <n v="24"/>
    <n v="25"/>
    <n v="3"/>
    <n v="0"/>
    <n v="77"/>
    <n v="527"/>
  </r>
  <r>
    <x v="16"/>
    <s v="ITA"/>
    <x v="17"/>
    <x v="18"/>
    <n v="4310675841"/>
    <n v="1238824698"/>
    <n v="7"/>
    <n v="5"/>
    <n v="12"/>
    <n v="32"/>
    <n v="44"/>
    <n v="7"/>
    <n v="9"/>
    <n v="2"/>
    <n v="0"/>
    <n v="46"/>
    <n v="340"/>
  </r>
  <r>
    <x v="16"/>
    <s v="ITA"/>
    <x v="18"/>
    <x v="19"/>
    <n v="4573750286"/>
    <n v="7320149366"/>
    <n v="2"/>
    <n v="0"/>
    <n v="2"/>
    <n v="17"/>
    <n v="19"/>
    <n v="2"/>
    <n v="3"/>
    <n v="0"/>
    <n v="1"/>
    <n v="20"/>
    <n v="99"/>
  </r>
  <r>
    <x v="16"/>
    <s v="ITA"/>
    <x v="19"/>
    <x v="20"/>
    <n v="4543490485"/>
    <n v="1233845213"/>
    <n v="262"/>
    <n v="68"/>
    <n v="330"/>
    <n v="610"/>
    <n v="940"/>
    <n v="157"/>
    <n v="167"/>
    <n v="54"/>
    <n v="29"/>
    <n v="1023"/>
    <n v="21400"/>
  </r>
  <r>
    <x v="17"/>
    <s v="ITA"/>
    <x v="0"/>
    <x v="0"/>
    <n v="4235122196"/>
    <n v="1339843823"/>
    <n v="47"/>
    <n v="12"/>
    <n v="59"/>
    <n v="19"/>
    <n v="78"/>
    <n v="41"/>
    <n v="46"/>
    <n v="4"/>
    <n v="2"/>
    <n v="84"/>
    <n v="867"/>
  </r>
  <r>
    <x v="17"/>
    <s v="ITA"/>
    <x v="1"/>
    <x v="1"/>
    <n v="4063947052"/>
    <n v="1580514834"/>
    <n v="1"/>
    <n v="1"/>
    <n v="2"/>
    <n v="6"/>
    <n v="8"/>
    <n v="0"/>
    <n v="0"/>
    <n v="0"/>
    <n v="0"/>
    <n v="8"/>
    <n v="155"/>
  </r>
  <r>
    <x v="17"/>
    <s v="ITA"/>
    <x v="2"/>
    <x v="2"/>
    <n v="4649933453"/>
    <n v="1135662422"/>
    <n v="21"/>
    <n v="4"/>
    <n v="25"/>
    <n v="78"/>
    <n v="103"/>
    <n v="28"/>
    <n v="29"/>
    <n v="0"/>
    <n v="1"/>
    <n v="104"/>
    <n v="607"/>
  </r>
  <r>
    <x v="17"/>
    <s v="ITA"/>
    <x v="3"/>
    <x v="3"/>
    <n v="3890597598"/>
    <n v="1659440194"/>
    <n v="14"/>
    <n v="2"/>
    <n v="16"/>
    <n v="16"/>
    <n v="32"/>
    <n v="15"/>
    <n v="14"/>
    <n v="1"/>
    <n v="0"/>
    <n v="33"/>
    <n v="483"/>
  </r>
  <r>
    <x v="17"/>
    <s v="ITA"/>
    <x v="4"/>
    <x v="4"/>
    <n v="4083956555"/>
    <n v="1425084984"/>
    <n v="56"/>
    <n v="11"/>
    <n v="67"/>
    <n v="107"/>
    <n v="174"/>
    <n v="25"/>
    <n v="25"/>
    <n v="4"/>
    <n v="1"/>
    <n v="179"/>
    <n v="1551"/>
  </r>
  <r>
    <x v="17"/>
    <s v="ITA"/>
    <x v="5"/>
    <x v="5"/>
    <n v="4449436681"/>
    <n v="113417208"/>
    <n v="814"/>
    <n v="112"/>
    <n v="926"/>
    <n v="832"/>
    <n v="1758"/>
    <n v="170"/>
    <n v="208"/>
    <n v="43"/>
    <n v="146"/>
    <n v="1947"/>
    <n v="7600"/>
  </r>
  <r>
    <x v="17"/>
    <s v="ITA"/>
    <x v="6"/>
    <x v="6"/>
    <n v="456494354"/>
    <n v="1376813649"/>
    <n v="23"/>
    <n v="10"/>
    <n v="33"/>
    <n v="115"/>
    <n v="148"/>
    <n v="38"/>
    <n v="41"/>
    <n v="11"/>
    <n v="8"/>
    <n v="167"/>
    <n v="2604"/>
  </r>
  <r>
    <x v="17"/>
    <s v="ITA"/>
    <x v="7"/>
    <x v="7"/>
    <n v="4189277044"/>
    <n v="1248366722"/>
    <n v="85"/>
    <n v="20"/>
    <n v="105"/>
    <n v="67"/>
    <n v="172"/>
    <n v="47"/>
    <n v="50"/>
    <n v="19"/>
    <n v="9"/>
    <n v="200"/>
    <n v="5592"/>
  </r>
  <r>
    <x v="17"/>
    <s v="ITA"/>
    <x v="8"/>
    <x v="8"/>
    <n v="4441149315"/>
    <n v="89326992"/>
    <n v="100"/>
    <n v="36"/>
    <n v="136"/>
    <n v="107"/>
    <n v="243"/>
    <n v="62"/>
    <n v="80"/>
    <n v="20"/>
    <n v="11"/>
    <n v="274"/>
    <n v="1174"/>
  </r>
  <r>
    <x v="17"/>
    <s v="ITA"/>
    <x v="9"/>
    <x v="9"/>
    <n v="4546679409"/>
    <n v="9190347404"/>
    <n v="4247"/>
    <n v="605"/>
    <n v="4852"/>
    <n v="2044"/>
    <n v="6896"/>
    <n v="1133"/>
    <n v="1445"/>
    <n v="1085"/>
    <n v="744"/>
    <n v="8725"/>
    <n v="29534"/>
  </r>
  <r>
    <x v="17"/>
    <s v="ITA"/>
    <x v="10"/>
    <x v="10"/>
    <n v="4361675973"/>
    <n v="135188753"/>
    <n v="254"/>
    <n v="76"/>
    <n v="330"/>
    <n v="240"/>
    <n v="570"/>
    <n v="109"/>
    <n v="113"/>
    <n v="0"/>
    <n v="22"/>
    <n v="592"/>
    <n v="1907"/>
  </r>
  <r>
    <x v="17"/>
    <s v="ITA"/>
    <x v="11"/>
    <x v="11"/>
    <n v="4155774754"/>
    <n v="1465916051"/>
    <n v="4"/>
    <n v="3"/>
    <n v="7"/>
    <n v="9"/>
    <n v="16"/>
    <n v="0"/>
    <n v="0"/>
    <n v="0"/>
    <n v="0"/>
    <n v="16"/>
    <n v="238"/>
  </r>
  <r>
    <x v="17"/>
    <s v="ITA"/>
    <x v="12"/>
    <x v="12"/>
    <n v="450732745"/>
    <n v="7680687483"/>
    <n v="368"/>
    <n v="97"/>
    <n v="465"/>
    <n v="89"/>
    <n v="554"/>
    <n v="74"/>
    <n v="79"/>
    <n v="0"/>
    <n v="26"/>
    <n v="580"/>
    <n v="2879"/>
  </r>
  <r>
    <x v="17"/>
    <s v="ITA"/>
    <x v="13"/>
    <x v="13"/>
    <n v="4112559576"/>
    <n v="1686736689"/>
    <n v="58"/>
    <n v="2"/>
    <n v="60"/>
    <n v="38"/>
    <n v="98"/>
    <n v="27"/>
    <n v="27"/>
    <n v="1"/>
    <n v="5"/>
    <n v="104"/>
    <n v="1269"/>
  </r>
  <r>
    <x v="17"/>
    <s v="ITA"/>
    <x v="14"/>
    <x v="14"/>
    <n v="3921531192"/>
    <n v="9110616306"/>
    <n v="12"/>
    <n v="0"/>
    <n v="12"/>
    <n v="27"/>
    <n v="39"/>
    <n v="2"/>
    <n v="2"/>
    <n v="0"/>
    <n v="0"/>
    <n v="39"/>
    <n v="302"/>
  </r>
  <r>
    <x v="17"/>
    <s v="ITA"/>
    <x v="15"/>
    <x v="15"/>
    <n v="3811569725"/>
    <n v="133623567"/>
    <n v="28"/>
    <n v="5"/>
    <n v="33"/>
    <n v="78"/>
    <n v="111"/>
    <n v="30"/>
    <n v="32"/>
    <n v="2"/>
    <n v="2"/>
    <n v="115"/>
    <n v="1477"/>
  </r>
  <r>
    <x v="17"/>
    <s v="ITA"/>
    <x v="16"/>
    <x v="16"/>
    <n v="4376923077"/>
    <n v="1125588885"/>
    <n v="100"/>
    <n v="59"/>
    <n v="159"/>
    <n v="193"/>
    <n v="352"/>
    <n v="38"/>
    <n v="44"/>
    <n v="7"/>
    <n v="5"/>
    <n v="364"/>
    <n v="3165"/>
  </r>
  <r>
    <x v="17"/>
    <s v="ITA"/>
    <x v="2"/>
    <x v="17"/>
    <n v="4606893511"/>
    <n v="1112123097"/>
    <n v="43"/>
    <n v="5"/>
    <n v="48"/>
    <n v="54"/>
    <n v="102"/>
    <n v="28"/>
    <n v="30"/>
    <n v="4"/>
    <n v="1"/>
    <n v="107"/>
    <n v="593"/>
  </r>
  <r>
    <x v="17"/>
    <s v="ITA"/>
    <x v="17"/>
    <x v="18"/>
    <n v="4310675841"/>
    <n v="1238824698"/>
    <n v="8"/>
    <n v="8"/>
    <n v="16"/>
    <n v="46"/>
    <n v="62"/>
    <n v="18"/>
    <n v="18"/>
    <n v="2"/>
    <n v="0"/>
    <n v="64"/>
    <n v="458"/>
  </r>
  <r>
    <x v="17"/>
    <s v="ITA"/>
    <x v="18"/>
    <x v="19"/>
    <n v="4573750286"/>
    <n v="7320149366"/>
    <n v="7"/>
    <n v="0"/>
    <n v="7"/>
    <n v="19"/>
    <n v="26"/>
    <n v="7"/>
    <n v="7"/>
    <n v="0"/>
    <n v="1"/>
    <n v="27"/>
    <n v="118"/>
  </r>
  <r>
    <x v="17"/>
    <s v="ITA"/>
    <x v="19"/>
    <x v="20"/>
    <n v="4543490485"/>
    <n v="1233845213"/>
    <n v="360"/>
    <n v="85"/>
    <n v="445"/>
    <n v="852"/>
    <n v="1297"/>
    <n v="357"/>
    <n v="361"/>
    <n v="55"/>
    <n v="32"/>
    <n v="1384"/>
    <n v="23438"/>
  </r>
  <r>
    <x v="18"/>
    <s v="ITA"/>
    <x v="0"/>
    <x v="0"/>
    <n v="4235122196"/>
    <n v="1339843823"/>
    <n v="42"/>
    <n v="14"/>
    <n v="56"/>
    <n v="27"/>
    <n v="83"/>
    <n v="5"/>
    <n v="5"/>
    <n v="4"/>
    <n v="2"/>
    <n v="89"/>
    <n v="958"/>
  </r>
  <r>
    <x v="18"/>
    <s v="ITA"/>
    <x v="1"/>
    <x v="1"/>
    <n v="4063947052"/>
    <n v="1580514834"/>
    <n v="1"/>
    <n v="1"/>
    <n v="2"/>
    <n v="8"/>
    <n v="10"/>
    <n v="2"/>
    <n v="2"/>
    <n v="0"/>
    <n v="0"/>
    <n v="10"/>
    <n v="155"/>
  </r>
  <r>
    <x v="18"/>
    <s v="ITA"/>
    <x v="2"/>
    <x v="2"/>
    <n v="4649933453"/>
    <n v="1135662422"/>
    <n v="20"/>
    <n v="5"/>
    <n v="25"/>
    <n v="98"/>
    <n v="123"/>
    <n v="20"/>
    <n v="21"/>
    <n v="0"/>
    <n v="2"/>
    <n v="125"/>
    <n v="811"/>
  </r>
  <r>
    <x v="18"/>
    <s v="ITA"/>
    <x v="3"/>
    <x v="3"/>
    <n v="3890597598"/>
    <n v="1659440194"/>
    <n v="18"/>
    <n v="3"/>
    <n v="21"/>
    <n v="16"/>
    <n v="37"/>
    <n v="5"/>
    <n v="5"/>
    <n v="1"/>
    <n v="0"/>
    <n v="38"/>
    <n v="504"/>
  </r>
  <r>
    <x v="18"/>
    <s v="ITA"/>
    <x v="4"/>
    <x v="4"/>
    <n v="4083956555"/>
    <n v="1425084984"/>
    <n v="60"/>
    <n v="19"/>
    <n v="79"/>
    <n v="134"/>
    <n v="213"/>
    <n v="39"/>
    <n v="41"/>
    <n v="5"/>
    <n v="2"/>
    <n v="220"/>
    <n v="1671"/>
  </r>
  <r>
    <x v="18"/>
    <s v="ITA"/>
    <x v="5"/>
    <x v="5"/>
    <n v="4449436681"/>
    <n v="113417208"/>
    <n v="942"/>
    <n v="128"/>
    <n v="1070"/>
    <n v="941"/>
    <n v="2011"/>
    <n v="253"/>
    <n v="316"/>
    <n v="51"/>
    <n v="201"/>
    <n v="2263"/>
    <n v="8787"/>
  </r>
  <r>
    <x v="18"/>
    <s v="ITA"/>
    <x v="6"/>
    <x v="6"/>
    <n v="456494354"/>
    <n v="1376813649"/>
    <n v="59"/>
    <n v="8"/>
    <n v="67"/>
    <n v="169"/>
    <n v="236"/>
    <n v="88"/>
    <n v="90"/>
    <n v="11"/>
    <n v="10"/>
    <n v="257"/>
    <n v="3149"/>
  </r>
  <r>
    <x v="18"/>
    <s v="ITA"/>
    <x v="7"/>
    <x v="7"/>
    <n v="4189277044"/>
    <n v="1248366722"/>
    <n v="122"/>
    <n v="24"/>
    <n v="146"/>
    <n v="96"/>
    <n v="242"/>
    <n v="70"/>
    <n v="77"/>
    <n v="24"/>
    <n v="11"/>
    <n v="277"/>
    <n v="6491"/>
  </r>
  <r>
    <x v="18"/>
    <s v="ITA"/>
    <x v="8"/>
    <x v="8"/>
    <n v="4441149315"/>
    <n v="89326992"/>
    <n v="128"/>
    <n v="44"/>
    <n v="172"/>
    <n v="132"/>
    <n v="304"/>
    <n v="61"/>
    <n v="71"/>
    <n v="24"/>
    <n v="17"/>
    <n v="345"/>
    <n v="1442"/>
  </r>
  <r>
    <x v="18"/>
    <s v="ITA"/>
    <x v="9"/>
    <x v="9"/>
    <n v="4546679409"/>
    <n v="9190347404"/>
    <n v="4435"/>
    <n v="650"/>
    <n v="5085"/>
    <n v="2647"/>
    <n v="7732"/>
    <n v="836"/>
    <n v="1095"/>
    <n v="1198"/>
    <n v="890"/>
    <n v="9820"/>
    <n v="32700"/>
  </r>
  <r>
    <x v="18"/>
    <s v="ITA"/>
    <x v="10"/>
    <x v="10"/>
    <n v="4361675973"/>
    <n v="135188753"/>
    <n v="337"/>
    <n v="85"/>
    <n v="422"/>
    <n v="276"/>
    <n v="698"/>
    <n v="128"/>
    <n v="133"/>
    <n v="0"/>
    <n v="27"/>
    <n v="725"/>
    <n v="2218"/>
  </r>
  <r>
    <x v="18"/>
    <s v="ITA"/>
    <x v="11"/>
    <x v="11"/>
    <n v="4155774754"/>
    <n v="1465916051"/>
    <n v="5"/>
    <n v="3"/>
    <n v="8"/>
    <n v="9"/>
    <n v="17"/>
    <n v="1"/>
    <n v="1"/>
    <n v="0"/>
    <n v="0"/>
    <n v="17"/>
    <n v="243"/>
  </r>
  <r>
    <x v="18"/>
    <s v="ITA"/>
    <x v="12"/>
    <x v="12"/>
    <n v="450732745"/>
    <n v="7680687483"/>
    <n v="556"/>
    <n v="135"/>
    <n v="691"/>
    <n v="103"/>
    <n v="794"/>
    <n v="240"/>
    <n v="260"/>
    <n v="0"/>
    <n v="46"/>
    <n v="840"/>
    <n v="3105"/>
  </r>
  <r>
    <x v="18"/>
    <s v="ITA"/>
    <x v="13"/>
    <x v="13"/>
    <n v="4112559576"/>
    <n v="1686736689"/>
    <n v="77"/>
    <n v="2"/>
    <n v="79"/>
    <n v="42"/>
    <n v="121"/>
    <n v="23"/>
    <n v="25"/>
    <n v="3"/>
    <n v="5"/>
    <n v="129"/>
    <n v="1449"/>
  </r>
  <r>
    <x v="18"/>
    <s v="ITA"/>
    <x v="14"/>
    <x v="14"/>
    <n v="3921531192"/>
    <n v="9110616306"/>
    <n v="12"/>
    <n v="0"/>
    <n v="12"/>
    <n v="31"/>
    <n v="43"/>
    <n v="4"/>
    <n v="4"/>
    <n v="0"/>
    <n v="0"/>
    <n v="43"/>
    <n v="504"/>
  </r>
  <r>
    <x v="18"/>
    <s v="ITA"/>
    <x v="15"/>
    <x v="15"/>
    <n v="3811569725"/>
    <n v="133623567"/>
    <n v="37"/>
    <n v="7"/>
    <n v="44"/>
    <n v="82"/>
    <n v="126"/>
    <n v="15"/>
    <n v="15"/>
    <n v="2"/>
    <n v="2"/>
    <n v="130"/>
    <n v="1950"/>
  </r>
  <r>
    <x v="18"/>
    <s v="ITA"/>
    <x v="16"/>
    <x v="16"/>
    <n v="4376923077"/>
    <n v="1125588885"/>
    <n v="134"/>
    <n v="77"/>
    <n v="211"/>
    <n v="244"/>
    <n v="455"/>
    <n v="103"/>
    <n v="106"/>
    <n v="10"/>
    <n v="5"/>
    <n v="470"/>
    <n v="4049"/>
  </r>
  <r>
    <x v="18"/>
    <s v="ITA"/>
    <x v="2"/>
    <x v="17"/>
    <n v="4606893511"/>
    <n v="1112123097"/>
    <n v="58"/>
    <n v="6"/>
    <n v="64"/>
    <n v="93"/>
    <n v="157"/>
    <n v="55"/>
    <n v="56"/>
    <n v="4"/>
    <n v="2"/>
    <n v="163"/>
    <n v="846"/>
  </r>
  <r>
    <x v="18"/>
    <s v="ITA"/>
    <x v="17"/>
    <x v="18"/>
    <n v="4310675841"/>
    <n v="1238824698"/>
    <n v="11"/>
    <n v="10"/>
    <n v="21"/>
    <n v="52"/>
    <n v="73"/>
    <n v="11"/>
    <n v="12"/>
    <n v="2"/>
    <n v="1"/>
    <n v="76"/>
    <n v="576"/>
  </r>
  <r>
    <x v="18"/>
    <s v="ITA"/>
    <x v="18"/>
    <x v="19"/>
    <n v="4573750286"/>
    <n v="7320149366"/>
    <n v="6"/>
    <n v="0"/>
    <n v="6"/>
    <n v="21"/>
    <n v="27"/>
    <n v="1"/>
    <n v="1"/>
    <n v="0"/>
    <n v="1"/>
    <n v="28"/>
    <n v="189"/>
  </r>
  <r>
    <x v="18"/>
    <s v="ITA"/>
    <x v="19"/>
    <x v="20"/>
    <n v="4543490485"/>
    <n v="1233845213"/>
    <n v="366"/>
    <n v="107"/>
    <n v="473"/>
    <n v="980"/>
    <n v="1453"/>
    <n v="156"/>
    <n v="211"/>
    <n v="100"/>
    <n v="42"/>
    <n v="1595"/>
    <n v="25691"/>
  </r>
  <r>
    <x v="19"/>
    <s v="ITA"/>
    <x v="0"/>
    <x v="0"/>
    <n v="4235122196"/>
    <n v="1339843823"/>
    <n v="51"/>
    <n v="14"/>
    <n v="65"/>
    <n v="41"/>
    <n v="106"/>
    <n v="23"/>
    <n v="23"/>
    <n v="4"/>
    <n v="2"/>
    <n v="112"/>
    <n v="1232"/>
  </r>
  <r>
    <x v="19"/>
    <s v="ITA"/>
    <x v="1"/>
    <x v="1"/>
    <n v="4063947052"/>
    <n v="1580514834"/>
    <n v="0"/>
    <n v="2"/>
    <n v="2"/>
    <n v="8"/>
    <n v="10"/>
    <n v="0"/>
    <n v="0"/>
    <n v="0"/>
    <n v="0"/>
    <n v="10"/>
    <n v="155"/>
  </r>
  <r>
    <x v="19"/>
    <s v="ITA"/>
    <x v="2"/>
    <x v="2"/>
    <n v="4649933453"/>
    <n v="1135662422"/>
    <n v="26"/>
    <n v="7"/>
    <n v="33"/>
    <n v="137"/>
    <n v="170"/>
    <n v="47"/>
    <n v="48"/>
    <n v="0"/>
    <n v="3"/>
    <n v="173"/>
    <n v="1135"/>
  </r>
  <r>
    <x v="19"/>
    <s v="ITA"/>
    <x v="3"/>
    <x v="3"/>
    <n v="3890597598"/>
    <n v="1659440194"/>
    <n v="22"/>
    <n v="4"/>
    <n v="26"/>
    <n v="33"/>
    <n v="59"/>
    <n v="22"/>
    <n v="22"/>
    <n v="1"/>
    <n v="0"/>
    <n v="60"/>
    <n v="711"/>
  </r>
  <r>
    <x v="19"/>
    <s v="ITA"/>
    <x v="4"/>
    <x v="4"/>
    <n v="4083956555"/>
    <n v="1425084984"/>
    <n v="72"/>
    <n v="17"/>
    <n v="89"/>
    <n v="154"/>
    <n v="243"/>
    <n v="30"/>
    <n v="52"/>
    <n v="23"/>
    <n v="6"/>
    <n v="272"/>
    <n v="1936"/>
  </r>
  <r>
    <x v="19"/>
    <s v="ITA"/>
    <x v="5"/>
    <x v="5"/>
    <n v="4449436681"/>
    <n v="113417208"/>
    <n v="1076"/>
    <n v="152"/>
    <n v="1228"/>
    <n v="1121"/>
    <n v="2349"/>
    <n v="338"/>
    <n v="381"/>
    <n v="54"/>
    <n v="241"/>
    <n v="2644"/>
    <n v="10043"/>
  </r>
  <r>
    <x v="19"/>
    <s v="ITA"/>
    <x v="6"/>
    <x v="6"/>
    <n v="456494354"/>
    <n v="1376813649"/>
    <n v="67"/>
    <n v="11"/>
    <n v="78"/>
    <n v="193"/>
    <n v="271"/>
    <n v="35"/>
    <n v="44"/>
    <n v="17"/>
    <n v="13"/>
    <n v="301"/>
    <n v="3376"/>
  </r>
  <r>
    <x v="19"/>
    <s v="ITA"/>
    <x v="7"/>
    <x v="7"/>
    <n v="4189277044"/>
    <n v="1248366722"/>
    <n v="181"/>
    <n v="25"/>
    <n v="206"/>
    <n v="114"/>
    <n v="320"/>
    <n v="78"/>
    <n v="80"/>
    <n v="24"/>
    <n v="13"/>
    <n v="357"/>
    <n v="7335"/>
  </r>
  <r>
    <x v="19"/>
    <s v="ITA"/>
    <x v="8"/>
    <x v="8"/>
    <n v="4441149315"/>
    <n v="89326992"/>
    <n v="213"/>
    <n v="62"/>
    <n v="275"/>
    <n v="109"/>
    <n v="384"/>
    <n v="80"/>
    <n v="118"/>
    <n v="52"/>
    <n v="27"/>
    <n v="463"/>
    <n v="1750"/>
  </r>
  <r>
    <x v="19"/>
    <s v="ITA"/>
    <x v="9"/>
    <x v="9"/>
    <n v="4546679409"/>
    <n v="9190347404"/>
    <n v="4898"/>
    <n v="732"/>
    <n v="5630"/>
    <n v="3429"/>
    <n v="9059"/>
    <n v="1327"/>
    <n v="1865"/>
    <n v="1660"/>
    <n v="966"/>
    <n v="11685"/>
    <n v="37138"/>
  </r>
  <r>
    <x v="19"/>
    <s v="ITA"/>
    <x v="10"/>
    <x v="10"/>
    <n v="4361675973"/>
    <n v="135188753"/>
    <n v="449"/>
    <n v="93"/>
    <n v="542"/>
    <n v="321"/>
    <n v="863"/>
    <n v="165"/>
    <n v="174"/>
    <n v="0"/>
    <n v="36"/>
    <n v="899"/>
    <n v="2561"/>
  </r>
  <r>
    <x v="19"/>
    <s v="ITA"/>
    <x v="11"/>
    <x v="11"/>
    <n v="4155774754"/>
    <n v="1465916051"/>
    <n v="5"/>
    <n v="3"/>
    <n v="8"/>
    <n v="9"/>
    <n v="17"/>
    <n v="0"/>
    <n v="0"/>
    <n v="0"/>
    <n v="0"/>
    <n v="17"/>
    <n v="247"/>
  </r>
  <r>
    <x v="19"/>
    <s v="ITA"/>
    <x v="12"/>
    <x v="12"/>
    <n v="450732745"/>
    <n v="7680687483"/>
    <n v="538"/>
    <n v="150"/>
    <n v="688"/>
    <n v="126"/>
    <n v="814"/>
    <n v="20"/>
    <n v="33"/>
    <n v="0"/>
    <n v="59"/>
    <n v="873"/>
    <n v="3680"/>
  </r>
  <r>
    <x v="19"/>
    <s v="ITA"/>
    <x v="13"/>
    <x v="13"/>
    <n v="4112559576"/>
    <n v="1686736689"/>
    <n v="91"/>
    <n v="6"/>
    <n v="97"/>
    <n v="59"/>
    <n v="156"/>
    <n v="35"/>
    <n v="37"/>
    <n v="2"/>
    <n v="8"/>
    <n v="166"/>
    <n v="1681"/>
  </r>
  <r>
    <x v="19"/>
    <s v="ITA"/>
    <x v="14"/>
    <x v="14"/>
    <n v="3921531192"/>
    <n v="9110616306"/>
    <n v="14"/>
    <n v="0"/>
    <n v="14"/>
    <n v="33"/>
    <n v="47"/>
    <n v="4"/>
    <n v="4"/>
    <n v="0"/>
    <n v="0"/>
    <n v="47"/>
    <n v="530"/>
  </r>
  <r>
    <x v="19"/>
    <s v="ITA"/>
    <x v="15"/>
    <x v="15"/>
    <n v="3811569725"/>
    <n v="133623567"/>
    <n v="42"/>
    <n v="11"/>
    <n v="53"/>
    <n v="97"/>
    <n v="150"/>
    <n v="24"/>
    <n v="26"/>
    <n v="4"/>
    <n v="2"/>
    <n v="156"/>
    <n v="2100"/>
  </r>
  <r>
    <x v="19"/>
    <s v="ITA"/>
    <x v="16"/>
    <x v="16"/>
    <n v="4376923077"/>
    <n v="1125588885"/>
    <n v="160"/>
    <n v="87"/>
    <n v="247"/>
    <n v="367"/>
    <n v="614"/>
    <n v="159"/>
    <n v="160"/>
    <n v="10"/>
    <n v="6"/>
    <n v="630"/>
    <n v="4595"/>
  </r>
  <r>
    <x v="19"/>
    <s v="ITA"/>
    <x v="2"/>
    <x v="17"/>
    <n v="4606893511"/>
    <n v="1112123097"/>
    <n v="68"/>
    <n v="12"/>
    <n v="80"/>
    <n v="119"/>
    <n v="199"/>
    <n v="42"/>
    <n v="43"/>
    <n v="5"/>
    <n v="2"/>
    <n v="206"/>
    <n v="1006"/>
  </r>
  <r>
    <x v="19"/>
    <s v="ITA"/>
    <x v="17"/>
    <x v="18"/>
    <n v="4310675841"/>
    <n v="1238824698"/>
    <n v="21"/>
    <n v="11"/>
    <n v="32"/>
    <n v="71"/>
    <n v="103"/>
    <n v="30"/>
    <n v="31"/>
    <n v="3"/>
    <n v="1"/>
    <n v="107"/>
    <n v="748"/>
  </r>
  <r>
    <x v="19"/>
    <s v="ITA"/>
    <x v="18"/>
    <x v="19"/>
    <n v="4573750286"/>
    <n v="7320149366"/>
    <n v="12"/>
    <n v="0"/>
    <n v="12"/>
    <n v="29"/>
    <n v="41"/>
    <n v="14"/>
    <n v="14"/>
    <n v="0"/>
    <n v="1"/>
    <n v="42"/>
    <n v="231"/>
  </r>
  <r>
    <x v="19"/>
    <s v="ITA"/>
    <x v="19"/>
    <x v="20"/>
    <n v="4543490485"/>
    <n v="1233845213"/>
    <n v="366"/>
    <n v="119"/>
    <n v="485"/>
    <n v="1290"/>
    <n v="1775"/>
    <n v="322"/>
    <n v="342"/>
    <n v="107"/>
    <n v="55"/>
    <n v="1937"/>
    <n v="26980"/>
  </r>
  <r>
    <x v="20"/>
    <s v="ITA"/>
    <x v="0"/>
    <x v="0"/>
    <n v="4235122196"/>
    <n v="1339843823"/>
    <n v="72"/>
    <n v="28"/>
    <n v="100"/>
    <n v="28"/>
    <n v="128"/>
    <n v="22"/>
    <n v="25"/>
    <n v="6"/>
    <n v="3"/>
    <n v="137"/>
    <n v="1419"/>
  </r>
  <r>
    <x v="20"/>
    <s v="ITA"/>
    <x v="1"/>
    <x v="1"/>
    <n v="4063947052"/>
    <n v="1580514834"/>
    <n v="0"/>
    <n v="2"/>
    <n v="2"/>
    <n v="9"/>
    <n v="11"/>
    <n v="1"/>
    <n v="1"/>
    <n v="0"/>
    <n v="0"/>
    <n v="11"/>
    <n v="208"/>
  </r>
  <r>
    <x v="20"/>
    <s v="ITA"/>
    <x v="2"/>
    <x v="2"/>
    <n v="4649933453"/>
    <n v="1135662422"/>
    <n v="50"/>
    <n v="4"/>
    <n v="54"/>
    <n v="145"/>
    <n v="199"/>
    <n v="29"/>
    <n v="31"/>
    <n v="0"/>
    <n v="5"/>
    <n v="204"/>
    <n v="1497"/>
  </r>
  <r>
    <x v="20"/>
    <s v="ITA"/>
    <x v="3"/>
    <x v="3"/>
    <n v="3890597598"/>
    <n v="1659440194"/>
    <n v="32"/>
    <n v="6"/>
    <n v="38"/>
    <n v="28"/>
    <n v="66"/>
    <n v="7"/>
    <n v="8"/>
    <n v="1"/>
    <n v="1"/>
    <n v="68"/>
    <n v="884"/>
  </r>
  <r>
    <x v="20"/>
    <s v="ITA"/>
    <x v="4"/>
    <x v="4"/>
    <n v="4083956555"/>
    <n v="1425084984"/>
    <n v="73"/>
    <n v="22"/>
    <n v="95"/>
    <n v="201"/>
    <n v="296"/>
    <n v="53"/>
    <n v="61"/>
    <n v="28"/>
    <n v="9"/>
    <n v="333"/>
    <n v="2213"/>
  </r>
  <r>
    <x v="20"/>
    <s v="ITA"/>
    <x v="5"/>
    <x v="5"/>
    <n v="4449436681"/>
    <n v="113417208"/>
    <n v="1215"/>
    <n v="169"/>
    <n v="1384"/>
    <n v="1357"/>
    <n v="2741"/>
    <n v="392"/>
    <n v="449"/>
    <n v="68"/>
    <n v="284"/>
    <n v="3093"/>
    <n v="12054"/>
  </r>
  <r>
    <x v="20"/>
    <s v="ITA"/>
    <x v="6"/>
    <x v="6"/>
    <n v="456494354"/>
    <n v="1376813649"/>
    <n v="98"/>
    <n v="12"/>
    <n v="110"/>
    <n v="206"/>
    <n v="316"/>
    <n v="45"/>
    <n v="46"/>
    <n v="17"/>
    <n v="14"/>
    <n v="347"/>
    <n v="3407"/>
  </r>
  <r>
    <x v="20"/>
    <s v="ITA"/>
    <x v="7"/>
    <x v="7"/>
    <n v="4189277044"/>
    <n v="1248366722"/>
    <n v="223"/>
    <n v="31"/>
    <n v="254"/>
    <n v="142"/>
    <n v="396"/>
    <n v="76"/>
    <n v="79"/>
    <n v="24"/>
    <n v="16"/>
    <n v="436"/>
    <n v="8345"/>
  </r>
  <r>
    <x v="20"/>
    <s v="ITA"/>
    <x v="8"/>
    <x v="8"/>
    <n v="4441149315"/>
    <n v="89326992"/>
    <n v="253"/>
    <n v="66"/>
    <n v="319"/>
    <n v="174"/>
    <n v="493"/>
    <n v="109"/>
    <n v="96"/>
    <n v="33"/>
    <n v="33"/>
    <n v="559"/>
    <n v="1973"/>
  </r>
  <r>
    <x v="20"/>
    <s v="ITA"/>
    <x v="9"/>
    <x v="9"/>
    <n v="4546679409"/>
    <n v="9190347404"/>
    <n v="5500"/>
    <n v="767"/>
    <n v="6267"/>
    <n v="3776"/>
    <n v="10043"/>
    <n v="984"/>
    <n v="1587"/>
    <n v="2011"/>
    <n v="1218"/>
    <n v="13272"/>
    <n v="40369"/>
  </r>
  <r>
    <x v="20"/>
    <s v="ITA"/>
    <x v="10"/>
    <x v="10"/>
    <n v="4361675973"/>
    <n v="135188753"/>
    <n v="521"/>
    <n v="98"/>
    <n v="619"/>
    <n v="468"/>
    <n v="1087"/>
    <n v="224"/>
    <n v="234"/>
    <n v="0"/>
    <n v="46"/>
    <n v="1133"/>
    <n v="2946"/>
  </r>
  <r>
    <x v="20"/>
    <s v="ITA"/>
    <x v="11"/>
    <x v="11"/>
    <n v="4155774754"/>
    <n v="1465916051"/>
    <n v="3"/>
    <n v="4"/>
    <n v="7"/>
    <n v="10"/>
    <n v="17"/>
    <n v="0"/>
    <n v="0"/>
    <n v="0"/>
    <n v="0"/>
    <n v="17"/>
    <n v="248"/>
  </r>
  <r>
    <x v="20"/>
    <s v="ITA"/>
    <x v="12"/>
    <x v="12"/>
    <n v="450732745"/>
    <n v="7680687483"/>
    <n v="726"/>
    <n v="171"/>
    <n v="897"/>
    <n v="133"/>
    <n v="1030"/>
    <n v="216"/>
    <n v="238"/>
    <n v="0"/>
    <n v="81"/>
    <n v="1111"/>
    <n v="4375"/>
  </r>
  <r>
    <x v="20"/>
    <s v="ITA"/>
    <x v="13"/>
    <x v="13"/>
    <n v="4112559576"/>
    <n v="1686736689"/>
    <n v="116"/>
    <n v="6"/>
    <n v="122"/>
    <n v="90"/>
    <n v="212"/>
    <n v="56"/>
    <n v="64"/>
    <n v="2"/>
    <n v="16"/>
    <n v="230"/>
    <n v="2017"/>
  </r>
  <r>
    <x v="20"/>
    <s v="ITA"/>
    <x v="14"/>
    <x v="14"/>
    <n v="3921531192"/>
    <n v="9110616306"/>
    <n v="16"/>
    <n v="0"/>
    <n v="16"/>
    <n v="59"/>
    <n v="75"/>
    <n v="28"/>
    <n v="30"/>
    <n v="0"/>
    <n v="2"/>
    <n v="77"/>
    <n v="613"/>
  </r>
  <r>
    <x v="20"/>
    <s v="ITA"/>
    <x v="15"/>
    <x v="15"/>
    <n v="3811569725"/>
    <n v="133623567"/>
    <n v="56"/>
    <n v="15"/>
    <n v="71"/>
    <n v="108"/>
    <n v="179"/>
    <n v="29"/>
    <n v="32"/>
    <n v="7"/>
    <n v="2"/>
    <n v="188"/>
    <n v="2452"/>
  </r>
  <r>
    <x v="20"/>
    <s v="ITA"/>
    <x v="16"/>
    <x v="16"/>
    <n v="4376923077"/>
    <n v="1125588885"/>
    <n v="175"/>
    <n v="107"/>
    <n v="282"/>
    <n v="481"/>
    <n v="763"/>
    <n v="149"/>
    <n v="151"/>
    <n v="10"/>
    <n v="8"/>
    <n v="781"/>
    <n v="5132"/>
  </r>
  <r>
    <x v="20"/>
    <s v="ITA"/>
    <x v="2"/>
    <x v="17"/>
    <n v="4606893511"/>
    <n v="1112123097"/>
    <n v="73"/>
    <n v="19"/>
    <n v="92"/>
    <n v="275"/>
    <n v="367"/>
    <n v="168"/>
    <n v="172"/>
    <n v="5"/>
    <n v="6"/>
    <n v="378"/>
    <n v="1006"/>
  </r>
  <r>
    <x v="20"/>
    <s v="ITA"/>
    <x v="17"/>
    <x v="18"/>
    <n v="4310675841"/>
    <n v="1238824698"/>
    <n v="25"/>
    <n v="13"/>
    <n v="38"/>
    <n v="101"/>
    <n v="139"/>
    <n v="36"/>
    <n v="36"/>
    <n v="3"/>
    <n v="1"/>
    <n v="143"/>
    <n v="965"/>
  </r>
  <r>
    <x v="20"/>
    <s v="ITA"/>
    <x v="18"/>
    <x v="19"/>
    <n v="4573750286"/>
    <n v="7320149366"/>
    <n v="10"/>
    <n v="3"/>
    <n v="13"/>
    <n v="43"/>
    <n v="56"/>
    <n v="15"/>
    <n v="15"/>
    <n v="0"/>
    <n v="1"/>
    <n v="57"/>
    <n v="230"/>
  </r>
  <r>
    <x v="20"/>
    <s v="ITA"/>
    <x v="19"/>
    <x v="20"/>
    <n v="4543490485"/>
    <n v="1233845213"/>
    <n v="426"/>
    <n v="129"/>
    <n v="555"/>
    <n v="1434"/>
    <n v="1989"/>
    <n v="214"/>
    <n v="235"/>
    <n v="120"/>
    <n v="63"/>
    <n v="2172"/>
    <n v="32546"/>
  </r>
  <r>
    <x v="21"/>
    <s v="ITA"/>
    <x v="0"/>
    <x v="0"/>
    <n v="4235122196"/>
    <n v="1339843823"/>
    <n v="71"/>
    <n v="37"/>
    <n v="108"/>
    <n v="57"/>
    <n v="165"/>
    <n v="37"/>
    <n v="39"/>
    <n v="7"/>
    <n v="4"/>
    <n v="176"/>
    <n v="1533"/>
  </r>
  <r>
    <x v="21"/>
    <s v="ITA"/>
    <x v="1"/>
    <x v="1"/>
    <n v="4063947052"/>
    <n v="1580514834"/>
    <n v="1"/>
    <n v="2"/>
    <n v="3"/>
    <n v="9"/>
    <n v="12"/>
    <n v="1"/>
    <n v="1"/>
    <n v="0"/>
    <n v="0"/>
    <n v="12"/>
    <n v="230"/>
  </r>
  <r>
    <x v="21"/>
    <s v="ITA"/>
    <x v="2"/>
    <x v="2"/>
    <n v="4649933453"/>
    <n v="1135662422"/>
    <n v="53"/>
    <n v="11"/>
    <n v="64"/>
    <n v="171"/>
    <n v="235"/>
    <n v="36"/>
    <n v="37"/>
    <n v="0"/>
    <n v="6"/>
    <n v="241"/>
    <n v="1740"/>
  </r>
  <r>
    <x v="21"/>
    <s v="ITA"/>
    <x v="3"/>
    <x v="3"/>
    <n v="3890597598"/>
    <n v="1659440194"/>
    <n v="36"/>
    <n v="7"/>
    <n v="43"/>
    <n v="44"/>
    <n v="87"/>
    <n v="21"/>
    <n v="21"/>
    <n v="1"/>
    <n v="1"/>
    <n v="89"/>
    <n v="1030"/>
  </r>
  <r>
    <x v="21"/>
    <s v="ITA"/>
    <x v="4"/>
    <x v="4"/>
    <n v="4083956555"/>
    <n v="1425084984"/>
    <n v="103"/>
    <n v="22"/>
    <n v="125"/>
    <n v="238"/>
    <n v="363"/>
    <n v="67"/>
    <n v="67"/>
    <n v="28"/>
    <n v="9"/>
    <n v="400"/>
    <n v="2517"/>
  </r>
  <r>
    <x v="21"/>
    <s v="ITA"/>
    <x v="5"/>
    <x v="5"/>
    <n v="4449436681"/>
    <n v="113417208"/>
    <n v="1362"/>
    <n v="197"/>
    <n v="1559"/>
    <n v="1529"/>
    <n v="3088"/>
    <n v="347"/>
    <n v="429"/>
    <n v="88"/>
    <n v="346"/>
    <n v="3522"/>
    <n v="13096"/>
  </r>
  <r>
    <x v="21"/>
    <s v="ITA"/>
    <x v="6"/>
    <x v="6"/>
    <n v="456494354"/>
    <n v="1376813649"/>
    <n v="96"/>
    <n v="19"/>
    <n v="115"/>
    <n v="231"/>
    <n v="346"/>
    <n v="30"/>
    <n v="39"/>
    <n v="18"/>
    <n v="22"/>
    <n v="386"/>
    <n v="4851"/>
  </r>
  <r>
    <x v="21"/>
    <s v="ITA"/>
    <x v="7"/>
    <x v="7"/>
    <n v="4189277044"/>
    <n v="1248366722"/>
    <n v="267"/>
    <n v="31"/>
    <n v="298"/>
    <n v="174"/>
    <n v="472"/>
    <n v="76"/>
    <n v="87"/>
    <n v="32"/>
    <n v="19"/>
    <n v="523"/>
    <n v="9330"/>
  </r>
  <r>
    <x v="21"/>
    <s v="ITA"/>
    <x v="8"/>
    <x v="8"/>
    <n v="4441149315"/>
    <n v="89326992"/>
    <n v="255"/>
    <n v="73"/>
    <n v="328"/>
    <n v="247"/>
    <n v="575"/>
    <n v="82"/>
    <n v="108"/>
    <n v="42"/>
    <n v="50"/>
    <n v="667"/>
    <n v="2189"/>
  </r>
  <r>
    <x v="21"/>
    <s v="ITA"/>
    <x v="9"/>
    <x v="9"/>
    <n v="4546679409"/>
    <n v="9190347404"/>
    <n v="6171"/>
    <n v="823"/>
    <n v="6994"/>
    <n v="3867"/>
    <n v="10861"/>
    <n v="818"/>
    <n v="1377"/>
    <n v="2368"/>
    <n v="1420"/>
    <n v="14649"/>
    <n v="43565"/>
  </r>
  <r>
    <x v="21"/>
    <s v="ITA"/>
    <x v="10"/>
    <x v="10"/>
    <n v="4361675973"/>
    <n v="135188753"/>
    <n v="528"/>
    <n v="110"/>
    <n v="638"/>
    <n v="547"/>
    <n v="1185"/>
    <n v="98"/>
    <n v="109"/>
    <n v="0"/>
    <n v="57"/>
    <n v="1242"/>
    <n v="3225"/>
  </r>
  <r>
    <x v="21"/>
    <s v="ITA"/>
    <x v="11"/>
    <x v="11"/>
    <n v="4155774754"/>
    <n v="1465916051"/>
    <n v="3"/>
    <n v="5"/>
    <n v="8"/>
    <n v="7"/>
    <n v="15"/>
    <n v="-2"/>
    <n v="4"/>
    <n v="5"/>
    <n v="1"/>
    <n v="21"/>
    <n v="253"/>
  </r>
  <r>
    <x v="21"/>
    <s v="ITA"/>
    <x v="12"/>
    <x v="12"/>
    <n v="450732745"/>
    <n v="7680687483"/>
    <n v="1045"/>
    <n v="186"/>
    <n v="1231"/>
    <n v="174"/>
    <n v="1405"/>
    <n v="375"/>
    <n v="405"/>
    <n v="0"/>
    <n v="111"/>
    <n v="1516"/>
    <n v="5588"/>
  </r>
  <r>
    <x v="21"/>
    <s v="ITA"/>
    <x v="13"/>
    <x v="13"/>
    <n v="4112559576"/>
    <n v="1686736689"/>
    <n v="116"/>
    <n v="6"/>
    <n v="122"/>
    <n v="90"/>
    <n v="212"/>
    <n v="0"/>
    <n v="0"/>
    <n v="2"/>
    <n v="16"/>
    <n v="230"/>
    <n v="2017"/>
  </r>
  <r>
    <x v="21"/>
    <s v="ITA"/>
    <x v="14"/>
    <x v="14"/>
    <n v="3921531192"/>
    <n v="9110616306"/>
    <n v="39"/>
    <n v="0"/>
    <n v="39"/>
    <n v="66"/>
    <n v="105"/>
    <n v="30"/>
    <n v="30"/>
    <n v="0"/>
    <n v="2"/>
    <n v="107"/>
    <n v="797"/>
  </r>
  <r>
    <x v="21"/>
    <s v="ITA"/>
    <x v="15"/>
    <x v="15"/>
    <n v="3811569725"/>
    <n v="133623567"/>
    <n v="75"/>
    <n v="20"/>
    <n v="95"/>
    <n v="108"/>
    <n v="203"/>
    <n v="24"/>
    <n v="25"/>
    <n v="8"/>
    <n v="2"/>
    <n v="213"/>
    <n v="2653"/>
  </r>
  <r>
    <x v="21"/>
    <s v="ITA"/>
    <x v="16"/>
    <x v="16"/>
    <n v="4376923077"/>
    <n v="1125588885"/>
    <n v="175"/>
    <n v="107"/>
    <n v="282"/>
    <n v="559"/>
    <n v="841"/>
    <n v="78"/>
    <n v="85"/>
    <n v="11"/>
    <n v="14"/>
    <n v="866"/>
    <n v="5910"/>
  </r>
  <r>
    <x v="21"/>
    <s v="ITA"/>
    <x v="2"/>
    <x v="17"/>
    <n v="4606893511"/>
    <n v="1112123097"/>
    <n v="73"/>
    <n v="19"/>
    <n v="92"/>
    <n v="275"/>
    <n v="367"/>
    <n v="0"/>
    <n v="0"/>
    <n v="5"/>
    <n v="6"/>
    <n v="378"/>
    <n v="1006"/>
  </r>
  <r>
    <x v="21"/>
    <s v="ITA"/>
    <x v="17"/>
    <x v="18"/>
    <n v="4310675841"/>
    <n v="1238824698"/>
    <n v="30"/>
    <n v="15"/>
    <n v="45"/>
    <n v="114"/>
    <n v="159"/>
    <n v="20"/>
    <n v="21"/>
    <n v="4"/>
    <n v="1"/>
    <n v="164"/>
    <n v="1093"/>
  </r>
  <r>
    <x v="21"/>
    <s v="ITA"/>
    <x v="18"/>
    <x v="19"/>
    <n v="4573750286"/>
    <n v="7320149366"/>
    <n v="28"/>
    <n v="5"/>
    <n v="33"/>
    <n v="70"/>
    <n v="103"/>
    <n v="47"/>
    <n v="48"/>
    <n v="0"/>
    <n v="2"/>
    <n v="105"/>
    <n v="287"/>
  </r>
  <r>
    <x v="21"/>
    <s v="ITA"/>
    <x v="19"/>
    <x v="20"/>
    <n v="4543490485"/>
    <n v="1233845213"/>
    <n v="498"/>
    <n v="156"/>
    <n v="654"/>
    <n v="1620"/>
    <n v="2274"/>
    <n v="285"/>
    <n v="301"/>
    <n v="130"/>
    <n v="69"/>
    <n v="2473"/>
    <n v="35052"/>
  </r>
  <r>
    <x v="22"/>
    <s v="ITA"/>
    <x v="0"/>
    <x v="0"/>
    <n v="4235122196"/>
    <n v="1339843823"/>
    <n v="94"/>
    <n v="32"/>
    <n v="126"/>
    <n v="90"/>
    <n v="216"/>
    <n v="51"/>
    <n v="53"/>
    <n v="7"/>
    <n v="6"/>
    <n v="229"/>
    <n v="1688"/>
  </r>
  <r>
    <x v="22"/>
    <s v="ITA"/>
    <x v="1"/>
    <x v="1"/>
    <n v="4063947052"/>
    <n v="1580514834"/>
    <n v="5"/>
    <n v="2"/>
    <n v="7"/>
    <n v="13"/>
    <n v="20"/>
    <n v="8"/>
    <n v="8"/>
    <n v="0"/>
    <n v="0"/>
    <n v="20"/>
    <n v="262"/>
  </r>
  <r>
    <x v="22"/>
    <s v="ITA"/>
    <x v="2"/>
    <x v="2"/>
    <n v="4649933453"/>
    <n v="1135662422"/>
    <n v="71"/>
    <n v="11"/>
    <n v="82"/>
    <n v="200"/>
    <n v="282"/>
    <n v="47"/>
    <n v="50"/>
    <n v="1"/>
    <n v="8"/>
    <n v="291"/>
    <n v="2149"/>
  </r>
  <r>
    <x v="22"/>
    <s v="ITA"/>
    <x v="3"/>
    <x v="3"/>
    <n v="3890597598"/>
    <n v="1659440194"/>
    <n v="45"/>
    <n v="10"/>
    <n v="55"/>
    <n v="57"/>
    <n v="112"/>
    <n v="25"/>
    <n v="25"/>
    <n v="1"/>
    <n v="1"/>
    <n v="114"/>
    <n v="1293"/>
  </r>
  <r>
    <x v="22"/>
    <s v="ITA"/>
    <x v="4"/>
    <x v="4"/>
    <n v="4083956555"/>
    <n v="1425084984"/>
    <n v="127"/>
    <n v="24"/>
    <n v="151"/>
    <n v="272"/>
    <n v="423"/>
    <n v="60"/>
    <n v="60"/>
    <n v="28"/>
    <n v="9"/>
    <n v="460"/>
    <n v="2685"/>
  </r>
  <r>
    <x v="22"/>
    <s v="ITA"/>
    <x v="5"/>
    <x v="5"/>
    <n v="4449436681"/>
    <n v="113417208"/>
    <n v="1566"/>
    <n v="223"/>
    <n v="1789"/>
    <n v="1615"/>
    <n v="3404"/>
    <n v="316"/>
    <n v="409"/>
    <n v="134"/>
    <n v="393"/>
    <n v="3931"/>
    <n v="14510"/>
  </r>
  <r>
    <x v="22"/>
    <s v="ITA"/>
    <x v="6"/>
    <x v="6"/>
    <n v="456494354"/>
    <n v="1376813649"/>
    <n v="104"/>
    <n v="21"/>
    <n v="125"/>
    <n v="222"/>
    <n v="347"/>
    <n v="1"/>
    <n v="8"/>
    <n v="17"/>
    <n v="30"/>
    <n v="394"/>
    <n v="4958"/>
  </r>
  <r>
    <x v="22"/>
    <s v="ITA"/>
    <x v="7"/>
    <x v="7"/>
    <n v="4189277044"/>
    <n v="1248366722"/>
    <n v="314"/>
    <n v="44"/>
    <n v="358"/>
    <n v="192"/>
    <n v="550"/>
    <n v="78"/>
    <n v="84"/>
    <n v="34"/>
    <n v="23"/>
    <n v="607"/>
    <n v="9436"/>
  </r>
  <r>
    <x v="22"/>
    <s v="ITA"/>
    <x v="8"/>
    <x v="8"/>
    <n v="4441149315"/>
    <n v="89326992"/>
    <n v="299"/>
    <n v="85"/>
    <n v="384"/>
    <n v="277"/>
    <n v="661"/>
    <n v="86"/>
    <n v="111"/>
    <n v="57"/>
    <n v="60"/>
    <n v="778"/>
    <n v="2509"/>
  </r>
  <r>
    <x v="22"/>
    <s v="ITA"/>
    <x v="9"/>
    <x v="9"/>
    <n v="4546679409"/>
    <n v="9190347404"/>
    <n v="6953"/>
    <n v="879"/>
    <n v="7832"/>
    <n v="4263"/>
    <n v="12095"/>
    <n v="1234"/>
    <n v="1571"/>
    <n v="2485"/>
    <n v="1640"/>
    <n v="16220"/>
    <n v="46449"/>
  </r>
  <r>
    <x v="22"/>
    <s v="ITA"/>
    <x v="10"/>
    <x v="10"/>
    <n v="4361675973"/>
    <n v="135188753"/>
    <n v="599"/>
    <n v="109"/>
    <n v="708"/>
    <n v="594"/>
    <n v="1302"/>
    <n v="117"/>
    <n v="129"/>
    <n v="0"/>
    <n v="69"/>
    <n v="1371"/>
    <n v="3225"/>
  </r>
  <r>
    <x v="22"/>
    <s v="ITA"/>
    <x v="11"/>
    <x v="11"/>
    <n v="4155774754"/>
    <n v="1465916051"/>
    <n v="7"/>
    <n v="5"/>
    <n v="12"/>
    <n v="7"/>
    <n v="19"/>
    <n v="4"/>
    <n v="4"/>
    <n v="5"/>
    <n v="1"/>
    <n v="25"/>
    <n v="301"/>
  </r>
  <r>
    <x v="22"/>
    <s v="ITA"/>
    <x v="12"/>
    <x v="12"/>
    <n v="450732745"/>
    <n v="7680687483"/>
    <n v="1378"/>
    <n v="206"/>
    <n v="1584"/>
    <n v="180"/>
    <n v="1764"/>
    <n v="359"/>
    <n v="381"/>
    <n v="0"/>
    <n v="133"/>
    <n v="1897"/>
    <n v="6543"/>
  </r>
  <r>
    <x v="22"/>
    <s v="ITA"/>
    <x v="13"/>
    <x v="13"/>
    <n v="4112559576"/>
    <n v="1686736689"/>
    <n v="155"/>
    <n v="14"/>
    <n v="169"/>
    <n v="151"/>
    <n v="320"/>
    <n v="108"/>
    <n v="110"/>
    <n v="2"/>
    <n v="18"/>
    <n v="340"/>
    <n v="3077"/>
  </r>
  <r>
    <x v="22"/>
    <s v="ITA"/>
    <x v="14"/>
    <x v="14"/>
    <n v="3921531192"/>
    <n v="9110616306"/>
    <n v="36"/>
    <n v="4"/>
    <n v="40"/>
    <n v="75"/>
    <n v="115"/>
    <n v="10"/>
    <n v="10"/>
    <n v="0"/>
    <n v="2"/>
    <n v="117"/>
    <n v="1003"/>
  </r>
  <r>
    <x v="22"/>
    <s v="ITA"/>
    <x v="15"/>
    <x v="15"/>
    <n v="3811569725"/>
    <n v="133623567"/>
    <n v="86"/>
    <n v="28"/>
    <n v="114"/>
    <n v="112"/>
    <n v="226"/>
    <n v="23"/>
    <n v="24"/>
    <n v="8"/>
    <n v="3"/>
    <n v="237"/>
    <n v="2916"/>
  </r>
  <r>
    <x v="22"/>
    <s v="ITA"/>
    <x v="16"/>
    <x v="16"/>
    <n v="4376923077"/>
    <n v="1125588885"/>
    <n v="329"/>
    <n v="143"/>
    <n v="472"/>
    <n v="552"/>
    <n v="1024"/>
    <n v="183"/>
    <n v="187"/>
    <n v="12"/>
    <n v="17"/>
    <n v="1053"/>
    <n v="6727"/>
  </r>
  <r>
    <x v="22"/>
    <s v="ITA"/>
    <x v="2"/>
    <x v="17"/>
    <n v="4606893511"/>
    <n v="1112123097"/>
    <n v="107"/>
    <n v="22"/>
    <n v="129"/>
    <n v="239"/>
    <n v="368"/>
    <n v="1"/>
    <n v="7"/>
    <n v="10"/>
    <n v="7"/>
    <n v="385"/>
    <n v="1727"/>
  </r>
  <r>
    <x v="22"/>
    <s v="ITA"/>
    <x v="17"/>
    <x v="18"/>
    <n v="4310675841"/>
    <n v="1238824698"/>
    <n v="36"/>
    <n v="21"/>
    <n v="57"/>
    <n v="135"/>
    <n v="192"/>
    <n v="33"/>
    <n v="33"/>
    <n v="4"/>
    <n v="1"/>
    <n v="197"/>
    <n v="1323"/>
  </r>
  <r>
    <x v="22"/>
    <s v="ITA"/>
    <x v="18"/>
    <x v="19"/>
    <n v="4573750286"/>
    <n v="7320149366"/>
    <n v="35"/>
    <n v="6"/>
    <n v="41"/>
    <n v="93"/>
    <n v="134"/>
    <n v="31"/>
    <n v="31"/>
    <n v="0"/>
    <n v="2"/>
    <n v="136"/>
    <n v="398"/>
  </r>
  <r>
    <x v="22"/>
    <s v="ITA"/>
    <x v="19"/>
    <x v="20"/>
    <n v="4543490485"/>
    <n v="1233845213"/>
    <n v="548"/>
    <n v="171"/>
    <n v="719"/>
    <n v="1769"/>
    <n v="2488"/>
    <n v="214"/>
    <n v="231"/>
    <n v="136"/>
    <n v="80"/>
    <n v="2704"/>
    <n v="35478"/>
  </r>
  <r>
    <x v="23"/>
    <s v="ITA"/>
    <x v="0"/>
    <x v="0"/>
    <n v="4235122196"/>
    <n v="1339843823"/>
    <n v="99"/>
    <n v="41"/>
    <n v="140"/>
    <n v="109"/>
    <n v="249"/>
    <n v="33"/>
    <n v="34"/>
    <n v="7"/>
    <n v="7"/>
    <n v="263"/>
    <n v="2054"/>
  </r>
  <r>
    <x v="23"/>
    <s v="ITA"/>
    <x v="1"/>
    <x v="1"/>
    <n v="4063947052"/>
    <n v="1580514834"/>
    <n v="9"/>
    <n v="2"/>
    <n v="11"/>
    <n v="16"/>
    <n v="27"/>
    <n v="7"/>
    <n v="7"/>
    <n v="0"/>
    <n v="0"/>
    <n v="27"/>
    <n v="262"/>
  </r>
  <r>
    <x v="23"/>
    <s v="ITA"/>
    <x v="2"/>
    <x v="2"/>
    <n v="4649933453"/>
    <n v="1135662422"/>
    <n v="79"/>
    <n v="18"/>
    <n v="97"/>
    <n v="269"/>
    <n v="366"/>
    <n v="84"/>
    <n v="85"/>
    <n v="1"/>
    <n v="9"/>
    <n v="376"/>
    <n v="2844"/>
  </r>
  <r>
    <x v="23"/>
    <s v="ITA"/>
    <x v="3"/>
    <x v="3"/>
    <n v="3890597598"/>
    <n v="1659440194"/>
    <n v="45"/>
    <n v="11"/>
    <n v="56"/>
    <n v="70"/>
    <n v="126"/>
    <n v="14"/>
    <n v="15"/>
    <n v="2"/>
    <n v="1"/>
    <n v="129"/>
    <n v="1668"/>
  </r>
  <r>
    <x v="23"/>
    <s v="ITA"/>
    <x v="4"/>
    <x v="4"/>
    <n v="4083956555"/>
    <n v="1425084984"/>
    <n v="127"/>
    <n v="24"/>
    <n v="151"/>
    <n v="272"/>
    <n v="423"/>
    <n v="0"/>
    <n v="0"/>
    <n v="28"/>
    <n v="9"/>
    <n v="460"/>
    <n v="2685"/>
  </r>
  <r>
    <x v="23"/>
    <s v="ITA"/>
    <x v="5"/>
    <x v="5"/>
    <n v="4449436681"/>
    <n v="113417208"/>
    <n v="1784"/>
    <n v="247"/>
    <n v="2031"/>
    <n v="1884"/>
    <n v="3915"/>
    <n v="511"/>
    <n v="594"/>
    <n v="152"/>
    <n v="458"/>
    <n v="4525"/>
    <n v="15461"/>
  </r>
  <r>
    <x v="23"/>
    <s v="ITA"/>
    <x v="6"/>
    <x v="6"/>
    <n v="456494354"/>
    <n v="1376813649"/>
    <n v="128"/>
    <n v="27"/>
    <n v="155"/>
    <n v="261"/>
    <n v="416"/>
    <n v="69"/>
    <n v="68"/>
    <n v="15"/>
    <n v="31"/>
    <n v="462"/>
    <n v="4958"/>
  </r>
  <r>
    <x v="23"/>
    <s v="ITA"/>
    <x v="7"/>
    <x v="7"/>
    <n v="4189277044"/>
    <n v="1248366722"/>
    <n v="374"/>
    <n v="44"/>
    <n v="418"/>
    <n v="232"/>
    <n v="650"/>
    <n v="100"/>
    <n v="117"/>
    <n v="42"/>
    <n v="32"/>
    <n v="724"/>
    <n v="11145"/>
  </r>
  <r>
    <x v="23"/>
    <s v="ITA"/>
    <x v="8"/>
    <x v="8"/>
    <n v="4441149315"/>
    <n v="89326992"/>
    <n v="401"/>
    <n v="100"/>
    <n v="501"/>
    <n v="243"/>
    <n v="744"/>
    <n v="83"/>
    <n v="109"/>
    <n v="70"/>
    <n v="73"/>
    <n v="887"/>
    <n v="2912"/>
  </r>
  <r>
    <x v="23"/>
    <s v="ITA"/>
    <x v="9"/>
    <x v="9"/>
    <n v="4546679409"/>
    <n v="9190347404"/>
    <n v="7285"/>
    <n v="924"/>
    <n v="8209"/>
    <n v="4057"/>
    <n v="12266"/>
    <n v="171"/>
    <n v="1493"/>
    <n v="3488"/>
    <n v="1959"/>
    <n v="17713"/>
    <n v="48983"/>
  </r>
  <r>
    <x v="23"/>
    <s v="ITA"/>
    <x v="10"/>
    <x v="10"/>
    <n v="4361675973"/>
    <n v="135188753"/>
    <n v="638"/>
    <n v="119"/>
    <n v="757"/>
    <n v="719"/>
    <n v="1476"/>
    <n v="174"/>
    <n v="197"/>
    <n v="0"/>
    <n v="92"/>
    <n v="1568"/>
    <n v="4109"/>
  </r>
  <r>
    <x v="23"/>
    <s v="ITA"/>
    <x v="11"/>
    <x v="11"/>
    <n v="4155774754"/>
    <n v="1465916051"/>
    <n v="7"/>
    <n v="6"/>
    <n v="13"/>
    <n v="8"/>
    <n v="21"/>
    <n v="2"/>
    <n v="3"/>
    <n v="6"/>
    <n v="1"/>
    <n v="28"/>
    <n v="361"/>
  </r>
  <r>
    <x v="23"/>
    <s v="ITA"/>
    <x v="12"/>
    <x v="12"/>
    <n v="450732745"/>
    <n v="7680687483"/>
    <n v="1780"/>
    <n v="227"/>
    <n v="2007"/>
    <n v="180"/>
    <n v="2187"/>
    <n v="423"/>
    <n v="444"/>
    <n v="0"/>
    <n v="154"/>
    <n v="2341"/>
    <n v="7516"/>
  </r>
  <r>
    <x v="23"/>
    <s v="ITA"/>
    <x v="13"/>
    <x v="13"/>
    <n v="4112559576"/>
    <n v="1686736689"/>
    <n v="156"/>
    <n v="30"/>
    <n v="186"/>
    <n v="176"/>
    <n v="362"/>
    <n v="42"/>
    <n v="43"/>
    <n v="2"/>
    <n v="19"/>
    <n v="383"/>
    <n v="3433"/>
  </r>
  <r>
    <x v="23"/>
    <s v="ITA"/>
    <x v="14"/>
    <x v="14"/>
    <n v="3921531192"/>
    <n v="9110616306"/>
    <n v="42"/>
    <n v="7"/>
    <n v="49"/>
    <n v="83"/>
    <n v="132"/>
    <n v="17"/>
    <n v="17"/>
    <n v="0"/>
    <n v="2"/>
    <n v="134"/>
    <n v="1135"/>
  </r>
  <r>
    <x v="23"/>
    <s v="ITA"/>
    <x v="15"/>
    <x v="15"/>
    <n v="3811569725"/>
    <n v="133623567"/>
    <n v="100"/>
    <n v="29"/>
    <n v="129"/>
    <n v="138"/>
    <n v="267"/>
    <n v="41"/>
    <n v="45"/>
    <n v="12"/>
    <n v="3"/>
    <n v="282"/>
    <n v="3294"/>
  </r>
  <r>
    <x v="23"/>
    <s v="ITA"/>
    <x v="16"/>
    <x v="16"/>
    <n v="4376923077"/>
    <n v="1125588885"/>
    <n v="427"/>
    <n v="160"/>
    <n v="587"/>
    <n v="704"/>
    <n v="1291"/>
    <n v="267"/>
    <n v="277"/>
    <n v="17"/>
    <n v="22"/>
    <n v="1330"/>
    <n v="7606"/>
  </r>
  <r>
    <x v="23"/>
    <s v="ITA"/>
    <x v="2"/>
    <x v="17"/>
    <n v="4606893511"/>
    <n v="1112123097"/>
    <n v="141"/>
    <n v="22"/>
    <n v="163"/>
    <n v="273"/>
    <n v="436"/>
    <n v="68"/>
    <n v="70"/>
    <n v="12"/>
    <n v="7"/>
    <n v="455"/>
    <n v="2187"/>
  </r>
  <r>
    <x v="23"/>
    <s v="ITA"/>
    <x v="17"/>
    <x v="18"/>
    <n v="4310675841"/>
    <n v="1238824698"/>
    <n v="54"/>
    <n v="21"/>
    <n v="75"/>
    <n v="166"/>
    <n v="241"/>
    <n v="49"/>
    <n v="50"/>
    <n v="4"/>
    <n v="2"/>
    <n v="247"/>
    <n v="1601"/>
  </r>
  <r>
    <x v="23"/>
    <s v="ITA"/>
    <x v="18"/>
    <x v="19"/>
    <n v="4573750286"/>
    <n v="7320149366"/>
    <n v="41"/>
    <n v="3"/>
    <n v="44"/>
    <n v="118"/>
    <n v="162"/>
    <n v="28"/>
    <n v="29"/>
    <n v="0"/>
    <n v="3"/>
    <n v="165"/>
    <n v="486"/>
  </r>
  <r>
    <x v="23"/>
    <s v="ITA"/>
    <x v="19"/>
    <x v="20"/>
    <n v="4543490485"/>
    <n v="1233845213"/>
    <n v="646"/>
    <n v="195"/>
    <n v="841"/>
    <n v="2112"/>
    <n v="2953"/>
    <n v="465"/>
    <n v="510"/>
    <n v="167"/>
    <n v="94"/>
    <n v="3214"/>
    <n v="40841"/>
  </r>
  <r>
    <x v="24"/>
    <s v="ITA"/>
    <x v="0"/>
    <x v="0"/>
    <n v="4235122196"/>
    <n v="1339843823"/>
    <n v="181"/>
    <n v="47"/>
    <n v="228"/>
    <n v="138"/>
    <n v="366"/>
    <n v="117"/>
    <n v="122"/>
    <n v="8"/>
    <n v="11"/>
    <n v="385"/>
    <n v="2409"/>
  </r>
  <r>
    <x v="24"/>
    <s v="ITA"/>
    <x v="1"/>
    <x v="1"/>
    <n v="4063947052"/>
    <n v="1580514834"/>
    <n v="8"/>
    <n v="5"/>
    <n v="13"/>
    <n v="24"/>
    <n v="37"/>
    <n v="10"/>
    <n v="10"/>
    <n v="0"/>
    <n v="0"/>
    <n v="37"/>
    <n v="353"/>
  </r>
  <r>
    <x v="24"/>
    <s v="ITA"/>
    <x v="2"/>
    <x v="2"/>
    <n v="4649933453"/>
    <n v="1135662422"/>
    <n v="87"/>
    <n v="18"/>
    <n v="105"/>
    <n v="316"/>
    <n v="421"/>
    <n v="55"/>
    <n v="60"/>
    <n v="1"/>
    <n v="14"/>
    <n v="436"/>
    <n v="3568"/>
  </r>
  <r>
    <x v="24"/>
    <s v="ITA"/>
    <x v="3"/>
    <x v="3"/>
    <n v="3890597598"/>
    <n v="1659440194"/>
    <n v="60"/>
    <n v="13"/>
    <n v="73"/>
    <n v="91"/>
    <n v="164"/>
    <n v="38"/>
    <n v="40"/>
    <n v="2"/>
    <n v="3"/>
    <n v="169"/>
    <n v="2342"/>
  </r>
  <r>
    <x v="24"/>
    <s v="ITA"/>
    <x v="4"/>
    <x v="4"/>
    <n v="4083956555"/>
    <n v="1425084984"/>
    <n v="213"/>
    <n v="36"/>
    <n v="249"/>
    <n v="356"/>
    <n v="605"/>
    <n v="182"/>
    <n v="192"/>
    <n v="30"/>
    <n v="17"/>
    <n v="652"/>
    <n v="3544"/>
  </r>
  <r>
    <x v="24"/>
    <s v="ITA"/>
    <x v="5"/>
    <x v="5"/>
    <n v="4449436681"/>
    <n v="113417208"/>
    <n v="1900"/>
    <n v="260"/>
    <n v="2160"/>
    <n v="2346"/>
    <n v="4506"/>
    <n v="591"/>
    <n v="689"/>
    <n v="177"/>
    <n v="531"/>
    <n v="5214"/>
    <n v="18344"/>
  </r>
  <r>
    <x v="24"/>
    <s v="ITA"/>
    <x v="6"/>
    <x v="6"/>
    <n v="456494354"/>
    <n v="1376813649"/>
    <n v="134"/>
    <n v="29"/>
    <n v="163"/>
    <n v="359"/>
    <n v="522"/>
    <n v="106"/>
    <n v="137"/>
    <n v="41"/>
    <n v="36"/>
    <n v="599"/>
    <n v="4052"/>
  </r>
  <r>
    <x v="24"/>
    <s v="ITA"/>
    <x v="7"/>
    <x v="7"/>
    <n v="4189277044"/>
    <n v="1248366722"/>
    <n v="426"/>
    <n v="45"/>
    <n v="471"/>
    <n v="270"/>
    <n v="741"/>
    <n v="91"/>
    <n v="99"/>
    <n v="44"/>
    <n v="38"/>
    <n v="823"/>
    <n v="11145"/>
  </r>
  <r>
    <x v="24"/>
    <s v="ITA"/>
    <x v="8"/>
    <x v="8"/>
    <n v="4441149315"/>
    <n v="89326992"/>
    <n v="491"/>
    <n v="112"/>
    <n v="603"/>
    <n v="280"/>
    <n v="883"/>
    <n v="139"/>
    <n v="172"/>
    <n v="85"/>
    <n v="91"/>
    <n v="1059"/>
    <n v="3348"/>
  </r>
  <r>
    <x v="24"/>
    <s v="ITA"/>
    <x v="9"/>
    <x v="9"/>
    <n v="4546679409"/>
    <n v="9190347404"/>
    <n v="7387"/>
    <n v="1006"/>
    <n v="8393"/>
    <n v="5545"/>
    <n v="13938"/>
    <n v="1672"/>
    <n v="2171"/>
    <n v="3778"/>
    <n v="2168"/>
    <n v="19884"/>
    <n v="52244"/>
  </r>
  <r>
    <x v="24"/>
    <s v="ITA"/>
    <x v="10"/>
    <x v="10"/>
    <n v="4361675973"/>
    <n v="135188753"/>
    <n v="656"/>
    <n v="141"/>
    <n v="797"/>
    <n v="825"/>
    <n v="1622"/>
    <n v="146"/>
    <n v="169"/>
    <n v="0"/>
    <n v="115"/>
    <n v="1737"/>
    <n v="4512"/>
  </r>
  <r>
    <x v="24"/>
    <s v="ITA"/>
    <x v="11"/>
    <x v="11"/>
    <n v="4155774754"/>
    <n v="1465916051"/>
    <n v="19"/>
    <n v="6"/>
    <n v="25"/>
    <n v="13"/>
    <n v="38"/>
    <n v="17"/>
    <n v="18"/>
    <n v="6"/>
    <n v="2"/>
    <n v="46"/>
    <n v="426"/>
  </r>
  <r>
    <x v="24"/>
    <s v="ITA"/>
    <x v="12"/>
    <x v="12"/>
    <n v="450732745"/>
    <n v="7680687483"/>
    <n v="2279"/>
    <n v="257"/>
    <n v="2536"/>
    <n v="218"/>
    <n v="2754"/>
    <n v="567"/>
    <n v="591"/>
    <n v="3"/>
    <n v="175"/>
    <n v="2932"/>
    <n v="8853"/>
  </r>
  <r>
    <x v="24"/>
    <s v="ITA"/>
    <x v="13"/>
    <x v="13"/>
    <n v="4112559576"/>
    <n v="1686736689"/>
    <n v="173"/>
    <n v="31"/>
    <n v="204"/>
    <n v="245"/>
    <n v="449"/>
    <n v="87"/>
    <n v="95"/>
    <n v="4"/>
    <n v="25"/>
    <n v="478"/>
    <n v="4046"/>
  </r>
  <r>
    <x v="24"/>
    <s v="ITA"/>
    <x v="14"/>
    <x v="14"/>
    <n v="3921531192"/>
    <n v="9110616306"/>
    <n v="43"/>
    <n v="9"/>
    <n v="52"/>
    <n v="152"/>
    <n v="204"/>
    <n v="72"/>
    <n v="72"/>
    <n v="0"/>
    <n v="2"/>
    <n v="206"/>
    <n v="1334"/>
  </r>
  <r>
    <x v="24"/>
    <s v="ITA"/>
    <x v="15"/>
    <x v="15"/>
    <n v="3811569725"/>
    <n v="133623567"/>
    <n v="143"/>
    <n v="36"/>
    <n v="179"/>
    <n v="142"/>
    <n v="321"/>
    <n v="54"/>
    <n v="58"/>
    <n v="15"/>
    <n v="4"/>
    <n v="340"/>
    <n v="3961"/>
  </r>
  <r>
    <x v="24"/>
    <s v="ITA"/>
    <x v="16"/>
    <x v="16"/>
    <n v="4376923077"/>
    <n v="1125588885"/>
    <n v="501"/>
    <n v="178"/>
    <n v="679"/>
    <n v="743"/>
    <n v="1422"/>
    <n v="131"/>
    <n v="152"/>
    <n v="22"/>
    <n v="38"/>
    <n v="1482"/>
    <n v="8873"/>
  </r>
  <r>
    <x v="24"/>
    <s v="ITA"/>
    <x v="2"/>
    <x v="17"/>
    <n v="4606893511"/>
    <n v="1112123097"/>
    <n v="169"/>
    <n v="30"/>
    <n v="199"/>
    <n v="292"/>
    <n v="491"/>
    <n v="55"/>
    <n v="68"/>
    <n v="20"/>
    <n v="12"/>
    <n v="523"/>
    <n v="2203"/>
  </r>
  <r>
    <x v="24"/>
    <s v="ITA"/>
    <x v="17"/>
    <x v="18"/>
    <n v="4310675841"/>
    <n v="1238824698"/>
    <n v="69"/>
    <n v="21"/>
    <n v="90"/>
    <n v="238"/>
    <n v="328"/>
    <n v="87"/>
    <n v="87"/>
    <n v="4"/>
    <n v="2"/>
    <n v="334"/>
    <n v="1954"/>
  </r>
  <r>
    <x v="24"/>
    <s v="ITA"/>
    <x v="18"/>
    <x v="19"/>
    <n v="4573750286"/>
    <n v="7320149366"/>
    <n v="47"/>
    <n v="9"/>
    <n v="56"/>
    <n v="153"/>
    <n v="209"/>
    <n v="47"/>
    <n v="50"/>
    <n v="0"/>
    <n v="6"/>
    <n v="215"/>
    <n v="608"/>
  </r>
  <r>
    <x v="24"/>
    <s v="ITA"/>
    <x v="19"/>
    <x v="20"/>
    <n v="4543490485"/>
    <n v="1233845213"/>
    <n v="771"/>
    <n v="209"/>
    <n v="980"/>
    <n v="2189"/>
    <n v="3169"/>
    <n v="216"/>
    <n v="270"/>
    <n v="200"/>
    <n v="115"/>
    <n v="3484"/>
    <n v="44658"/>
  </r>
  <r>
    <x v="25"/>
    <s v="ITA"/>
    <x v="0"/>
    <x v="0"/>
    <n v="4235122196"/>
    <n v="1339843823"/>
    <n v="190"/>
    <n v="48"/>
    <n v="238"/>
    <n v="184"/>
    <n v="422"/>
    <n v="56"/>
    <n v="64"/>
    <n v="10"/>
    <n v="17"/>
    <n v="449"/>
    <n v="2695"/>
  </r>
  <r>
    <x v="25"/>
    <s v="ITA"/>
    <x v="1"/>
    <x v="1"/>
    <n v="4063947052"/>
    <n v="1580514834"/>
    <n v="8"/>
    <n v="5"/>
    <n v="13"/>
    <n v="39"/>
    <n v="52"/>
    <n v="15"/>
    <n v="15"/>
    <n v="0"/>
    <n v="0"/>
    <n v="52"/>
    <n v="443"/>
  </r>
  <r>
    <x v="25"/>
    <s v="ITA"/>
    <x v="2"/>
    <x v="2"/>
    <n v="4649933453"/>
    <n v="1135662422"/>
    <n v="99"/>
    <n v="24"/>
    <n v="123"/>
    <n v="407"/>
    <n v="530"/>
    <n v="109"/>
    <n v="112"/>
    <n v="1"/>
    <n v="17"/>
    <n v="548"/>
    <n v="4433"/>
  </r>
  <r>
    <x v="25"/>
    <s v="ITA"/>
    <x v="3"/>
    <x v="3"/>
    <n v="3890597598"/>
    <n v="1659440194"/>
    <n v="71"/>
    <n v="16"/>
    <n v="87"/>
    <n v="114"/>
    <n v="201"/>
    <n v="37"/>
    <n v="38"/>
    <n v="2"/>
    <n v="4"/>
    <n v="207"/>
    <n v="2690"/>
  </r>
  <r>
    <x v="25"/>
    <s v="ITA"/>
    <x v="4"/>
    <x v="4"/>
    <n v="4083956555"/>
    <n v="1425084984"/>
    <n v="130"/>
    <n v="41"/>
    <n v="171"/>
    <n v="531"/>
    <n v="702"/>
    <n v="97"/>
    <n v="97"/>
    <n v="30"/>
    <n v="17"/>
    <n v="749"/>
    <n v="3845"/>
  </r>
  <r>
    <x v="25"/>
    <s v="ITA"/>
    <x v="5"/>
    <x v="5"/>
    <n v="4449436681"/>
    <n v="113417208"/>
    <n v="2083"/>
    <n v="267"/>
    <n v="2350"/>
    <n v="2739"/>
    <n v="5089"/>
    <n v="583"/>
    <n v="754"/>
    <n v="239"/>
    <n v="640"/>
    <n v="5968"/>
    <n v="20753"/>
  </r>
  <r>
    <x v="25"/>
    <s v="ITA"/>
    <x v="6"/>
    <x v="6"/>
    <n v="456494354"/>
    <n v="1376813649"/>
    <n v="143"/>
    <n v="32"/>
    <n v="175"/>
    <n v="380"/>
    <n v="555"/>
    <n v="33"/>
    <n v="57"/>
    <n v="63"/>
    <n v="38"/>
    <n v="656"/>
    <n v="4964"/>
  </r>
  <r>
    <x v="25"/>
    <s v="ITA"/>
    <x v="7"/>
    <x v="7"/>
    <n v="4189277044"/>
    <n v="1248366722"/>
    <n v="537"/>
    <n v="47"/>
    <n v="584"/>
    <n v="328"/>
    <n v="912"/>
    <n v="171"/>
    <n v="185"/>
    <n v="53"/>
    <n v="43"/>
    <n v="1008"/>
    <n v="13889"/>
  </r>
  <r>
    <x v="25"/>
    <s v="ITA"/>
    <x v="8"/>
    <x v="8"/>
    <n v="4441149315"/>
    <n v="89326992"/>
    <n v="573"/>
    <n v="121"/>
    <n v="694"/>
    <n v="307"/>
    <n v="1001"/>
    <n v="118"/>
    <n v="162"/>
    <n v="101"/>
    <n v="119"/>
    <n v="1221"/>
    <n v="3794"/>
  </r>
  <r>
    <x v="25"/>
    <s v="ITA"/>
    <x v="9"/>
    <x v="9"/>
    <n v="4546679409"/>
    <n v="9190347404"/>
    <n v="7735"/>
    <n v="1050"/>
    <n v="8785"/>
    <n v="6635"/>
    <n v="15420"/>
    <n v="1482"/>
    <n v="2380"/>
    <n v="4295"/>
    <n v="2549"/>
    <n v="22264"/>
    <n v="57174"/>
  </r>
  <r>
    <x v="25"/>
    <s v="ITA"/>
    <x v="10"/>
    <x v="10"/>
    <n v="4361675973"/>
    <n v="135188753"/>
    <n v="704"/>
    <n v="138"/>
    <n v="842"/>
    <n v="1002"/>
    <n v="1844"/>
    <n v="222"/>
    <n v="244"/>
    <n v="0"/>
    <n v="137"/>
    <n v="1981"/>
    <n v="5170"/>
  </r>
  <r>
    <x v="25"/>
    <s v="ITA"/>
    <x v="11"/>
    <x v="11"/>
    <n v="4155774754"/>
    <n v="1465916051"/>
    <n v="20"/>
    <n v="6"/>
    <n v="26"/>
    <n v="13"/>
    <n v="39"/>
    <n v="1"/>
    <n v="4"/>
    <n v="6"/>
    <n v="5"/>
    <n v="50"/>
    <n v="426"/>
  </r>
  <r>
    <x v="25"/>
    <s v="ITA"/>
    <x v="12"/>
    <x v="12"/>
    <n v="450732745"/>
    <n v="7680687483"/>
    <n v="1541"/>
    <n v="280"/>
    <n v="1821"/>
    <n v="1423"/>
    <n v="3244"/>
    <n v="490"/>
    <n v="529"/>
    <n v="8"/>
    <n v="209"/>
    <n v="3461"/>
    <n v="9975"/>
  </r>
  <r>
    <x v="25"/>
    <s v="ITA"/>
    <x v="13"/>
    <x v="13"/>
    <n v="4112559576"/>
    <n v="1686736689"/>
    <n v="191"/>
    <n v="31"/>
    <n v="222"/>
    <n v="329"/>
    <n v="551"/>
    <n v="102"/>
    <n v="103"/>
    <n v="4"/>
    <n v="26"/>
    <n v="581"/>
    <n v="4789"/>
  </r>
  <r>
    <x v="25"/>
    <s v="ITA"/>
    <x v="14"/>
    <x v="14"/>
    <n v="3921531192"/>
    <n v="9110616306"/>
    <n v="56"/>
    <n v="15"/>
    <n v="71"/>
    <n v="217"/>
    <n v="288"/>
    <n v="84"/>
    <n v="87"/>
    <n v="3"/>
    <n v="2"/>
    <n v="293"/>
    <n v="1912"/>
  </r>
  <r>
    <x v="25"/>
    <s v="ITA"/>
    <x v="15"/>
    <x v="15"/>
    <n v="3811569725"/>
    <n v="133623567"/>
    <n v="168"/>
    <n v="42"/>
    <n v="210"/>
    <n v="169"/>
    <n v="379"/>
    <n v="58"/>
    <n v="68"/>
    <n v="25"/>
    <n v="4"/>
    <n v="408"/>
    <n v="4468"/>
  </r>
  <r>
    <x v="25"/>
    <s v="ITA"/>
    <x v="16"/>
    <x v="16"/>
    <n v="4376923077"/>
    <n v="1125588885"/>
    <n v="601"/>
    <n v="189"/>
    <n v="790"/>
    <n v="923"/>
    <n v="1713"/>
    <n v="291"/>
    <n v="311"/>
    <n v="33"/>
    <n v="47"/>
    <n v="1793"/>
    <n v="10405"/>
  </r>
  <r>
    <x v="25"/>
    <s v="ITA"/>
    <x v="2"/>
    <x v="17"/>
    <n v="4606893511"/>
    <n v="1112123097"/>
    <n v="198"/>
    <n v="34"/>
    <n v="232"/>
    <n v="368"/>
    <n v="600"/>
    <n v="109"/>
    <n v="119"/>
    <n v="29"/>
    <n v="13"/>
    <n v="642"/>
    <n v="2656"/>
  </r>
  <r>
    <x v="25"/>
    <s v="ITA"/>
    <x v="17"/>
    <x v="18"/>
    <n v="4310675841"/>
    <n v="1238824698"/>
    <n v="75"/>
    <n v="24"/>
    <n v="99"/>
    <n v="285"/>
    <n v="384"/>
    <n v="56"/>
    <n v="61"/>
    <n v="4"/>
    <n v="7"/>
    <n v="395"/>
    <n v="2303"/>
  </r>
  <r>
    <x v="25"/>
    <s v="ITA"/>
    <x v="18"/>
    <x v="19"/>
    <n v="4573750286"/>
    <n v="7320149366"/>
    <n v="54"/>
    <n v="9"/>
    <n v="63"/>
    <n v="194"/>
    <n v="257"/>
    <n v="48"/>
    <n v="49"/>
    <n v="0"/>
    <n v="7"/>
    <n v="264"/>
    <n v="814"/>
  </r>
  <r>
    <x v="25"/>
    <s v="ITA"/>
    <x v="19"/>
    <x v="20"/>
    <n v="4543490485"/>
    <n v="1233845213"/>
    <n v="843"/>
    <n v="236"/>
    <n v="1079"/>
    <n v="2598"/>
    <n v="3677"/>
    <n v="508"/>
    <n v="547"/>
    <n v="223"/>
    <n v="131"/>
    <n v="4031"/>
    <n v="49288"/>
  </r>
  <r>
    <x v="26"/>
    <s v="ITA"/>
    <x v="0"/>
    <x v="0"/>
    <n v="4235122196"/>
    <n v="1339843823"/>
    <n v="185"/>
    <n v="44"/>
    <n v="229"/>
    <n v="265"/>
    <n v="494"/>
    <n v="72"/>
    <n v="80"/>
    <n v="13"/>
    <n v="22"/>
    <n v="529"/>
    <n v="3035"/>
  </r>
  <r>
    <x v="26"/>
    <s v="ITA"/>
    <x v="1"/>
    <x v="1"/>
    <n v="4063947052"/>
    <n v="1580514834"/>
    <n v="12"/>
    <n v="7"/>
    <n v="19"/>
    <n v="47"/>
    <n v="66"/>
    <n v="14"/>
    <n v="14"/>
    <n v="0"/>
    <n v="0"/>
    <n v="66"/>
    <n v="522"/>
  </r>
  <r>
    <x v="26"/>
    <s v="ITA"/>
    <x v="2"/>
    <x v="2"/>
    <n v="4649933453"/>
    <n v="1135662422"/>
    <n v="127"/>
    <n v="30"/>
    <n v="157"/>
    <n v="443"/>
    <n v="600"/>
    <n v="70"/>
    <n v="73"/>
    <n v="1"/>
    <n v="20"/>
    <n v="621"/>
    <n v="5179"/>
  </r>
  <r>
    <x v="26"/>
    <s v="ITA"/>
    <x v="3"/>
    <x v="3"/>
    <n v="3890597598"/>
    <n v="1659440194"/>
    <n v="73"/>
    <n v="16"/>
    <n v="89"/>
    <n v="136"/>
    <n v="225"/>
    <n v="24"/>
    <n v="28"/>
    <n v="5"/>
    <n v="5"/>
    <n v="235"/>
    <n v="3050"/>
  </r>
  <r>
    <x v="26"/>
    <s v="ITA"/>
    <x v="4"/>
    <x v="4"/>
    <n v="4083956555"/>
    <n v="1425084984"/>
    <n v="233"/>
    <n v="87"/>
    <n v="320"/>
    <n v="473"/>
    <n v="793"/>
    <n v="91"/>
    <n v="95"/>
    <n v="29"/>
    <n v="22"/>
    <n v="844"/>
    <n v="4448"/>
  </r>
  <r>
    <x v="26"/>
    <s v="ITA"/>
    <x v="5"/>
    <x v="5"/>
    <n v="4449436681"/>
    <n v="113417208"/>
    <n v="2267"/>
    <n v="265"/>
    <n v="2532"/>
    <n v="3129"/>
    <n v="5661"/>
    <n v="572"/>
    <n v="737"/>
    <n v="329"/>
    <n v="715"/>
    <n v="6705"/>
    <n v="24620"/>
  </r>
  <r>
    <x v="26"/>
    <s v="ITA"/>
    <x v="6"/>
    <x v="6"/>
    <n v="456494354"/>
    <n v="1376813649"/>
    <n v="152"/>
    <n v="37"/>
    <n v="189"/>
    <n v="477"/>
    <n v="666"/>
    <n v="111"/>
    <n v="134"/>
    <n v="82"/>
    <n v="42"/>
    <n v="790"/>
    <n v="5955"/>
  </r>
  <r>
    <x v="26"/>
    <s v="ITA"/>
    <x v="7"/>
    <x v="7"/>
    <n v="4189277044"/>
    <n v="1248366722"/>
    <n v="591"/>
    <n v="70"/>
    <n v="661"/>
    <n v="425"/>
    <n v="1086"/>
    <n v="174"/>
    <n v="182"/>
    <n v="54"/>
    <n v="50"/>
    <n v="1190"/>
    <n v="13889"/>
  </r>
  <r>
    <x v="26"/>
    <s v="ITA"/>
    <x v="8"/>
    <x v="8"/>
    <n v="4441149315"/>
    <n v="89326992"/>
    <n v="598"/>
    <n v="129"/>
    <n v="727"/>
    <n v="432"/>
    <n v="1159"/>
    <n v="158"/>
    <n v="215"/>
    <n v="125"/>
    <n v="152"/>
    <n v="1436"/>
    <n v="4304"/>
  </r>
  <r>
    <x v="26"/>
    <s v="ITA"/>
    <x v="9"/>
    <x v="9"/>
    <n v="4546679409"/>
    <n v="9190347404"/>
    <n v="8258"/>
    <n v="1093"/>
    <n v="9351"/>
    <n v="8019"/>
    <n v="17370"/>
    <n v="1950"/>
    <n v="3251"/>
    <n v="5050"/>
    <n v="3095"/>
    <n v="25515"/>
    <n v="66730"/>
  </r>
  <r>
    <x v="26"/>
    <s v="ITA"/>
    <x v="10"/>
    <x v="10"/>
    <n v="4361675973"/>
    <n v="135188753"/>
    <n v="742"/>
    <n v="141"/>
    <n v="883"/>
    <n v="1114"/>
    <n v="1997"/>
    <n v="153"/>
    <n v="172"/>
    <n v="2"/>
    <n v="154"/>
    <n v="2153"/>
    <n v="5740"/>
  </r>
  <r>
    <x v="26"/>
    <s v="ITA"/>
    <x v="11"/>
    <x v="11"/>
    <n v="4155774754"/>
    <n v="1465916051"/>
    <n v="21"/>
    <n v="6"/>
    <n v="27"/>
    <n v="20"/>
    <n v="47"/>
    <n v="8"/>
    <n v="11"/>
    <n v="7"/>
    <n v="7"/>
    <n v="61"/>
    <n v="449"/>
  </r>
  <r>
    <x v="26"/>
    <s v="ITA"/>
    <x v="12"/>
    <x v="12"/>
    <n v="450732745"/>
    <n v="7680687483"/>
    <n v="1976"/>
    <n v="301"/>
    <n v="2277"/>
    <n v="1229"/>
    <n v="3506"/>
    <n v="262"/>
    <n v="291"/>
    <n v="8"/>
    <n v="238"/>
    <n v="3752"/>
    <n v="10701"/>
  </r>
  <r>
    <x v="26"/>
    <s v="ITA"/>
    <x v="13"/>
    <x v="13"/>
    <n v="4112559576"/>
    <n v="1686736689"/>
    <n v="209"/>
    <n v="33"/>
    <n v="242"/>
    <n v="400"/>
    <n v="642"/>
    <n v="91"/>
    <n v="94"/>
    <n v="4"/>
    <n v="29"/>
    <n v="675"/>
    <n v="5617"/>
  </r>
  <r>
    <x v="26"/>
    <s v="ITA"/>
    <x v="14"/>
    <x v="14"/>
    <n v="3921531192"/>
    <n v="9110616306"/>
    <n v="65"/>
    <n v="16"/>
    <n v="81"/>
    <n v="240"/>
    <n v="321"/>
    <n v="33"/>
    <n v="37"/>
    <n v="5"/>
    <n v="4"/>
    <n v="330"/>
    <n v="2297"/>
  </r>
  <r>
    <x v="26"/>
    <s v="ITA"/>
    <x v="15"/>
    <x v="15"/>
    <n v="3811569725"/>
    <n v="133623567"/>
    <n v="206"/>
    <n v="48"/>
    <n v="254"/>
    <n v="204"/>
    <n v="458"/>
    <n v="79"/>
    <n v="82"/>
    <n v="26"/>
    <n v="6"/>
    <n v="490"/>
    <n v="4883"/>
  </r>
  <r>
    <x v="26"/>
    <s v="ITA"/>
    <x v="16"/>
    <x v="16"/>
    <n v="4376923077"/>
    <n v="1125588885"/>
    <n v="664"/>
    <n v="202"/>
    <n v="866"/>
    <n v="1039"/>
    <n v="1905"/>
    <n v="192"/>
    <n v="219"/>
    <n v="35"/>
    <n v="72"/>
    <n v="2012"/>
    <n v="11909"/>
  </r>
  <r>
    <x v="26"/>
    <s v="ITA"/>
    <x v="2"/>
    <x v="17"/>
    <n v="4606893511"/>
    <n v="1112123097"/>
    <n v="233"/>
    <n v="39"/>
    <n v="272"/>
    <n v="448"/>
    <n v="720"/>
    <n v="120"/>
    <n v="140"/>
    <n v="34"/>
    <n v="28"/>
    <n v="782"/>
    <n v="2656"/>
  </r>
  <r>
    <x v="26"/>
    <s v="ITA"/>
    <x v="17"/>
    <x v="18"/>
    <n v="4310675841"/>
    <n v="1238824698"/>
    <n v="92"/>
    <n v="29"/>
    <n v="121"/>
    <n v="326"/>
    <n v="447"/>
    <n v="63"/>
    <n v="67"/>
    <n v="5"/>
    <n v="10"/>
    <n v="462"/>
    <n v="2712"/>
  </r>
  <r>
    <x v="26"/>
    <s v="ITA"/>
    <x v="18"/>
    <x v="19"/>
    <n v="4573750286"/>
    <n v="7320149366"/>
    <n v="62"/>
    <n v="15"/>
    <n v="77"/>
    <n v="227"/>
    <n v="304"/>
    <n v="47"/>
    <n v="49"/>
    <n v="1"/>
    <n v="8"/>
    <n v="313"/>
    <n v="884"/>
  </r>
  <r>
    <x v="26"/>
    <s v="ITA"/>
    <x v="19"/>
    <x v="20"/>
    <n v="4543490485"/>
    <n v="1233845213"/>
    <n v="942"/>
    <n v="249"/>
    <n v="1191"/>
    <n v="3023"/>
    <n v="4214"/>
    <n v="537"/>
    <n v="586"/>
    <n v="257"/>
    <n v="146"/>
    <n v="4617"/>
    <n v="53642"/>
  </r>
  <r>
    <x v="27"/>
    <s v="ITA"/>
    <x v="0"/>
    <x v="0"/>
    <n v="4235122196"/>
    <n v="1339843823"/>
    <n v="218"/>
    <n v="49"/>
    <n v="267"/>
    <n v="272"/>
    <n v="539"/>
    <n v="45"/>
    <n v="58"/>
    <n v="15"/>
    <n v="33"/>
    <n v="587"/>
    <n v="3375"/>
  </r>
  <r>
    <x v="27"/>
    <s v="ITA"/>
    <x v="1"/>
    <x v="1"/>
    <n v="4063947052"/>
    <n v="1580514834"/>
    <n v="13"/>
    <n v="10"/>
    <n v="23"/>
    <n v="58"/>
    <n v="81"/>
    <n v="15"/>
    <n v="15"/>
    <n v="0"/>
    <n v="0"/>
    <n v="81"/>
    <n v="643"/>
  </r>
  <r>
    <x v="27"/>
    <s v="ITA"/>
    <x v="2"/>
    <x v="2"/>
    <n v="4649933453"/>
    <n v="1135662422"/>
    <n v="146"/>
    <n v="32"/>
    <n v="178"/>
    <n v="470"/>
    <n v="648"/>
    <n v="48"/>
    <n v="57"/>
    <n v="7"/>
    <n v="23"/>
    <n v="678"/>
    <n v="5718"/>
  </r>
  <r>
    <x v="27"/>
    <s v="ITA"/>
    <x v="3"/>
    <x v="3"/>
    <n v="3890597598"/>
    <n v="1659440194"/>
    <n v="77"/>
    <n v="17"/>
    <n v="94"/>
    <n v="166"/>
    <n v="260"/>
    <n v="35"/>
    <n v="38"/>
    <n v="5"/>
    <n v="8"/>
    <n v="273"/>
    <n v="3666"/>
  </r>
  <r>
    <x v="27"/>
    <s v="ITA"/>
    <x v="4"/>
    <x v="4"/>
    <n v="4083956555"/>
    <n v="1425084984"/>
    <n v="243"/>
    <n v="99"/>
    <n v="342"/>
    <n v="524"/>
    <n v="866"/>
    <n v="73"/>
    <n v="92"/>
    <n v="41"/>
    <n v="29"/>
    <n v="936"/>
    <n v="4943"/>
  </r>
  <r>
    <x v="27"/>
    <s v="ITA"/>
    <x v="5"/>
    <x v="5"/>
    <n v="4449436681"/>
    <n v="113417208"/>
    <n v="2429"/>
    <n v="269"/>
    <n v="2698"/>
    <n v="3692"/>
    <n v="6390"/>
    <n v="729"/>
    <n v="850"/>
    <n v="349"/>
    <n v="816"/>
    <n v="7555"/>
    <n v="28022"/>
  </r>
  <r>
    <x v="27"/>
    <s v="ITA"/>
    <x v="6"/>
    <x v="6"/>
    <n v="456494354"/>
    <n v="1376813649"/>
    <n v="163"/>
    <n v="47"/>
    <n v="210"/>
    <n v="528"/>
    <n v="738"/>
    <n v="72"/>
    <n v="84"/>
    <n v="89"/>
    <n v="47"/>
    <n v="874"/>
    <n v="6761"/>
  </r>
  <r>
    <x v="27"/>
    <s v="ITA"/>
    <x v="7"/>
    <x v="7"/>
    <n v="4189277044"/>
    <n v="1248366722"/>
    <n v="671"/>
    <n v="79"/>
    <n v="750"/>
    <n v="522"/>
    <n v="1272"/>
    <n v="186"/>
    <n v="193"/>
    <n v="58"/>
    <n v="53"/>
    <n v="1383"/>
    <n v="17845"/>
  </r>
  <r>
    <x v="27"/>
    <s v="ITA"/>
    <x v="8"/>
    <x v="8"/>
    <n v="4441149315"/>
    <n v="89326992"/>
    <n v="736"/>
    <n v="132"/>
    <n v="868"/>
    <n v="483"/>
    <n v="1351"/>
    <n v="192"/>
    <n v="229"/>
    <n v="143"/>
    <n v="171"/>
    <n v="1665"/>
    <n v="4995"/>
  </r>
  <r>
    <x v="27"/>
    <s v="ITA"/>
    <x v="9"/>
    <x v="9"/>
    <n v="4546679409"/>
    <n v="9190347404"/>
    <n v="9439"/>
    <n v="1142"/>
    <n v="10581"/>
    <n v="7304"/>
    <n v="17885"/>
    <n v="515"/>
    <n v="1691"/>
    <n v="5865"/>
    <n v="3456"/>
    <n v="27206"/>
    <n v="70598"/>
  </r>
  <r>
    <x v="27"/>
    <s v="ITA"/>
    <x v="10"/>
    <x v="10"/>
    <n v="4361675973"/>
    <n v="135188753"/>
    <n v="816"/>
    <n v="138"/>
    <n v="954"/>
    <n v="1277"/>
    <n v="2231"/>
    <n v="234"/>
    <n v="268"/>
    <n v="6"/>
    <n v="184"/>
    <n v="2421"/>
    <n v="6391"/>
  </r>
  <r>
    <x v="27"/>
    <s v="ITA"/>
    <x v="11"/>
    <x v="11"/>
    <n v="4155774754"/>
    <n v="1465916051"/>
    <n v="24"/>
    <n v="7"/>
    <n v="31"/>
    <n v="21"/>
    <n v="52"/>
    <n v="5"/>
    <n v="5"/>
    <n v="7"/>
    <n v="7"/>
    <n v="66"/>
    <n v="532"/>
  </r>
  <r>
    <x v="27"/>
    <s v="ITA"/>
    <x v="12"/>
    <x v="12"/>
    <n v="450732745"/>
    <n v="7680687483"/>
    <n v="2118"/>
    <n v="308"/>
    <n v="2426"/>
    <n v="1701"/>
    <n v="4127"/>
    <n v="621"/>
    <n v="668"/>
    <n v="10"/>
    <n v="283"/>
    <n v="4420"/>
    <n v="12701"/>
  </r>
  <r>
    <x v="27"/>
    <s v="ITA"/>
    <x v="13"/>
    <x v="13"/>
    <n v="4112559576"/>
    <n v="1686736689"/>
    <n v="252"/>
    <n v="37"/>
    <n v="289"/>
    <n v="459"/>
    <n v="748"/>
    <n v="106"/>
    <n v="111"/>
    <n v="7"/>
    <n v="31"/>
    <n v="786"/>
    <n v="6160"/>
  </r>
  <r>
    <x v="27"/>
    <s v="ITA"/>
    <x v="14"/>
    <x v="14"/>
    <n v="3921531192"/>
    <n v="9110616306"/>
    <n v="67"/>
    <n v="16"/>
    <n v="83"/>
    <n v="244"/>
    <n v="327"/>
    <n v="6"/>
    <n v="9"/>
    <n v="5"/>
    <n v="7"/>
    <n v="339"/>
    <n v="2402"/>
  </r>
  <r>
    <x v="27"/>
    <s v="ITA"/>
    <x v="15"/>
    <x v="15"/>
    <n v="3811569725"/>
    <n v="133623567"/>
    <n v="220"/>
    <n v="55"/>
    <n v="275"/>
    <n v="321"/>
    <n v="596"/>
    <n v="138"/>
    <n v="140"/>
    <n v="26"/>
    <n v="8"/>
    <n v="630"/>
    <n v="5580"/>
  </r>
  <r>
    <x v="27"/>
    <s v="ITA"/>
    <x v="16"/>
    <x v="16"/>
    <n v="4376923077"/>
    <n v="1125588885"/>
    <n v="706"/>
    <n v="215"/>
    <n v="921"/>
    <n v="1223"/>
    <n v="2144"/>
    <n v="239"/>
    <n v="265"/>
    <n v="42"/>
    <n v="91"/>
    <n v="2277"/>
    <n v="13264"/>
  </r>
  <r>
    <x v="27"/>
    <s v="ITA"/>
    <x v="2"/>
    <x v="17"/>
    <n v="4606893511"/>
    <n v="1112123097"/>
    <n v="235"/>
    <n v="46"/>
    <n v="281"/>
    <n v="604"/>
    <n v="885"/>
    <n v="165"/>
    <n v="172"/>
    <n v="34"/>
    <n v="35"/>
    <n v="954"/>
    <n v="3050"/>
  </r>
  <r>
    <x v="27"/>
    <s v="ITA"/>
    <x v="17"/>
    <x v="18"/>
    <n v="4310675841"/>
    <n v="1238824698"/>
    <n v="97"/>
    <n v="35"/>
    <n v="132"/>
    <n v="368"/>
    <n v="500"/>
    <n v="53"/>
    <n v="59"/>
    <n v="5"/>
    <n v="16"/>
    <n v="521"/>
    <n v="3135"/>
  </r>
  <r>
    <x v="27"/>
    <s v="ITA"/>
    <x v="18"/>
    <x v="19"/>
    <n v="4573750286"/>
    <n v="7320149366"/>
    <n v="63"/>
    <n v="21"/>
    <n v="84"/>
    <n v="270"/>
    <n v="354"/>
    <n v="50"/>
    <n v="51"/>
    <n v="1"/>
    <n v="9"/>
    <n v="364"/>
    <n v="950"/>
  </r>
  <r>
    <x v="27"/>
    <s v="ITA"/>
    <x v="19"/>
    <x v="20"/>
    <n v="4543490485"/>
    <n v="1233845213"/>
    <n v="1113"/>
    <n v="255"/>
    <n v="1368"/>
    <n v="3276"/>
    <n v="4644"/>
    <n v="430"/>
    <n v="505"/>
    <n v="309"/>
    <n v="169"/>
    <n v="5122"/>
    <n v="57671"/>
  </r>
  <r>
    <x v="28"/>
    <s v="ITA"/>
    <x v="0"/>
    <x v="0"/>
    <n v="4235122196"/>
    <n v="1339843823"/>
    <n v="228"/>
    <n v="52"/>
    <n v="280"/>
    <n v="325"/>
    <n v="605"/>
    <n v="66"/>
    <n v="76"/>
    <n v="20"/>
    <n v="38"/>
    <n v="663"/>
    <n v="3674"/>
  </r>
  <r>
    <x v="28"/>
    <s v="ITA"/>
    <x v="1"/>
    <x v="1"/>
    <n v="4063947052"/>
    <n v="1580514834"/>
    <n v="15"/>
    <n v="12"/>
    <n v="27"/>
    <n v="62"/>
    <n v="89"/>
    <n v="8"/>
    <n v="9"/>
    <n v="0"/>
    <n v="1"/>
    <n v="90"/>
    <n v="696"/>
  </r>
  <r>
    <x v="28"/>
    <s v="ITA"/>
    <x v="2"/>
    <x v="2"/>
    <n v="4649933453"/>
    <n v="1135662422"/>
    <n v="145"/>
    <n v="33"/>
    <n v="178"/>
    <n v="510"/>
    <n v="688"/>
    <n v="40"/>
    <n v="46"/>
    <n v="7"/>
    <n v="29"/>
    <n v="724"/>
    <n v="6084"/>
  </r>
  <r>
    <x v="28"/>
    <s v="ITA"/>
    <x v="3"/>
    <x v="3"/>
    <n v="3890597598"/>
    <n v="1659440194"/>
    <n v="82"/>
    <n v="20"/>
    <n v="102"/>
    <n v="178"/>
    <n v="280"/>
    <n v="20"/>
    <n v="19"/>
    <n v="5"/>
    <n v="7"/>
    <n v="292"/>
    <n v="4073"/>
  </r>
  <r>
    <x v="28"/>
    <s v="ITA"/>
    <x v="4"/>
    <x v="4"/>
    <n v="4083956555"/>
    <n v="1425084984"/>
    <n v="266"/>
    <n v="110"/>
    <n v="376"/>
    <n v="553"/>
    <n v="929"/>
    <n v="63"/>
    <n v="90"/>
    <n v="48"/>
    <n v="49"/>
    <n v="1026"/>
    <n v="5813"/>
  </r>
  <r>
    <x v="28"/>
    <s v="ITA"/>
    <x v="5"/>
    <x v="5"/>
    <n v="4449436681"/>
    <n v="113417208"/>
    <n v="2846"/>
    <n v="276"/>
    <n v="3122"/>
    <n v="4098"/>
    <n v="7220"/>
    <n v="830"/>
    <n v="980"/>
    <n v="423"/>
    <n v="892"/>
    <n v="8535"/>
    <n v="31200"/>
  </r>
  <r>
    <x v="28"/>
    <s v="ITA"/>
    <x v="6"/>
    <x v="6"/>
    <n v="456494354"/>
    <n v="1376813649"/>
    <n v="185"/>
    <n v="41"/>
    <n v="226"/>
    <n v="545"/>
    <n v="771"/>
    <n v="33"/>
    <n v="56"/>
    <n v="105"/>
    <n v="54"/>
    <n v="930"/>
    <n v="7424"/>
  </r>
  <r>
    <x v="28"/>
    <s v="ITA"/>
    <x v="7"/>
    <x v="7"/>
    <n v="4189277044"/>
    <n v="1248366722"/>
    <n v="718"/>
    <n v="96"/>
    <n v="814"/>
    <n v="600"/>
    <n v="1414"/>
    <n v="142"/>
    <n v="157"/>
    <n v="63"/>
    <n v="63"/>
    <n v="1540"/>
    <n v="18371"/>
  </r>
  <r>
    <x v="28"/>
    <s v="ITA"/>
    <x v="8"/>
    <x v="8"/>
    <n v="4441149315"/>
    <n v="89326992"/>
    <n v="761"/>
    <n v="133"/>
    <n v="894"/>
    <n v="659"/>
    <n v="1553"/>
    <n v="202"/>
    <n v="259"/>
    <n v="159"/>
    <n v="212"/>
    <n v="1924"/>
    <n v="5538"/>
  </r>
  <r>
    <x v="28"/>
    <s v="ITA"/>
    <x v="9"/>
    <x v="9"/>
    <n v="4546679409"/>
    <n v="9190347404"/>
    <n v="9266"/>
    <n v="1183"/>
    <n v="10449"/>
    <n v="8461"/>
    <n v="18910"/>
    <n v="1025"/>
    <n v="1555"/>
    <n v="6075"/>
    <n v="3776"/>
    <n v="28761"/>
    <n v="73242"/>
  </r>
  <r>
    <x v="28"/>
    <s v="ITA"/>
    <x v="10"/>
    <x v="10"/>
    <n v="4361675973"/>
    <n v="135188753"/>
    <n v="882"/>
    <n v="148"/>
    <n v="1030"/>
    <n v="1328"/>
    <n v="2358"/>
    <n v="127"/>
    <n v="148"/>
    <n v="8"/>
    <n v="203"/>
    <n v="2569"/>
    <n v="6782"/>
  </r>
  <r>
    <x v="28"/>
    <s v="ITA"/>
    <x v="11"/>
    <x v="11"/>
    <n v="4155774754"/>
    <n v="1465916051"/>
    <n v="25"/>
    <n v="7"/>
    <n v="32"/>
    <n v="18"/>
    <n v="50"/>
    <n v="-2"/>
    <n v="1"/>
    <n v="10"/>
    <n v="7"/>
    <n v="67"/>
    <n v="532"/>
  </r>
  <r>
    <x v="28"/>
    <s v="ITA"/>
    <x v="12"/>
    <x v="12"/>
    <n v="450732745"/>
    <n v="7680687483"/>
    <n v="2194"/>
    <n v="343"/>
    <n v="2537"/>
    <n v="1992"/>
    <n v="4529"/>
    <n v="402"/>
    <n v="441"/>
    <n v="17"/>
    <n v="315"/>
    <n v="4861"/>
    <n v="13560"/>
  </r>
  <r>
    <x v="28"/>
    <s v="ITA"/>
    <x v="13"/>
    <x v="13"/>
    <n v="4112559576"/>
    <n v="1686736689"/>
    <n v="285"/>
    <n v="45"/>
    <n v="330"/>
    <n v="532"/>
    <n v="862"/>
    <n v="114"/>
    <n v="120"/>
    <n v="7"/>
    <n v="37"/>
    <n v="906"/>
    <n v="6761"/>
  </r>
  <r>
    <x v="28"/>
    <s v="ITA"/>
    <x v="14"/>
    <x v="14"/>
    <n v="3921531192"/>
    <n v="9110616306"/>
    <n v="76"/>
    <n v="18"/>
    <n v="94"/>
    <n v="249"/>
    <n v="343"/>
    <n v="16"/>
    <n v="20"/>
    <n v="5"/>
    <n v="11"/>
    <n v="359"/>
    <n v="2568"/>
  </r>
  <r>
    <x v="28"/>
    <s v="ITA"/>
    <x v="15"/>
    <x v="15"/>
    <n v="3811569725"/>
    <n v="133623567"/>
    <n v="250"/>
    <n v="60"/>
    <n v="310"/>
    <n v="371"/>
    <n v="681"/>
    <n v="85"/>
    <n v="91"/>
    <n v="27"/>
    <n v="13"/>
    <n v="721"/>
    <n v="6375"/>
  </r>
  <r>
    <x v="28"/>
    <s v="ITA"/>
    <x v="16"/>
    <x v="16"/>
    <n v="4376923077"/>
    <n v="1125588885"/>
    <n v="838"/>
    <n v="238"/>
    <n v="1076"/>
    <n v="1225"/>
    <n v="2301"/>
    <n v="157"/>
    <n v="184"/>
    <n v="51"/>
    <n v="109"/>
    <n v="2461"/>
    <n v="13851"/>
  </r>
  <r>
    <x v="28"/>
    <s v="ITA"/>
    <x v="2"/>
    <x v="17"/>
    <n v="4606893511"/>
    <n v="1112123097"/>
    <n v="249"/>
    <n v="46"/>
    <n v="295"/>
    <n v="619"/>
    <n v="914"/>
    <n v="29"/>
    <n v="69"/>
    <n v="68"/>
    <n v="41"/>
    <n v="1023"/>
    <n v="3150"/>
  </r>
  <r>
    <x v="28"/>
    <s v="ITA"/>
    <x v="17"/>
    <x v="18"/>
    <n v="4310675841"/>
    <n v="1238824698"/>
    <n v="106"/>
    <n v="42"/>
    <n v="148"/>
    <n v="408"/>
    <n v="556"/>
    <n v="56"/>
    <n v="56"/>
    <n v="5"/>
    <n v="16"/>
    <n v="577"/>
    <n v="3561"/>
  </r>
  <r>
    <x v="28"/>
    <s v="ITA"/>
    <x v="18"/>
    <x v="19"/>
    <n v="4573750286"/>
    <n v="7320149366"/>
    <n v="69"/>
    <n v="20"/>
    <n v="89"/>
    <n v="290"/>
    <n v="379"/>
    <n v="25"/>
    <n v="29"/>
    <n v="2"/>
    <n v="12"/>
    <n v="393"/>
    <n v="1098"/>
  </r>
  <r>
    <x v="28"/>
    <s v="ITA"/>
    <x v="19"/>
    <x v="20"/>
    <n v="4543490485"/>
    <n v="1233845213"/>
    <n v="1206"/>
    <n v="281"/>
    <n v="1487"/>
    <n v="3499"/>
    <n v="4986"/>
    <n v="342"/>
    <n v="383"/>
    <n v="327"/>
    <n v="192"/>
    <n v="5505"/>
    <n v="61115"/>
  </r>
  <r>
    <x v="29"/>
    <s v="ITA"/>
    <x v="0"/>
    <x v="0"/>
    <n v="4235122196"/>
    <n v="1339843823"/>
    <n v="234"/>
    <n v="57"/>
    <n v="291"/>
    <n v="331"/>
    <n v="622"/>
    <n v="17"/>
    <n v="26"/>
    <n v="21"/>
    <n v="46"/>
    <n v="689"/>
    <n v="4294"/>
  </r>
  <r>
    <x v="29"/>
    <s v="ITA"/>
    <x v="1"/>
    <x v="1"/>
    <n v="4063947052"/>
    <n v="1580514834"/>
    <n v="14"/>
    <n v="12"/>
    <n v="26"/>
    <n v="65"/>
    <n v="91"/>
    <n v="2"/>
    <n v="2"/>
    <n v="0"/>
    <n v="1"/>
    <n v="92"/>
    <n v="744"/>
  </r>
  <r>
    <x v="29"/>
    <s v="ITA"/>
    <x v="2"/>
    <x v="2"/>
    <n v="4649933453"/>
    <n v="1135662422"/>
    <n v="166"/>
    <n v="38"/>
    <n v="204"/>
    <n v="495"/>
    <n v="699"/>
    <n v="11"/>
    <n v="57"/>
    <n v="44"/>
    <n v="38"/>
    <n v="781"/>
    <n v="6509"/>
  </r>
  <r>
    <x v="29"/>
    <s v="ITA"/>
    <x v="3"/>
    <x v="3"/>
    <n v="3890597598"/>
    <n v="1659440194"/>
    <n v="88"/>
    <n v="21"/>
    <n v="109"/>
    <n v="195"/>
    <n v="304"/>
    <n v="24"/>
    <n v="27"/>
    <n v="5"/>
    <n v="10"/>
    <n v="319"/>
    <n v="4486"/>
  </r>
  <r>
    <x v="29"/>
    <s v="ITA"/>
    <x v="4"/>
    <x v="4"/>
    <n v="4083956555"/>
    <n v="1425084984"/>
    <n v="345"/>
    <n v="181"/>
    <n v="526"/>
    <n v="466"/>
    <n v="992"/>
    <n v="63"/>
    <n v="75"/>
    <n v="53"/>
    <n v="56"/>
    <n v="1101"/>
    <n v="6297"/>
  </r>
  <r>
    <x v="29"/>
    <s v="ITA"/>
    <x v="5"/>
    <x v="5"/>
    <n v="4449436681"/>
    <n v="113417208"/>
    <n v="2974"/>
    <n v="291"/>
    <n v="3265"/>
    <n v="4446"/>
    <n v="7711"/>
    <n v="491"/>
    <n v="719"/>
    <n v="558"/>
    <n v="985"/>
    <n v="9254"/>
    <n v="33527"/>
  </r>
  <r>
    <x v="29"/>
    <s v="ITA"/>
    <x v="6"/>
    <x v="6"/>
    <n v="456494354"/>
    <n v="1376813649"/>
    <n v="195"/>
    <n v="49"/>
    <n v="244"/>
    <n v="604"/>
    <n v="848"/>
    <n v="77"/>
    <n v="62"/>
    <n v="80"/>
    <n v="64"/>
    <n v="992"/>
    <n v="8526"/>
  </r>
  <r>
    <x v="29"/>
    <s v="ITA"/>
    <x v="7"/>
    <x v="7"/>
    <n v="4189277044"/>
    <n v="1248366722"/>
    <n v="747"/>
    <n v="94"/>
    <n v="841"/>
    <n v="704"/>
    <n v="1545"/>
    <n v="131"/>
    <n v="188"/>
    <n v="103"/>
    <n v="80"/>
    <n v="1728"/>
    <n v="18371"/>
  </r>
  <r>
    <x v="29"/>
    <s v="ITA"/>
    <x v="8"/>
    <x v="8"/>
    <n v="4441149315"/>
    <n v="89326992"/>
    <n v="803"/>
    <n v="147"/>
    <n v="950"/>
    <n v="742"/>
    <n v="1692"/>
    <n v="139"/>
    <n v="192"/>
    <n v="193"/>
    <n v="231"/>
    <n v="2116"/>
    <n v="5992"/>
  </r>
  <r>
    <x v="29"/>
    <s v="ITA"/>
    <x v="9"/>
    <x v="9"/>
    <n v="4546679409"/>
    <n v="9190347404"/>
    <n v="9711"/>
    <n v="1194"/>
    <n v="10905"/>
    <n v="8963"/>
    <n v="19868"/>
    <n v="958"/>
    <n v="1942"/>
    <n v="6657"/>
    <n v="4178"/>
    <n v="30703"/>
    <n v="76695"/>
  </r>
  <r>
    <x v="29"/>
    <s v="ITA"/>
    <x v="10"/>
    <x v="10"/>
    <n v="4361675973"/>
    <n v="135188753"/>
    <n v="862"/>
    <n v="149"/>
    <n v="1011"/>
    <n v="1486"/>
    <n v="2497"/>
    <n v="139"/>
    <n v="167"/>
    <n v="8"/>
    <n v="231"/>
    <n v="2736"/>
    <n v="7229"/>
  </r>
  <r>
    <x v="29"/>
    <s v="ITA"/>
    <x v="11"/>
    <x v="11"/>
    <n v="4155774754"/>
    <n v="1465916051"/>
    <n v="27"/>
    <n v="7"/>
    <n v="34"/>
    <n v="21"/>
    <n v="55"/>
    <n v="5"/>
    <n v="6"/>
    <n v="10"/>
    <n v="8"/>
    <n v="73"/>
    <n v="572"/>
  </r>
  <r>
    <x v="29"/>
    <s v="ITA"/>
    <x v="12"/>
    <x v="12"/>
    <n v="450732745"/>
    <n v="7680687483"/>
    <n v="2404"/>
    <n v="360"/>
    <n v="2764"/>
    <n v="2360"/>
    <n v="5124"/>
    <n v="595"/>
    <n v="654"/>
    <n v="17"/>
    <n v="374"/>
    <n v="5515"/>
    <n v="15469"/>
  </r>
  <r>
    <x v="29"/>
    <s v="ITA"/>
    <x v="13"/>
    <x v="13"/>
    <n v="4112559576"/>
    <n v="1686736689"/>
    <n v="317"/>
    <n v="57"/>
    <n v="374"/>
    <n v="566"/>
    <n v="940"/>
    <n v="78"/>
    <n v="99"/>
    <n v="21"/>
    <n v="44"/>
    <n v="1005"/>
    <n v="7345"/>
  </r>
  <r>
    <x v="29"/>
    <s v="ITA"/>
    <x v="14"/>
    <x v="14"/>
    <n v="3921531192"/>
    <n v="9110616306"/>
    <n v="80"/>
    <n v="19"/>
    <n v="99"/>
    <n v="296"/>
    <n v="395"/>
    <n v="52"/>
    <n v="62"/>
    <n v="11"/>
    <n v="15"/>
    <n v="421"/>
    <n v="2859"/>
  </r>
  <r>
    <x v="29"/>
    <s v="ITA"/>
    <x v="15"/>
    <x v="15"/>
    <n v="3811569725"/>
    <n v="133623567"/>
    <n v="250"/>
    <n v="60"/>
    <n v="310"/>
    <n v="489"/>
    <n v="799"/>
    <n v="118"/>
    <n v="125"/>
    <n v="27"/>
    <n v="20"/>
    <n v="846"/>
    <n v="7170"/>
  </r>
  <r>
    <x v="29"/>
    <s v="ITA"/>
    <x v="16"/>
    <x v="16"/>
    <n v="4376923077"/>
    <n v="1125588885"/>
    <n v="918"/>
    <n v="244"/>
    <n v="1162"/>
    <n v="1357"/>
    <n v="2519"/>
    <n v="218"/>
    <n v="238"/>
    <n v="51"/>
    <n v="129"/>
    <n v="2699"/>
    <n v="15701"/>
  </r>
  <r>
    <x v="29"/>
    <s v="ITA"/>
    <x v="2"/>
    <x v="17"/>
    <n v="4606893511"/>
    <n v="1112123097"/>
    <n v="308"/>
    <n v="49"/>
    <n v="357"/>
    <n v="618"/>
    <n v="975"/>
    <n v="61"/>
    <n v="87"/>
    <n v="79"/>
    <n v="56"/>
    <n v="1110"/>
    <n v="3712"/>
  </r>
  <r>
    <x v="29"/>
    <s v="ITA"/>
    <x v="17"/>
    <x v="18"/>
    <n v="4310675841"/>
    <n v="1238824698"/>
    <n v="105"/>
    <n v="43"/>
    <n v="148"/>
    <n v="476"/>
    <n v="624"/>
    <n v="68"/>
    <n v="71"/>
    <n v="5"/>
    <n v="19"/>
    <n v="648"/>
    <n v="4108"/>
  </r>
  <r>
    <x v="29"/>
    <s v="ITA"/>
    <x v="18"/>
    <x v="19"/>
    <n v="4573750286"/>
    <n v="7320149366"/>
    <n v="71"/>
    <n v="20"/>
    <n v="91"/>
    <n v="288"/>
    <n v="379"/>
    <n v="0"/>
    <n v="7"/>
    <n v="2"/>
    <n v="19"/>
    <n v="400"/>
    <n v="1180"/>
  </r>
  <r>
    <x v="29"/>
    <s v="ITA"/>
    <x v="19"/>
    <x v="20"/>
    <n v="4543490485"/>
    <n v="1233845213"/>
    <n v="1318"/>
    <n v="304"/>
    <n v="1622"/>
    <n v="3729"/>
    <n v="5351"/>
    <n v="365"/>
    <n v="443"/>
    <n v="381"/>
    <n v="216"/>
    <n v="5948"/>
    <n v="66178"/>
  </r>
  <r>
    <x v="30"/>
    <s v="ITA"/>
    <x v="0"/>
    <x v="0"/>
    <n v="4235122196"/>
    <n v="1339843823"/>
    <n v="248"/>
    <n v="59"/>
    <n v="307"/>
    <n v="431"/>
    <n v="738"/>
    <n v="116"/>
    <n v="124"/>
    <n v="23"/>
    <n v="52"/>
    <n v="813"/>
    <n v="4982"/>
  </r>
  <r>
    <x v="30"/>
    <s v="ITA"/>
    <x v="1"/>
    <x v="1"/>
    <n v="4063947052"/>
    <n v="1580514834"/>
    <n v="20"/>
    <n v="14"/>
    <n v="34"/>
    <n v="78"/>
    <n v="112"/>
    <n v="21"/>
    <n v="21"/>
    <n v="0"/>
    <n v="1"/>
    <n v="113"/>
    <n v="857"/>
  </r>
  <r>
    <x v="30"/>
    <s v="ITA"/>
    <x v="2"/>
    <x v="2"/>
    <n v="4649933453"/>
    <n v="1135662422"/>
    <n v="190"/>
    <n v="40"/>
    <n v="230"/>
    <n v="518"/>
    <n v="748"/>
    <n v="49"/>
    <n v="77"/>
    <n v="67"/>
    <n v="43"/>
    <n v="858"/>
    <n v="6649"/>
  </r>
  <r>
    <x v="30"/>
    <s v="ITA"/>
    <x v="3"/>
    <x v="3"/>
    <n v="3890597598"/>
    <n v="1659440194"/>
    <n v="93"/>
    <n v="23"/>
    <n v="116"/>
    <n v="217"/>
    <n v="333"/>
    <n v="29"/>
    <n v="32"/>
    <n v="7"/>
    <n v="11"/>
    <n v="351"/>
    <n v="5058"/>
  </r>
  <r>
    <x v="30"/>
    <s v="ITA"/>
    <x v="4"/>
    <x v="4"/>
    <n v="4083956555"/>
    <n v="1425084984"/>
    <n v="318"/>
    <n v="123"/>
    <n v="441"/>
    <n v="631"/>
    <n v="1072"/>
    <n v="80"/>
    <n v="98"/>
    <n v="53"/>
    <n v="74"/>
    <n v="1199"/>
    <n v="6972"/>
  </r>
  <r>
    <x v="30"/>
    <s v="ITA"/>
    <x v="5"/>
    <x v="5"/>
    <n v="4449436681"/>
    <n v="113417208"/>
    <n v="3180"/>
    <n v="294"/>
    <n v="3474"/>
    <n v="4782"/>
    <n v="8256"/>
    <n v="545"/>
    <n v="800"/>
    <n v="721"/>
    <n v="1077"/>
    <n v="10054"/>
    <n v="38045"/>
  </r>
  <r>
    <x v="30"/>
    <s v="ITA"/>
    <x v="6"/>
    <x v="6"/>
    <n v="456494354"/>
    <n v="1376813649"/>
    <n v="200"/>
    <n v="52"/>
    <n v="252"/>
    <n v="659"/>
    <n v="911"/>
    <n v="63"/>
    <n v="147"/>
    <n v="158"/>
    <n v="70"/>
    <n v="1139"/>
    <n v="9494"/>
  </r>
  <r>
    <x v="30"/>
    <s v="ITA"/>
    <x v="7"/>
    <x v="7"/>
    <n v="4189277044"/>
    <n v="1248366722"/>
    <n v="805"/>
    <n v="101"/>
    <n v="906"/>
    <n v="769"/>
    <n v="1675"/>
    <n v="130"/>
    <n v="173"/>
    <n v="131"/>
    <n v="95"/>
    <n v="1901"/>
    <n v="20669"/>
  </r>
  <r>
    <x v="30"/>
    <s v="ITA"/>
    <x v="8"/>
    <x v="8"/>
    <n v="4441149315"/>
    <n v="89326992"/>
    <n v="927"/>
    <n v="147"/>
    <n v="1074"/>
    <n v="752"/>
    <n v="1826"/>
    <n v="134"/>
    <n v="189"/>
    <n v="225"/>
    <n v="254"/>
    <n v="2305"/>
    <n v="6602"/>
  </r>
  <r>
    <x v="30"/>
    <s v="ITA"/>
    <x v="9"/>
    <x v="9"/>
    <n v="4546679409"/>
    <n v="9190347404"/>
    <n v="10026"/>
    <n v="1236"/>
    <n v="11262"/>
    <n v="9329"/>
    <n v="20591"/>
    <n v="723"/>
    <n v="1643"/>
    <n v="7281"/>
    <n v="4474"/>
    <n v="32346"/>
    <n v="81666"/>
  </r>
  <r>
    <x v="30"/>
    <s v="ITA"/>
    <x v="10"/>
    <x v="10"/>
    <n v="4361675973"/>
    <n v="135188753"/>
    <n v="938"/>
    <n v="148"/>
    <n v="1086"/>
    <n v="1553"/>
    <n v="2639"/>
    <n v="142"/>
    <n v="198"/>
    <n v="8"/>
    <n v="287"/>
    <n v="2934"/>
    <n v="7896"/>
  </r>
  <r>
    <x v="30"/>
    <s v="ITA"/>
    <x v="11"/>
    <x v="11"/>
    <n v="4155774754"/>
    <n v="1465916051"/>
    <n v="26"/>
    <n v="7"/>
    <n v="33"/>
    <n v="20"/>
    <n v="53"/>
    <n v="-2"/>
    <n v="0"/>
    <n v="12"/>
    <n v="8"/>
    <n v="73"/>
    <n v="580"/>
  </r>
  <r>
    <x v="30"/>
    <s v="ITA"/>
    <x v="12"/>
    <x v="12"/>
    <n v="450732745"/>
    <n v="7680687483"/>
    <n v="2544"/>
    <n v="381"/>
    <n v="2925"/>
    <n v="2631"/>
    <n v="5556"/>
    <n v="432"/>
    <n v="509"/>
    <n v="19"/>
    <n v="449"/>
    <n v="6024"/>
    <n v="16655"/>
  </r>
  <r>
    <x v="30"/>
    <s v="ITA"/>
    <x v="13"/>
    <x v="13"/>
    <n v="4112559576"/>
    <n v="1686736689"/>
    <n v="349"/>
    <n v="64"/>
    <n v="413"/>
    <n v="610"/>
    <n v="1023"/>
    <n v="83"/>
    <n v="88"/>
    <n v="22"/>
    <n v="48"/>
    <n v="1093"/>
    <n v="8223"/>
  </r>
  <r>
    <x v="30"/>
    <s v="ITA"/>
    <x v="14"/>
    <x v="14"/>
    <n v="3921531192"/>
    <n v="9110616306"/>
    <n v="82"/>
    <n v="19"/>
    <n v="101"/>
    <n v="311"/>
    <n v="412"/>
    <n v="17"/>
    <n v="21"/>
    <n v="12"/>
    <n v="18"/>
    <n v="442"/>
    <n v="3019"/>
  </r>
  <r>
    <x v="30"/>
    <s v="ITA"/>
    <x v="15"/>
    <x v="15"/>
    <n v="3811569725"/>
    <n v="133623567"/>
    <n v="259"/>
    <n v="80"/>
    <n v="339"/>
    <n v="597"/>
    <n v="936"/>
    <n v="137"/>
    <n v="148"/>
    <n v="33"/>
    <n v="25"/>
    <n v="994"/>
    <n v="8312"/>
  </r>
  <r>
    <x v="30"/>
    <s v="ITA"/>
    <x v="16"/>
    <x v="16"/>
    <n v="4376923077"/>
    <n v="1125588885"/>
    <n v="999"/>
    <n v="251"/>
    <n v="1250"/>
    <n v="1526"/>
    <n v="2776"/>
    <n v="257"/>
    <n v="273"/>
    <n v="54"/>
    <n v="142"/>
    <n v="2972"/>
    <n v="17868"/>
  </r>
  <r>
    <x v="30"/>
    <s v="ITA"/>
    <x v="2"/>
    <x v="17"/>
    <n v="4606893511"/>
    <n v="1112123097"/>
    <n v="308"/>
    <n v="65"/>
    <n v="373"/>
    <n v="685"/>
    <n v="1058"/>
    <n v="83"/>
    <n v="112"/>
    <n v="90"/>
    <n v="74"/>
    <n v="1222"/>
    <n v="4114"/>
  </r>
  <r>
    <x v="30"/>
    <s v="ITA"/>
    <x v="17"/>
    <x v="18"/>
    <n v="4310675841"/>
    <n v="1238824698"/>
    <n v="123"/>
    <n v="44"/>
    <n v="167"/>
    <n v="519"/>
    <n v="686"/>
    <n v="62"/>
    <n v="62"/>
    <n v="5"/>
    <n v="19"/>
    <n v="710"/>
    <n v="4707"/>
  </r>
  <r>
    <x v="30"/>
    <s v="ITA"/>
    <x v="18"/>
    <x v="19"/>
    <n v="4573750286"/>
    <n v="7320149366"/>
    <n v="70"/>
    <n v="25"/>
    <n v="95"/>
    <n v="280"/>
    <n v="375"/>
    <n v="-4"/>
    <n v="1"/>
    <n v="2"/>
    <n v="24"/>
    <n v="401"/>
    <n v="1200"/>
  </r>
  <r>
    <x v="30"/>
    <s v="ITA"/>
    <x v="19"/>
    <x v="20"/>
    <n v="4543490485"/>
    <n v="1233845213"/>
    <n v="1407"/>
    <n v="316"/>
    <n v="1723"/>
    <n v="4022"/>
    <n v="5745"/>
    <n v="394"/>
    <n v="494"/>
    <n v="439"/>
    <n v="258"/>
    <n v="6442"/>
    <n v="70877"/>
  </r>
  <r>
    <x v="31"/>
    <s v="ITA"/>
    <x v="0"/>
    <x v="0"/>
    <n v="4235122196"/>
    <n v="1339843823"/>
    <n v="280"/>
    <n v="64"/>
    <n v="344"/>
    <n v="516"/>
    <n v="860"/>
    <n v="122"/>
    <n v="133"/>
    <n v="23"/>
    <n v="63"/>
    <n v="946"/>
    <n v="5488"/>
  </r>
  <r>
    <x v="31"/>
    <s v="ITA"/>
    <x v="1"/>
    <x v="1"/>
    <n v="4063947052"/>
    <n v="1580514834"/>
    <n v="22"/>
    <n v="16"/>
    <n v="38"/>
    <n v="95"/>
    <n v="133"/>
    <n v="21"/>
    <n v="21"/>
    <n v="0"/>
    <n v="1"/>
    <n v="134"/>
    <n v="1046"/>
  </r>
  <r>
    <x v="31"/>
    <s v="ITA"/>
    <x v="2"/>
    <x v="2"/>
    <n v="4649933453"/>
    <n v="1135662422"/>
    <n v="223"/>
    <n v="43"/>
    <n v="266"/>
    <n v="525"/>
    <n v="791"/>
    <n v="43"/>
    <n v="48"/>
    <n v="67"/>
    <n v="48"/>
    <n v="906"/>
    <n v="7744"/>
  </r>
  <r>
    <x v="31"/>
    <s v="ITA"/>
    <x v="3"/>
    <x v="3"/>
    <n v="3890597598"/>
    <n v="1659440194"/>
    <n v="101"/>
    <n v="23"/>
    <n v="124"/>
    <n v="248"/>
    <n v="372"/>
    <n v="39"/>
    <n v="42"/>
    <n v="7"/>
    <n v="14"/>
    <n v="393"/>
    <n v="5933"/>
  </r>
  <r>
    <x v="31"/>
    <s v="ITA"/>
    <x v="4"/>
    <x v="4"/>
    <n v="4083956555"/>
    <n v="1425084984"/>
    <n v="448"/>
    <n v="114"/>
    <n v="562"/>
    <n v="607"/>
    <n v="1169"/>
    <n v="97"/>
    <n v="111"/>
    <n v="58"/>
    <n v="83"/>
    <n v="1310"/>
    <n v="8346"/>
  </r>
  <r>
    <x v="31"/>
    <s v="ITA"/>
    <x v="5"/>
    <x v="5"/>
    <n v="4449436681"/>
    <n v="113417208"/>
    <n v="3354"/>
    <n v="301"/>
    <n v="3655"/>
    <n v="5195"/>
    <n v="8850"/>
    <n v="594"/>
    <n v="762"/>
    <n v="792"/>
    <n v="1174"/>
    <n v="10816"/>
    <n v="42395"/>
  </r>
  <r>
    <x v="31"/>
    <s v="ITA"/>
    <x v="6"/>
    <x v="6"/>
    <n v="456494354"/>
    <n v="1376813649"/>
    <n v="212"/>
    <n v="54"/>
    <n v="266"/>
    <n v="688"/>
    <n v="954"/>
    <n v="43"/>
    <n v="84"/>
    <n v="197"/>
    <n v="72"/>
    <n v="1223"/>
    <n v="10721"/>
  </r>
  <r>
    <x v="31"/>
    <s v="ITA"/>
    <x v="7"/>
    <x v="7"/>
    <n v="4189277044"/>
    <n v="1248366722"/>
    <n v="878"/>
    <n v="113"/>
    <n v="991"/>
    <n v="844"/>
    <n v="1835"/>
    <n v="160"/>
    <n v="195"/>
    <n v="155"/>
    <n v="106"/>
    <n v="2096"/>
    <n v="22771"/>
  </r>
  <r>
    <x v="31"/>
    <s v="ITA"/>
    <x v="8"/>
    <x v="8"/>
    <n v="4441149315"/>
    <n v="89326992"/>
    <n v="998"/>
    <n v="154"/>
    <n v="1152"/>
    <n v="875"/>
    <n v="2027"/>
    <n v="201"/>
    <n v="262"/>
    <n v="260"/>
    <n v="280"/>
    <n v="2567"/>
    <n v="7304"/>
  </r>
  <r>
    <x v="31"/>
    <s v="ITA"/>
    <x v="9"/>
    <x v="9"/>
    <n v="4546679409"/>
    <n v="9190347404"/>
    <n v="10681"/>
    <n v="1263"/>
    <n v="11944"/>
    <n v="10245"/>
    <n v="22189"/>
    <n v="1598"/>
    <n v="2543"/>
    <n v="7839"/>
    <n v="4861"/>
    <n v="34889"/>
    <n v="87713"/>
  </r>
  <r>
    <x v="31"/>
    <s v="ITA"/>
    <x v="10"/>
    <x v="10"/>
    <n v="4361675973"/>
    <n v="135188753"/>
    <n v="977"/>
    <n v="166"/>
    <n v="1143"/>
    <n v="1652"/>
    <n v="2795"/>
    <n v="156"/>
    <n v="180"/>
    <n v="9"/>
    <n v="310"/>
    <n v="3114"/>
    <n v="8623"/>
  </r>
  <r>
    <x v="31"/>
    <s v="ITA"/>
    <x v="11"/>
    <x v="11"/>
    <n v="4155774754"/>
    <n v="1465916051"/>
    <n v="27"/>
    <n v="8"/>
    <n v="35"/>
    <n v="46"/>
    <n v="81"/>
    <n v="28"/>
    <n v="30"/>
    <n v="14"/>
    <n v="8"/>
    <n v="103"/>
    <n v="670"/>
  </r>
  <r>
    <x v="31"/>
    <s v="ITA"/>
    <x v="12"/>
    <x v="12"/>
    <n v="450732745"/>
    <n v="7680687483"/>
    <n v="2633"/>
    <n v="408"/>
    <n v="3041"/>
    <n v="2909"/>
    <n v="5950"/>
    <n v="394"/>
    <n v="510"/>
    <n v="135"/>
    <n v="449"/>
    <n v="6534"/>
    <n v="18054"/>
  </r>
  <r>
    <x v="31"/>
    <s v="ITA"/>
    <x v="13"/>
    <x v="13"/>
    <n v="4112559576"/>
    <n v="1686736689"/>
    <n v="480"/>
    <n v="76"/>
    <n v="556"/>
    <n v="539"/>
    <n v="1095"/>
    <n v="72"/>
    <n v="89"/>
    <n v="22"/>
    <n v="65"/>
    <n v="1182"/>
    <n v="9191"/>
  </r>
  <r>
    <x v="31"/>
    <s v="ITA"/>
    <x v="14"/>
    <x v="14"/>
    <n v="3921531192"/>
    <n v="9110616306"/>
    <n v="92"/>
    <n v="20"/>
    <n v="112"/>
    <n v="350"/>
    <n v="462"/>
    <n v="50"/>
    <n v="52"/>
    <n v="13"/>
    <n v="19"/>
    <n v="494"/>
    <n v="3461"/>
  </r>
  <r>
    <x v="31"/>
    <s v="ITA"/>
    <x v="15"/>
    <x v="15"/>
    <n v="3811569725"/>
    <n v="133623567"/>
    <n v="346"/>
    <n v="68"/>
    <n v="414"/>
    <n v="681"/>
    <n v="1095"/>
    <n v="159"/>
    <n v="170"/>
    <n v="36"/>
    <n v="33"/>
    <n v="1164"/>
    <n v="9658"/>
  </r>
  <r>
    <x v="31"/>
    <s v="ITA"/>
    <x v="16"/>
    <x v="16"/>
    <n v="4376923077"/>
    <n v="1125588885"/>
    <n v="1037"/>
    <n v="259"/>
    <n v="1296"/>
    <n v="1677"/>
    <n v="2973"/>
    <n v="197"/>
    <n v="254"/>
    <n v="95"/>
    <n v="158"/>
    <n v="3226"/>
    <n v="20952"/>
  </r>
  <r>
    <x v="31"/>
    <s v="ITA"/>
    <x v="2"/>
    <x v="17"/>
    <n v="4606893511"/>
    <n v="1112123097"/>
    <n v="300"/>
    <n v="66"/>
    <n v="366"/>
    <n v="728"/>
    <n v="1094"/>
    <n v="36"/>
    <n v="75"/>
    <n v="117"/>
    <n v="86"/>
    <n v="1297"/>
    <n v="4600"/>
  </r>
  <r>
    <x v="31"/>
    <s v="ITA"/>
    <x v="17"/>
    <x v="18"/>
    <n v="4310675841"/>
    <n v="1238824698"/>
    <n v="144"/>
    <n v="46"/>
    <n v="190"/>
    <n v="580"/>
    <n v="770"/>
    <n v="84"/>
    <n v="92"/>
    <n v="12"/>
    <n v="20"/>
    <n v="802"/>
    <n v="5428"/>
  </r>
  <r>
    <x v="31"/>
    <s v="ITA"/>
    <x v="18"/>
    <x v="19"/>
    <n v="4573750286"/>
    <n v="7320149366"/>
    <n v="73"/>
    <n v="24"/>
    <n v="97"/>
    <n v="281"/>
    <n v="378"/>
    <n v="3"/>
    <n v="7"/>
    <n v="2"/>
    <n v="28"/>
    <n v="408"/>
    <n v="1203"/>
  </r>
  <r>
    <x v="31"/>
    <s v="ITA"/>
    <x v="19"/>
    <x v="20"/>
    <n v="4543490485"/>
    <n v="1233845213"/>
    <n v="1447"/>
    <n v="326"/>
    <n v="1773"/>
    <n v="4367"/>
    <n v="6140"/>
    <n v="395"/>
    <n v="493"/>
    <n v="508"/>
    <n v="287"/>
    <n v="6935"/>
    <n v="79759"/>
  </r>
  <r>
    <x v="32"/>
    <s v="ITA"/>
    <x v="0"/>
    <x v="0"/>
    <n v="4235122196"/>
    <n v="1339843823"/>
    <n v="289"/>
    <n v="71"/>
    <n v="360"/>
    <n v="565"/>
    <n v="925"/>
    <n v="65"/>
    <n v="71"/>
    <n v="24"/>
    <n v="68"/>
    <n v="1017"/>
    <n v="6109"/>
  </r>
  <r>
    <x v="32"/>
    <s v="ITA"/>
    <x v="1"/>
    <x v="1"/>
    <n v="4063947052"/>
    <n v="1580514834"/>
    <n v="22"/>
    <n v="15"/>
    <n v="37"/>
    <n v="110"/>
    <n v="147"/>
    <n v="14"/>
    <n v="17"/>
    <n v="1"/>
    <n v="3"/>
    <n v="151"/>
    <n v="1254"/>
  </r>
  <r>
    <x v="32"/>
    <s v="ITA"/>
    <x v="2"/>
    <x v="2"/>
    <n v="4649933453"/>
    <n v="1135662422"/>
    <n v="249"/>
    <n v="45"/>
    <n v="294"/>
    <n v="539"/>
    <n v="833"/>
    <n v="42"/>
    <n v="97"/>
    <n v="110"/>
    <n v="60"/>
    <n v="1003"/>
    <n v="8520"/>
  </r>
  <r>
    <x v="32"/>
    <s v="ITA"/>
    <x v="3"/>
    <x v="3"/>
    <n v="3890597598"/>
    <n v="1659440194"/>
    <n v="103"/>
    <n v="22"/>
    <n v="125"/>
    <n v="344"/>
    <n v="469"/>
    <n v="97"/>
    <n v="101"/>
    <n v="7"/>
    <n v="18"/>
    <n v="494"/>
    <n v="6901"/>
  </r>
  <r>
    <x v="32"/>
    <s v="ITA"/>
    <x v="4"/>
    <x v="4"/>
    <n v="4083956555"/>
    <n v="1425084984"/>
    <n v="456"/>
    <n v="113"/>
    <n v="569"/>
    <n v="723"/>
    <n v="1292"/>
    <n v="123"/>
    <n v="144"/>
    <n v="64"/>
    <n v="98"/>
    <n v="1454"/>
    <n v="9613"/>
  </r>
  <r>
    <x v="32"/>
    <s v="ITA"/>
    <x v="5"/>
    <x v="5"/>
    <n v="4449436681"/>
    <n v="113417208"/>
    <n v="3461"/>
    <n v="308"/>
    <n v="3769"/>
    <n v="5592"/>
    <n v="9361"/>
    <n v="511"/>
    <n v="772"/>
    <n v="960"/>
    <n v="1267"/>
    <n v="11588"/>
    <n v="47798"/>
  </r>
  <r>
    <x v="32"/>
    <s v="ITA"/>
    <x v="6"/>
    <x v="6"/>
    <n v="456494354"/>
    <n v="1376813649"/>
    <n v="222"/>
    <n v="57"/>
    <n v="279"/>
    <n v="748"/>
    <n v="1027"/>
    <n v="73"/>
    <n v="94"/>
    <n v="214"/>
    <n v="76"/>
    <n v="1317"/>
    <n v="11841"/>
  </r>
  <r>
    <x v="32"/>
    <s v="ITA"/>
    <x v="7"/>
    <x v="7"/>
    <n v="4189277044"/>
    <n v="1248366722"/>
    <n v="992"/>
    <n v="126"/>
    <n v="1118"/>
    <n v="895"/>
    <n v="2013"/>
    <n v="178"/>
    <n v="199"/>
    <n v="164"/>
    <n v="118"/>
    <n v="2295"/>
    <n v="24106"/>
  </r>
  <r>
    <x v="32"/>
    <s v="ITA"/>
    <x v="8"/>
    <x v="8"/>
    <n v="4441149315"/>
    <n v="89326992"/>
    <n v="1023"/>
    <n v="157"/>
    <n v="1180"/>
    <n v="880"/>
    <n v="2060"/>
    <n v="33"/>
    <n v="129"/>
    <n v="305"/>
    <n v="331"/>
    <n v="2696"/>
    <n v="7804"/>
  </r>
  <r>
    <x v="32"/>
    <s v="ITA"/>
    <x v="9"/>
    <x v="9"/>
    <n v="4546679409"/>
    <n v="9190347404"/>
    <n v="11137"/>
    <n v="1292"/>
    <n v="12429"/>
    <n v="11466"/>
    <n v="23895"/>
    <n v="1706"/>
    <n v="2409"/>
    <n v="8001"/>
    <n v="5402"/>
    <n v="37298"/>
    <n v="95860"/>
  </r>
  <r>
    <x v="32"/>
    <s v="ITA"/>
    <x v="10"/>
    <x v="10"/>
    <n v="4361675973"/>
    <n v="135188753"/>
    <n v="979"/>
    <n v="162"/>
    <n v="1141"/>
    <n v="1709"/>
    <n v="2850"/>
    <n v="55"/>
    <n v="82"/>
    <n v="10"/>
    <n v="336"/>
    <n v="3196"/>
    <n v="9060"/>
  </r>
  <r>
    <x v="32"/>
    <s v="ITA"/>
    <x v="11"/>
    <x v="11"/>
    <n v="4155774754"/>
    <n v="1465916051"/>
    <n v="26"/>
    <n v="9"/>
    <n v="35"/>
    <n v="51"/>
    <n v="86"/>
    <n v="5"/>
    <n v="6"/>
    <n v="14"/>
    <n v="9"/>
    <n v="109"/>
    <n v="710"/>
  </r>
  <r>
    <x v="32"/>
    <s v="ITA"/>
    <x v="12"/>
    <x v="12"/>
    <n v="450732745"/>
    <n v="7680687483"/>
    <n v="2852"/>
    <n v="431"/>
    <n v="3283"/>
    <n v="3064"/>
    <n v="6347"/>
    <n v="397"/>
    <n v="558"/>
    <n v="176"/>
    <n v="569"/>
    <n v="7092"/>
    <n v="19705"/>
  </r>
  <r>
    <x v="32"/>
    <s v="ITA"/>
    <x v="13"/>
    <x v="13"/>
    <n v="4112559576"/>
    <n v="1686736689"/>
    <n v="530"/>
    <n v="82"/>
    <n v="612"/>
    <n v="624"/>
    <n v="1236"/>
    <n v="141"/>
    <n v="152"/>
    <n v="29"/>
    <n v="69"/>
    <n v="1334"/>
    <n v="10233"/>
  </r>
  <r>
    <x v="32"/>
    <s v="ITA"/>
    <x v="14"/>
    <x v="14"/>
    <n v="3921531192"/>
    <n v="9110616306"/>
    <n v="93"/>
    <n v="19"/>
    <n v="112"/>
    <n v="384"/>
    <n v="496"/>
    <n v="34"/>
    <n v="36"/>
    <n v="13"/>
    <n v="21"/>
    <n v="530"/>
    <n v="3801"/>
  </r>
  <r>
    <x v="32"/>
    <s v="ITA"/>
    <x v="15"/>
    <x v="15"/>
    <n v="3811569725"/>
    <n v="133623567"/>
    <n v="425"/>
    <n v="75"/>
    <n v="500"/>
    <n v="658"/>
    <n v="1158"/>
    <n v="63"/>
    <n v="86"/>
    <n v="53"/>
    <n v="39"/>
    <n v="1250"/>
    <n v="11079"/>
  </r>
  <r>
    <x v="32"/>
    <s v="ITA"/>
    <x v="16"/>
    <x v="16"/>
    <n v="4376923077"/>
    <n v="1125588885"/>
    <n v="1053"/>
    <n v="274"/>
    <n v="1327"/>
    <n v="1843"/>
    <n v="3170"/>
    <n v="197"/>
    <n v="224"/>
    <n v="103"/>
    <n v="177"/>
    <n v="3450"/>
    <n v="23746"/>
  </r>
  <r>
    <x v="32"/>
    <s v="ITA"/>
    <x v="2"/>
    <x v="17"/>
    <n v="4606893511"/>
    <n v="1112123097"/>
    <n v="341"/>
    <n v="66"/>
    <n v="407"/>
    <n v="757"/>
    <n v="1164"/>
    <n v="70"/>
    <n v="94"/>
    <n v="125"/>
    <n v="102"/>
    <n v="1391"/>
    <n v="4923"/>
  </r>
  <r>
    <x v="32"/>
    <s v="ITA"/>
    <x v="17"/>
    <x v="18"/>
    <n v="4310675841"/>
    <n v="1238824698"/>
    <n v="149"/>
    <n v="46"/>
    <n v="195"/>
    <n v="629"/>
    <n v="824"/>
    <n v="54"/>
    <n v="82"/>
    <n v="39"/>
    <n v="21"/>
    <n v="884"/>
    <n v="6137"/>
  </r>
  <r>
    <x v="32"/>
    <s v="ITA"/>
    <x v="18"/>
    <x v="19"/>
    <n v="4573750286"/>
    <n v="7320149366"/>
    <n v="91"/>
    <n v="24"/>
    <n v="115"/>
    <n v="298"/>
    <n v="413"/>
    <n v="35"/>
    <n v="44"/>
    <n v="2"/>
    <n v="37"/>
    <n v="452"/>
    <n v="1252"/>
  </r>
  <r>
    <x v="32"/>
    <s v="ITA"/>
    <x v="19"/>
    <x v="20"/>
    <n v="4543490485"/>
    <n v="1233845213"/>
    <n v="1536"/>
    <n v="338"/>
    <n v="1874"/>
    <n v="4774"/>
    <n v="6648"/>
    <n v="508"/>
    <n v="562"/>
    <n v="536"/>
    <n v="313"/>
    <n v="7497"/>
    <n v="83627"/>
  </r>
  <r>
    <x v="33"/>
    <s v="ITA"/>
    <x v="0"/>
    <x v="0"/>
    <n v="4235122196"/>
    <n v="1339843823"/>
    <n v="311"/>
    <n v="70"/>
    <n v="381"/>
    <n v="646"/>
    <n v="1027"/>
    <n v="102"/>
    <n v="116"/>
    <n v="30"/>
    <n v="76"/>
    <n v="1133"/>
    <n v="7003"/>
  </r>
  <r>
    <x v="33"/>
    <s v="ITA"/>
    <x v="1"/>
    <x v="1"/>
    <n v="4063947052"/>
    <n v="1580514834"/>
    <n v="26"/>
    <n v="19"/>
    <n v="45"/>
    <n v="133"/>
    <n v="178"/>
    <n v="31"/>
    <n v="31"/>
    <n v="1"/>
    <n v="3"/>
    <n v="182"/>
    <n v="1421"/>
  </r>
  <r>
    <x v="33"/>
    <s v="ITA"/>
    <x v="2"/>
    <x v="2"/>
    <n v="4649933453"/>
    <n v="1135662422"/>
    <n v="225"/>
    <n v="51"/>
    <n v="276"/>
    <n v="653"/>
    <n v="929"/>
    <n v="96"/>
    <n v="106"/>
    <n v="116"/>
    <n v="64"/>
    <n v="1109"/>
    <n v="9168"/>
  </r>
  <r>
    <x v="33"/>
    <s v="ITA"/>
    <x v="3"/>
    <x v="3"/>
    <n v="3890597598"/>
    <n v="1659440194"/>
    <n v="107"/>
    <n v="22"/>
    <n v="129"/>
    <n v="394"/>
    <n v="523"/>
    <n v="54"/>
    <n v="61"/>
    <n v="11"/>
    <n v="21"/>
    <n v="555"/>
    <n v="7760"/>
  </r>
  <r>
    <x v="33"/>
    <s v="ITA"/>
    <x v="4"/>
    <x v="4"/>
    <n v="4083956555"/>
    <n v="1425084984"/>
    <n v="463"/>
    <n v="132"/>
    <n v="595"/>
    <n v="812"/>
    <n v="1407"/>
    <n v="115"/>
    <n v="138"/>
    <n v="76"/>
    <n v="109"/>
    <n v="1592"/>
    <n v="10616"/>
  </r>
  <r>
    <x v="33"/>
    <s v="ITA"/>
    <x v="5"/>
    <x v="5"/>
    <n v="4449436681"/>
    <n v="113417208"/>
    <n v="3695"/>
    <n v="316"/>
    <n v="4011"/>
    <n v="5953"/>
    <n v="9964"/>
    <n v="603"/>
    <n v="795"/>
    <n v="1075"/>
    <n v="1344"/>
    <n v="12383"/>
    <n v="52991"/>
  </r>
  <r>
    <x v="33"/>
    <s v="ITA"/>
    <x v="6"/>
    <x v="6"/>
    <n v="456494354"/>
    <n v="1376813649"/>
    <n v="223"/>
    <n v="59"/>
    <n v="282"/>
    <n v="838"/>
    <n v="1120"/>
    <n v="93"/>
    <n v="119"/>
    <n v="229"/>
    <n v="87"/>
    <n v="1436"/>
    <n v="12723"/>
  </r>
  <r>
    <x v="33"/>
    <s v="ITA"/>
    <x v="7"/>
    <x v="7"/>
    <n v="4189277044"/>
    <n v="1248366722"/>
    <n v="985"/>
    <n v="133"/>
    <n v="1118"/>
    <n v="1063"/>
    <n v="2181"/>
    <n v="168"/>
    <n v="210"/>
    <n v="200"/>
    <n v="124"/>
    <n v="2505"/>
    <n v="27179"/>
  </r>
  <r>
    <x v="33"/>
    <s v="ITA"/>
    <x v="8"/>
    <x v="8"/>
    <n v="4441149315"/>
    <n v="89326992"/>
    <n v="1031"/>
    <n v="167"/>
    <n v="1198"/>
    <n v="888"/>
    <n v="2086"/>
    <n v="26"/>
    <n v="126"/>
    <n v="378"/>
    <n v="358"/>
    <n v="2822"/>
    <n v="8177"/>
  </r>
  <r>
    <x v="33"/>
    <s v="ITA"/>
    <x v="9"/>
    <x v="9"/>
    <n v="4546679409"/>
    <n v="9190347404"/>
    <n v="11152"/>
    <n v="1319"/>
    <n v="12471"/>
    <n v="12038"/>
    <n v="24509"/>
    <n v="614"/>
    <n v="2117"/>
    <n v="8962"/>
    <n v="5944"/>
    <n v="39415"/>
    <n v="102503"/>
  </r>
  <r>
    <x v="33"/>
    <s v="ITA"/>
    <x v="10"/>
    <x v="10"/>
    <n v="4361675973"/>
    <n v="135188753"/>
    <n v="987"/>
    <n v="166"/>
    <n v="1153"/>
    <n v="1846"/>
    <n v="2999"/>
    <n v="149"/>
    <n v="177"/>
    <n v="10"/>
    <n v="364"/>
    <n v="3373"/>
    <n v="9884"/>
  </r>
  <r>
    <x v="33"/>
    <s v="ITA"/>
    <x v="11"/>
    <x v="11"/>
    <n v="4155774754"/>
    <n v="1465916051"/>
    <n v="26"/>
    <n v="9"/>
    <n v="35"/>
    <n v="63"/>
    <n v="98"/>
    <n v="12"/>
    <n v="14"/>
    <n v="16"/>
    <n v="9"/>
    <n v="123"/>
    <n v="807"/>
  </r>
  <r>
    <x v="33"/>
    <s v="ITA"/>
    <x v="12"/>
    <x v="12"/>
    <n v="450732745"/>
    <n v="7680687483"/>
    <n v="3094"/>
    <n v="439"/>
    <n v="3533"/>
    <n v="3318"/>
    <n v="6851"/>
    <n v="504"/>
    <n v="579"/>
    <n v="203"/>
    <n v="617"/>
    <n v="7671"/>
    <n v="21511"/>
  </r>
  <r>
    <x v="33"/>
    <s v="ITA"/>
    <x v="13"/>
    <x v="13"/>
    <n v="4112559576"/>
    <n v="1686736689"/>
    <n v="563"/>
    <n v="98"/>
    <n v="661"/>
    <n v="697"/>
    <n v="1358"/>
    <n v="122"/>
    <n v="124"/>
    <n v="29"/>
    <n v="71"/>
    <n v="1458"/>
    <n v="11500"/>
  </r>
  <r>
    <x v="33"/>
    <s v="ITA"/>
    <x v="14"/>
    <x v="14"/>
    <n v="3921531192"/>
    <n v="9110616306"/>
    <n v="95"/>
    <n v="22"/>
    <n v="117"/>
    <n v="452"/>
    <n v="569"/>
    <n v="73"/>
    <n v="94"/>
    <n v="29"/>
    <n v="26"/>
    <n v="624"/>
    <n v="4225"/>
  </r>
  <r>
    <x v="33"/>
    <s v="ITA"/>
    <x v="15"/>
    <x v="15"/>
    <n v="3811569725"/>
    <n v="133623567"/>
    <n v="441"/>
    <n v="71"/>
    <n v="512"/>
    <n v="730"/>
    <n v="1242"/>
    <n v="84"/>
    <n v="109"/>
    <n v="60"/>
    <n v="57"/>
    <n v="1359"/>
    <n v="13096"/>
  </r>
  <r>
    <x v="33"/>
    <s v="ITA"/>
    <x v="16"/>
    <x v="16"/>
    <n v="4376923077"/>
    <n v="1125588885"/>
    <n v="1093"/>
    <n v="277"/>
    <n v="1370"/>
    <n v="2141"/>
    <n v="3511"/>
    <n v="341"/>
    <n v="367"/>
    <n v="108"/>
    <n v="198"/>
    <n v="3817"/>
    <n v="25613"/>
  </r>
  <r>
    <x v="33"/>
    <s v="ITA"/>
    <x v="2"/>
    <x v="17"/>
    <n v="4606893511"/>
    <n v="1112123097"/>
    <n v="351"/>
    <n v="72"/>
    <n v="423"/>
    <n v="811"/>
    <n v="1234"/>
    <n v="70"/>
    <n v="114"/>
    <n v="151"/>
    <n v="120"/>
    <n v="1505"/>
    <n v="5561"/>
  </r>
  <r>
    <x v="33"/>
    <s v="ITA"/>
    <x v="17"/>
    <x v="18"/>
    <n v="4310675841"/>
    <n v="1238824698"/>
    <n v="159"/>
    <n v="44"/>
    <n v="203"/>
    <n v="695"/>
    <n v="898"/>
    <n v="74"/>
    <n v="85"/>
    <n v="43"/>
    <n v="28"/>
    <n v="969"/>
    <n v="7028"/>
  </r>
  <r>
    <x v="33"/>
    <s v="ITA"/>
    <x v="18"/>
    <x v="19"/>
    <n v="4573750286"/>
    <n v="7320149366"/>
    <n v="90"/>
    <n v="26"/>
    <n v="116"/>
    <n v="352"/>
    <n v="468"/>
    <n v="55"/>
    <n v="59"/>
    <n v="2"/>
    <n v="41"/>
    <n v="511"/>
    <n v="1380"/>
  </r>
  <r>
    <x v="33"/>
    <s v="ITA"/>
    <x v="19"/>
    <x v="20"/>
    <n v="4543490485"/>
    <n v="1233845213"/>
    <n v="1559"/>
    <n v="344"/>
    <n v="1903"/>
    <n v="5010"/>
    <n v="6913"/>
    <n v="265"/>
    <n v="433"/>
    <n v="655"/>
    <n v="362"/>
    <n v="7930"/>
    <n v="89380"/>
  </r>
  <r>
    <x v="34"/>
    <s v="ITA"/>
    <x v="0"/>
    <x v="0"/>
    <n v="4235122196"/>
    <n v="1339843823"/>
    <n v="329"/>
    <n v="68"/>
    <n v="397"/>
    <n v="772"/>
    <n v="1169"/>
    <n v="142"/>
    <n v="160"/>
    <n v="36"/>
    <n v="88"/>
    <n v="1293"/>
    <n v="7730"/>
  </r>
  <r>
    <x v="34"/>
    <s v="ITA"/>
    <x v="1"/>
    <x v="1"/>
    <n v="4063947052"/>
    <n v="1580514834"/>
    <n v="32"/>
    <n v="18"/>
    <n v="50"/>
    <n v="147"/>
    <n v="197"/>
    <n v="19"/>
    <n v="20"/>
    <n v="1"/>
    <n v="4"/>
    <n v="202"/>
    <n v="1585"/>
  </r>
  <r>
    <x v="34"/>
    <s v="ITA"/>
    <x v="2"/>
    <x v="2"/>
    <n v="4649933453"/>
    <n v="1135662422"/>
    <n v="234"/>
    <n v="56"/>
    <n v="290"/>
    <n v="744"/>
    <n v="1034"/>
    <n v="105"/>
    <n v="105"/>
    <n v="116"/>
    <n v="64"/>
    <n v="1214"/>
    <n v="10137"/>
  </r>
  <r>
    <x v="34"/>
    <s v="ITA"/>
    <x v="3"/>
    <x v="3"/>
    <n v="3890597598"/>
    <n v="1659440194"/>
    <n v="124"/>
    <n v="19"/>
    <n v="143"/>
    <n v="434"/>
    <n v="577"/>
    <n v="54"/>
    <n v="59"/>
    <n v="12"/>
    <n v="25"/>
    <n v="614"/>
    <n v="8485"/>
  </r>
  <r>
    <x v="34"/>
    <s v="ITA"/>
    <x v="4"/>
    <x v="4"/>
    <n v="4083956555"/>
    <n v="1425084984"/>
    <n v="476"/>
    <n v="135"/>
    <n v="611"/>
    <n v="945"/>
    <n v="1556"/>
    <n v="149"/>
    <n v="167"/>
    <n v="86"/>
    <n v="117"/>
    <n v="1759"/>
    <n v="11805"/>
  </r>
  <r>
    <x v="34"/>
    <s v="ITA"/>
    <x v="5"/>
    <x v="5"/>
    <n v="4449436681"/>
    <n v="113417208"/>
    <n v="3769"/>
    <n v="333"/>
    <n v="4102"/>
    <n v="6433"/>
    <n v="10535"/>
    <n v="571"/>
    <n v="736"/>
    <n v="1141"/>
    <n v="1443"/>
    <n v="13119"/>
    <n v="52991"/>
  </r>
  <r>
    <x v="34"/>
    <s v="ITA"/>
    <x v="6"/>
    <x v="6"/>
    <n v="456494354"/>
    <n v="1376813649"/>
    <n v="236"/>
    <n v="60"/>
    <n v="296"/>
    <n v="845"/>
    <n v="1141"/>
    <n v="21"/>
    <n v="44"/>
    <n v="241"/>
    <n v="98"/>
    <n v="1480"/>
    <n v="13397"/>
  </r>
  <r>
    <x v="34"/>
    <s v="ITA"/>
    <x v="7"/>
    <x v="7"/>
    <n v="4189277044"/>
    <n v="1248366722"/>
    <n v="1062"/>
    <n v="133"/>
    <n v="1195"/>
    <n v="1167"/>
    <n v="2362"/>
    <n v="181"/>
    <n v="201"/>
    <n v="208"/>
    <n v="136"/>
    <n v="2706"/>
    <n v="27744"/>
  </r>
  <r>
    <x v="34"/>
    <s v="ITA"/>
    <x v="8"/>
    <x v="8"/>
    <n v="4441149315"/>
    <n v="89326992"/>
    <n v="1077"/>
    <n v="166"/>
    <n v="1243"/>
    <n v="1036"/>
    <n v="2279"/>
    <n v="193"/>
    <n v="254"/>
    <n v="420"/>
    <n v="377"/>
    <n v="3076"/>
    <n v="9100"/>
  </r>
  <r>
    <x v="34"/>
    <s v="ITA"/>
    <x v="9"/>
    <x v="9"/>
    <n v="4546679409"/>
    <n v="9190347404"/>
    <n v="11613"/>
    <n v="1328"/>
    <n v="12941"/>
    <n v="12451"/>
    <n v="25392"/>
    <n v="883"/>
    <n v="1592"/>
    <n v="9255"/>
    <n v="6360"/>
    <n v="41007"/>
    <n v="107398"/>
  </r>
  <r>
    <x v="34"/>
    <s v="ITA"/>
    <x v="10"/>
    <x v="10"/>
    <n v="4361675973"/>
    <n v="135188753"/>
    <n v="1000"/>
    <n v="168"/>
    <n v="1168"/>
    <n v="1992"/>
    <n v="3160"/>
    <n v="161"/>
    <n v="185"/>
    <n v="12"/>
    <n v="386"/>
    <n v="3558"/>
    <n v="10431"/>
  </r>
  <r>
    <x v="34"/>
    <s v="ITA"/>
    <x v="11"/>
    <x v="11"/>
    <n v="4155774754"/>
    <n v="1465916051"/>
    <n v="25"/>
    <n v="9"/>
    <n v="34"/>
    <n v="66"/>
    <n v="100"/>
    <n v="2"/>
    <n v="4"/>
    <n v="18"/>
    <n v="9"/>
    <n v="127"/>
    <n v="918"/>
  </r>
  <r>
    <x v="34"/>
    <s v="ITA"/>
    <x v="12"/>
    <x v="12"/>
    <n v="450732745"/>
    <n v="7680687483"/>
    <n v="2985"/>
    <n v="443"/>
    <n v="3428"/>
    <n v="3840"/>
    <n v="7268"/>
    <n v="417"/>
    <n v="535"/>
    <n v="254"/>
    <n v="684"/>
    <n v="8206"/>
    <n v="24058"/>
  </r>
  <r>
    <x v="34"/>
    <s v="ITA"/>
    <x v="13"/>
    <x v="13"/>
    <n v="4112559576"/>
    <n v="1686736689"/>
    <n v="559"/>
    <n v="99"/>
    <n v="658"/>
    <n v="774"/>
    <n v="1432"/>
    <n v="74"/>
    <n v="91"/>
    <n v="31"/>
    <n v="86"/>
    <n v="1549"/>
    <n v="12361"/>
  </r>
  <r>
    <x v="34"/>
    <s v="ITA"/>
    <x v="14"/>
    <x v="14"/>
    <n v="3921531192"/>
    <n v="9110616306"/>
    <n v="105"/>
    <n v="23"/>
    <n v="128"/>
    <n v="454"/>
    <n v="582"/>
    <n v="13"/>
    <n v="14"/>
    <n v="29"/>
    <n v="27"/>
    <n v="638"/>
    <n v="4598"/>
  </r>
  <r>
    <x v="34"/>
    <s v="ITA"/>
    <x v="15"/>
    <x v="15"/>
    <n v="3811569725"/>
    <n v="133623567"/>
    <n v="451"/>
    <n v="71"/>
    <n v="522"/>
    <n v="808"/>
    <n v="1330"/>
    <n v="88"/>
    <n v="101"/>
    <n v="65"/>
    <n v="65"/>
    <n v="1460"/>
    <n v="13814"/>
  </r>
  <r>
    <x v="34"/>
    <s v="ITA"/>
    <x v="16"/>
    <x v="16"/>
    <n v="4376923077"/>
    <n v="1125588885"/>
    <n v="1111"/>
    <n v="275"/>
    <n v="1386"/>
    <n v="2400"/>
    <n v="3786"/>
    <n v="275"/>
    <n v="305"/>
    <n v="121"/>
    <n v="215"/>
    <n v="4122"/>
    <n v="27579"/>
  </r>
  <r>
    <x v="34"/>
    <s v="ITA"/>
    <x v="2"/>
    <x v="17"/>
    <n v="4606893511"/>
    <n v="1112123097"/>
    <n v="356"/>
    <n v="75"/>
    <n v="431"/>
    <n v="862"/>
    <n v="1293"/>
    <n v="59"/>
    <n v="89"/>
    <n v="172"/>
    <n v="129"/>
    <n v="1594"/>
    <n v="5950"/>
  </r>
  <r>
    <x v="34"/>
    <s v="ITA"/>
    <x v="17"/>
    <x v="18"/>
    <n v="4310675841"/>
    <n v="1238824698"/>
    <n v="166"/>
    <n v="46"/>
    <n v="212"/>
    <n v="685"/>
    <n v="897"/>
    <n v="-1"/>
    <n v="54"/>
    <n v="95"/>
    <n v="31"/>
    <n v="1023"/>
    <n v="7685"/>
  </r>
  <r>
    <x v="34"/>
    <s v="ITA"/>
    <x v="18"/>
    <x v="19"/>
    <n v="4573750286"/>
    <n v="7320149366"/>
    <n v="90"/>
    <n v="26"/>
    <n v="116"/>
    <n v="423"/>
    <n v="539"/>
    <n v="71"/>
    <n v="73"/>
    <n v="2"/>
    <n v="43"/>
    <n v="584"/>
    <n v="1480"/>
  </r>
  <r>
    <x v="34"/>
    <s v="ITA"/>
    <x v="19"/>
    <x v="20"/>
    <n v="4543490485"/>
    <n v="1233845213"/>
    <n v="1586"/>
    <n v="355"/>
    <n v="1941"/>
    <n v="5310"/>
    <n v="7251"/>
    <n v="338"/>
    <n v="428"/>
    <n v="715"/>
    <n v="392"/>
    <n v="8358"/>
    <n v="94784"/>
  </r>
  <r>
    <x v="35"/>
    <s v="ITA"/>
    <x v="0"/>
    <x v="0"/>
    <n v="4235122196"/>
    <n v="1339843823"/>
    <n v="322"/>
    <n v="69"/>
    <n v="391"/>
    <n v="778"/>
    <n v="1169"/>
    <n v="0"/>
    <n v="52"/>
    <n v="74"/>
    <n v="102"/>
    <n v="1345"/>
    <n v="7948"/>
  </r>
  <r>
    <x v="35"/>
    <s v="ITA"/>
    <x v="1"/>
    <x v="1"/>
    <n v="4063947052"/>
    <n v="1580514834"/>
    <n v="36"/>
    <n v="18"/>
    <n v="54"/>
    <n v="154"/>
    <n v="208"/>
    <n v="11"/>
    <n v="12"/>
    <n v="1"/>
    <n v="5"/>
    <n v="214"/>
    <n v="1833"/>
  </r>
  <r>
    <x v="35"/>
    <s v="ITA"/>
    <x v="2"/>
    <x v="2"/>
    <n v="4649933453"/>
    <n v="1135662422"/>
    <n v="231"/>
    <n v="62"/>
    <n v="293"/>
    <n v="805"/>
    <n v="1098"/>
    <n v="64"/>
    <n v="111"/>
    <n v="153"/>
    <n v="74"/>
    <n v="1325"/>
    <n v="10640"/>
  </r>
  <r>
    <x v="35"/>
    <s v="ITA"/>
    <x v="3"/>
    <x v="3"/>
    <n v="3890597598"/>
    <n v="1659440194"/>
    <n v="130"/>
    <n v="18"/>
    <n v="148"/>
    <n v="454"/>
    <n v="602"/>
    <n v="25"/>
    <n v="33"/>
    <n v="14"/>
    <n v="31"/>
    <n v="647"/>
    <n v="9013"/>
  </r>
  <r>
    <x v="35"/>
    <s v="ITA"/>
    <x v="4"/>
    <x v="4"/>
    <n v="4083956555"/>
    <n v="1425084984"/>
    <n v="468"/>
    <n v="126"/>
    <n v="594"/>
    <n v="1145"/>
    <n v="1739"/>
    <n v="183"/>
    <n v="193"/>
    <n v="88"/>
    <n v="125"/>
    <n v="1952"/>
    <n v="12969"/>
  </r>
  <r>
    <x v="35"/>
    <s v="ITA"/>
    <x v="5"/>
    <x v="5"/>
    <n v="4449436681"/>
    <n v="113417208"/>
    <n v="3779"/>
    <n v="351"/>
    <n v="4130"/>
    <n v="6636"/>
    <n v="10766"/>
    <n v="231"/>
    <n v="412"/>
    <n v="1227"/>
    <n v="1538"/>
    <n v="13531"/>
    <n v="50990"/>
  </r>
  <r>
    <x v="35"/>
    <s v="ITA"/>
    <x v="6"/>
    <x v="6"/>
    <n v="456494354"/>
    <n v="1376813649"/>
    <n v="229"/>
    <n v="60"/>
    <n v="289"/>
    <n v="820"/>
    <n v="1109"/>
    <n v="-32"/>
    <n v="21"/>
    <n v="285"/>
    <n v="107"/>
    <n v="1501"/>
    <n v="14003"/>
  </r>
  <r>
    <x v="35"/>
    <s v="ITA"/>
    <x v="7"/>
    <x v="7"/>
    <n v="4189277044"/>
    <n v="1248366722"/>
    <n v="1079"/>
    <n v="154"/>
    <n v="1233"/>
    <n v="1264"/>
    <n v="2497"/>
    <n v="135"/>
    <n v="208"/>
    <n v="267"/>
    <n v="150"/>
    <n v="2914"/>
    <n v="32846"/>
  </r>
  <r>
    <x v="35"/>
    <s v="ITA"/>
    <x v="8"/>
    <x v="8"/>
    <n v="4441149315"/>
    <n v="89326992"/>
    <n v="1142"/>
    <n v="175"/>
    <n v="1317"/>
    <n v="1066"/>
    <n v="2383"/>
    <n v="104"/>
    <n v="141"/>
    <n v="437"/>
    <n v="397"/>
    <n v="3217"/>
    <n v="9677"/>
  </r>
  <r>
    <x v="35"/>
    <s v="ITA"/>
    <x v="9"/>
    <x v="9"/>
    <n v="4546679409"/>
    <n v="9190347404"/>
    <n v="11815"/>
    <n v="1330"/>
    <n v="13145"/>
    <n v="11861"/>
    <n v="25006"/>
    <n v="-386"/>
    <n v="1154"/>
    <n v="10337"/>
    <n v="6818"/>
    <n v="42161"/>
    <n v="111057"/>
  </r>
  <r>
    <x v="35"/>
    <s v="ITA"/>
    <x v="10"/>
    <x v="10"/>
    <n v="4361675973"/>
    <n v="135188753"/>
    <n v="998"/>
    <n v="167"/>
    <n v="1165"/>
    <n v="2086"/>
    <n v="3251"/>
    <n v="91"/>
    <n v="126"/>
    <n v="16"/>
    <n v="417"/>
    <n v="3684"/>
    <n v="10979"/>
  </r>
  <r>
    <x v="35"/>
    <s v="ITA"/>
    <x v="11"/>
    <x v="11"/>
    <n v="4155774754"/>
    <n v="1465916051"/>
    <n v="27"/>
    <n v="8"/>
    <n v="35"/>
    <n v="72"/>
    <n v="107"/>
    <n v="7"/>
    <n v="7"/>
    <n v="18"/>
    <n v="9"/>
    <n v="134"/>
    <n v="955"/>
  </r>
  <r>
    <x v="35"/>
    <s v="ITA"/>
    <x v="12"/>
    <x v="12"/>
    <n v="450732745"/>
    <n v="7680687483"/>
    <n v="2985"/>
    <n v="452"/>
    <n v="3437"/>
    <n v="4218"/>
    <n v="7655"/>
    <n v="387"/>
    <n v="506"/>
    <n v="308"/>
    <n v="749"/>
    <n v="8712"/>
    <n v="25478"/>
  </r>
  <r>
    <x v="35"/>
    <s v="ITA"/>
    <x v="13"/>
    <x v="13"/>
    <n v="4112559576"/>
    <n v="1686736689"/>
    <n v="590"/>
    <n v="106"/>
    <n v="696"/>
    <n v="889"/>
    <n v="1585"/>
    <n v="153"/>
    <n v="163"/>
    <n v="36"/>
    <n v="91"/>
    <n v="1712"/>
    <n v="13117"/>
  </r>
  <r>
    <x v="35"/>
    <s v="ITA"/>
    <x v="14"/>
    <x v="14"/>
    <n v="3921531192"/>
    <n v="9110616306"/>
    <n v="113"/>
    <n v="24"/>
    <n v="137"/>
    <n v="485"/>
    <n v="622"/>
    <n v="40"/>
    <n v="44"/>
    <n v="32"/>
    <n v="28"/>
    <n v="682"/>
    <n v="4993"/>
  </r>
  <r>
    <x v="35"/>
    <s v="ITA"/>
    <x v="15"/>
    <x v="15"/>
    <n v="3811569725"/>
    <n v="133623567"/>
    <n v="484"/>
    <n v="75"/>
    <n v="559"/>
    <n v="849"/>
    <n v="1408"/>
    <n v="78"/>
    <n v="95"/>
    <n v="71"/>
    <n v="76"/>
    <n v="1555"/>
    <n v="14758"/>
  </r>
  <r>
    <x v="35"/>
    <s v="ITA"/>
    <x v="16"/>
    <x v="16"/>
    <n v="4376923077"/>
    <n v="1125588885"/>
    <n v="1116"/>
    <n v="279"/>
    <n v="1395"/>
    <n v="2655"/>
    <n v="4050"/>
    <n v="264"/>
    <n v="290"/>
    <n v="131"/>
    <n v="231"/>
    <n v="4412"/>
    <n v="30099"/>
  </r>
  <r>
    <x v="35"/>
    <s v="ITA"/>
    <x v="2"/>
    <x v="17"/>
    <n v="4606893511"/>
    <n v="1112123097"/>
    <n v="353"/>
    <n v="78"/>
    <n v="431"/>
    <n v="926"/>
    <n v="1357"/>
    <n v="64"/>
    <n v="88"/>
    <n v="178"/>
    <n v="147"/>
    <n v="1682"/>
    <n v="6377"/>
  </r>
  <r>
    <x v="35"/>
    <s v="ITA"/>
    <x v="17"/>
    <x v="18"/>
    <n v="4310675841"/>
    <n v="1238824698"/>
    <n v="173"/>
    <n v="47"/>
    <n v="220"/>
    <n v="614"/>
    <n v="834"/>
    <n v="-63"/>
    <n v="28"/>
    <n v="184"/>
    <n v="33"/>
    <n v="1051"/>
    <n v="8150"/>
  </r>
  <r>
    <x v="35"/>
    <s v="ITA"/>
    <x v="18"/>
    <x v="19"/>
    <n v="4573750286"/>
    <n v="7320149366"/>
    <n v="92"/>
    <n v="26"/>
    <n v="118"/>
    <n v="400"/>
    <n v="518"/>
    <n v="-21"/>
    <n v="0"/>
    <n v="16"/>
    <n v="50"/>
    <n v="584"/>
    <n v="1536"/>
  </r>
  <r>
    <x v="35"/>
    <s v="ITA"/>
    <x v="19"/>
    <x v="20"/>
    <n v="4543490485"/>
    <n v="1233845213"/>
    <n v="1633"/>
    <n v="356"/>
    <n v="1989"/>
    <n v="5575"/>
    <n v="7564"/>
    <n v="313"/>
    <n v="366"/>
    <n v="747"/>
    <n v="413"/>
    <n v="8724"/>
    <n v="99941"/>
  </r>
  <r>
    <x v="36"/>
    <s v="ITA"/>
    <x v="0"/>
    <x v="0"/>
    <n v="4235122196"/>
    <n v="1339843823"/>
    <n v="335"/>
    <n v="73"/>
    <n v="408"/>
    <n v="783"/>
    <n v="1191"/>
    <n v="22"/>
    <n v="56"/>
    <n v="95"/>
    <n v="115"/>
    <n v="1401"/>
    <n v="8758"/>
  </r>
  <r>
    <x v="36"/>
    <s v="ITA"/>
    <x v="1"/>
    <x v="1"/>
    <n v="4063947052"/>
    <n v="1580514834"/>
    <n v="37"/>
    <n v="17"/>
    <n v="54"/>
    <n v="162"/>
    <n v="216"/>
    <n v="8"/>
    <n v="12"/>
    <n v="3"/>
    <n v="7"/>
    <n v="226"/>
    <n v="2043"/>
  </r>
  <r>
    <x v="36"/>
    <s v="ITA"/>
    <x v="2"/>
    <x v="2"/>
    <n v="4649933453"/>
    <n v="1135662422"/>
    <n v="249"/>
    <n v="62"/>
    <n v="311"/>
    <n v="831"/>
    <n v="1142"/>
    <n v="44"/>
    <n v="46"/>
    <n v="153"/>
    <n v="76"/>
    <n v="1371"/>
    <n v="11275"/>
  </r>
  <r>
    <x v="36"/>
    <s v="ITA"/>
    <x v="3"/>
    <x v="3"/>
    <n v="3890597598"/>
    <n v="1659440194"/>
    <n v="132"/>
    <n v="17"/>
    <n v="149"/>
    <n v="457"/>
    <n v="606"/>
    <n v="4"/>
    <n v="12"/>
    <n v="17"/>
    <n v="36"/>
    <n v="659"/>
    <n v="9327"/>
  </r>
  <r>
    <x v="36"/>
    <s v="ITA"/>
    <x v="4"/>
    <x v="4"/>
    <n v="4083956555"/>
    <n v="1425084984"/>
    <n v="501"/>
    <n v="133"/>
    <n v="634"/>
    <n v="1237"/>
    <n v="1871"/>
    <n v="132"/>
    <n v="140"/>
    <n v="88"/>
    <n v="133"/>
    <n v="2092"/>
    <n v="14403"/>
  </r>
  <r>
    <x v="36"/>
    <s v="ITA"/>
    <x v="5"/>
    <x v="5"/>
    <n v="4449436681"/>
    <n v="113417208"/>
    <n v="3765"/>
    <n v="353"/>
    <n v="4118"/>
    <n v="6835"/>
    <n v="10953"/>
    <n v="187"/>
    <n v="543"/>
    <n v="1477"/>
    <n v="1644"/>
    <n v="14074"/>
    <n v="54532"/>
  </r>
  <r>
    <x v="36"/>
    <s v="ITA"/>
    <x v="6"/>
    <x v="6"/>
    <n v="456494354"/>
    <n v="1376813649"/>
    <n v="215"/>
    <n v="60"/>
    <n v="275"/>
    <n v="885"/>
    <n v="1160"/>
    <n v="51"/>
    <n v="92"/>
    <n v="320"/>
    <n v="113"/>
    <n v="1593"/>
    <n v="14899"/>
  </r>
  <r>
    <x v="36"/>
    <s v="ITA"/>
    <x v="7"/>
    <x v="7"/>
    <n v="4189277044"/>
    <n v="1248366722"/>
    <n v="1127"/>
    <n v="173"/>
    <n v="1300"/>
    <n v="1342"/>
    <n v="2642"/>
    <n v="145"/>
    <n v="181"/>
    <n v="291"/>
    <n v="162"/>
    <n v="3095"/>
    <n v="34677"/>
  </r>
  <r>
    <x v="36"/>
    <s v="ITA"/>
    <x v="8"/>
    <x v="8"/>
    <n v="4441149315"/>
    <n v="89326992"/>
    <n v="1153"/>
    <n v="179"/>
    <n v="1332"/>
    <n v="1176"/>
    <n v="2508"/>
    <n v="125"/>
    <n v="199"/>
    <n v="480"/>
    <n v="428"/>
    <n v="3416"/>
    <n v="10376"/>
  </r>
  <r>
    <x v="36"/>
    <s v="ITA"/>
    <x v="9"/>
    <x v="9"/>
    <n v="4546679409"/>
    <n v="9190347404"/>
    <n v="11883"/>
    <n v="1324"/>
    <n v="13207"/>
    <n v="11917"/>
    <n v="25124"/>
    <n v="118"/>
    <n v="1047"/>
    <n v="10885"/>
    <n v="7199"/>
    <n v="43208"/>
    <n v="114640"/>
  </r>
  <r>
    <x v="36"/>
    <s v="ITA"/>
    <x v="10"/>
    <x v="10"/>
    <n v="4361675973"/>
    <n v="135188753"/>
    <n v="946"/>
    <n v="169"/>
    <n v="1115"/>
    <n v="2237"/>
    <n v="3352"/>
    <n v="101"/>
    <n v="141"/>
    <n v="21"/>
    <n v="452"/>
    <n v="3825"/>
    <n v="11724"/>
  </r>
  <r>
    <x v="36"/>
    <s v="ITA"/>
    <x v="11"/>
    <x v="11"/>
    <n v="4155774754"/>
    <n v="1465916051"/>
    <n v="29"/>
    <n v="8"/>
    <n v="37"/>
    <n v="80"/>
    <n v="117"/>
    <n v="10"/>
    <n v="10"/>
    <n v="18"/>
    <n v="9"/>
    <n v="144"/>
    <n v="1049"/>
  </r>
  <r>
    <x v="36"/>
    <s v="ITA"/>
    <x v="12"/>
    <x v="12"/>
    <n v="450732745"/>
    <n v="7680687483"/>
    <n v="3174"/>
    <n v="452"/>
    <n v="3626"/>
    <n v="4456"/>
    <n v="8082"/>
    <n v="427"/>
    <n v="589"/>
    <n v="365"/>
    <n v="854"/>
    <n v="9301"/>
    <n v="27658"/>
  </r>
  <r>
    <x v="36"/>
    <s v="ITA"/>
    <x v="13"/>
    <x v="13"/>
    <n v="4112559576"/>
    <n v="1686736689"/>
    <n v="609"/>
    <n v="105"/>
    <n v="714"/>
    <n v="940"/>
    <n v="1654"/>
    <n v="69"/>
    <n v="91"/>
    <n v="39"/>
    <n v="110"/>
    <n v="1803"/>
    <n v="14073"/>
  </r>
  <r>
    <x v="36"/>
    <s v="ITA"/>
    <x v="14"/>
    <x v="14"/>
    <n v="3921531192"/>
    <n v="9110616306"/>
    <n v="113"/>
    <n v="28"/>
    <n v="141"/>
    <n v="516"/>
    <n v="657"/>
    <n v="35"/>
    <n v="40"/>
    <n v="34"/>
    <n v="31"/>
    <n v="722"/>
    <n v="5257"/>
  </r>
  <r>
    <x v="36"/>
    <s v="ITA"/>
    <x v="15"/>
    <x v="15"/>
    <n v="3811569725"/>
    <n v="133623567"/>
    <n v="503"/>
    <n v="72"/>
    <n v="575"/>
    <n v="917"/>
    <n v="1492"/>
    <n v="84"/>
    <n v="92"/>
    <n v="74"/>
    <n v="81"/>
    <n v="1647"/>
    <n v="15634"/>
  </r>
  <r>
    <x v="36"/>
    <s v="ITA"/>
    <x v="16"/>
    <x v="16"/>
    <n v="4376923077"/>
    <n v="1125588885"/>
    <n v="1120"/>
    <n v="293"/>
    <n v="1413"/>
    <n v="2813"/>
    <n v="4226"/>
    <n v="176"/>
    <n v="196"/>
    <n v="138"/>
    <n v="244"/>
    <n v="4608"/>
    <n v="33165"/>
  </r>
  <r>
    <x v="36"/>
    <s v="ITA"/>
    <x v="2"/>
    <x v="17"/>
    <n v="4606893511"/>
    <n v="1112123097"/>
    <n v="354"/>
    <n v="80"/>
    <n v="434"/>
    <n v="955"/>
    <n v="1389"/>
    <n v="32"/>
    <n v="64"/>
    <n v="193"/>
    <n v="164"/>
    <n v="1746"/>
    <n v="6973"/>
  </r>
  <r>
    <x v="36"/>
    <s v="ITA"/>
    <x v="17"/>
    <x v="18"/>
    <n v="4310675841"/>
    <n v="1238824698"/>
    <n v="176"/>
    <n v="43"/>
    <n v="219"/>
    <n v="632"/>
    <n v="851"/>
    <n v="17"/>
    <n v="27"/>
    <n v="190"/>
    <n v="37"/>
    <n v="1078"/>
    <n v="8685"/>
  </r>
  <r>
    <x v="36"/>
    <s v="ITA"/>
    <x v="18"/>
    <x v="19"/>
    <n v="4573750286"/>
    <n v="7320149366"/>
    <n v="91"/>
    <n v="26"/>
    <n v="117"/>
    <n v="435"/>
    <n v="552"/>
    <n v="34"/>
    <n v="44"/>
    <n v="20"/>
    <n v="56"/>
    <n v="628"/>
    <n v="1582"/>
  </r>
  <r>
    <x v="36"/>
    <s v="ITA"/>
    <x v="19"/>
    <x v="20"/>
    <n v="4543490485"/>
    <n v="1233845213"/>
    <n v="1680"/>
    <n v="356"/>
    <n v="2036"/>
    <n v="5814"/>
    <n v="7850"/>
    <n v="286"/>
    <n v="431"/>
    <n v="828"/>
    <n v="477"/>
    <n v="9155"/>
    <n v="106238"/>
  </r>
  <r>
    <x v="37"/>
    <s v="ITA"/>
    <x v="0"/>
    <x v="0"/>
    <n v="4235122196"/>
    <n v="1339843823"/>
    <n v="342"/>
    <n v="71"/>
    <n v="413"/>
    <n v="798"/>
    <n v="1211"/>
    <n v="20"/>
    <n v="35"/>
    <n v="102"/>
    <n v="123"/>
    <n v="1436"/>
    <n v="9610"/>
  </r>
  <r>
    <x v="37"/>
    <s v="ITA"/>
    <x v="1"/>
    <x v="1"/>
    <n v="4063947052"/>
    <n v="1580514834"/>
    <n v="39"/>
    <n v="15"/>
    <n v="54"/>
    <n v="171"/>
    <n v="225"/>
    <n v="9"/>
    <n v="11"/>
    <n v="3"/>
    <n v="9"/>
    <n v="237"/>
    <n v="2262"/>
  </r>
  <r>
    <x v="37"/>
    <s v="ITA"/>
    <x v="2"/>
    <x v="2"/>
    <n v="4649933453"/>
    <n v="1135662422"/>
    <n v="269"/>
    <n v="57"/>
    <n v="326"/>
    <n v="786"/>
    <n v="1112"/>
    <n v="-30"/>
    <n v="47"/>
    <n v="190"/>
    <n v="116"/>
    <n v="1418"/>
    <n v="11951"/>
  </r>
  <r>
    <x v="37"/>
    <s v="ITA"/>
    <x v="3"/>
    <x v="3"/>
    <n v="3890597598"/>
    <n v="1659440194"/>
    <n v="144"/>
    <n v="16"/>
    <n v="160"/>
    <n v="450"/>
    <n v="610"/>
    <n v="4"/>
    <n v="10"/>
    <n v="21"/>
    <n v="38"/>
    <n v="669"/>
    <n v="9983"/>
  </r>
  <r>
    <x v="37"/>
    <s v="ITA"/>
    <x v="4"/>
    <x v="4"/>
    <n v="4083956555"/>
    <n v="1425084984"/>
    <n v="478"/>
    <n v="129"/>
    <n v="607"/>
    <n v="1369"/>
    <n v="1976"/>
    <n v="105"/>
    <n v="139"/>
    <n v="107"/>
    <n v="148"/>
    <n v="2231"/>
    <n v="15728"/>
  </r>
  <r>
    <x v="37"/>
    <s v="ITA"/>
    <x v="5"/>
    <x v="5"/>
    <n v="4449436681"/>
    <n v="113417208"/>
    <n v="3898"/>
    <n v="359"/>
    <n v="4257"/>
    <n v="7232"/>
    <n v="11489"/>
    <n v="536"/>
    <n v="713"/>
    <n v="1566"/>
    <n v="1732"/>
    <n v="14787"/>
    <n v="58457"/>
  </r>
  <r>
    <x v="37"/>
    <s v="ITA"/>
    <x v="6"/>
    <x v="6"/>
    <n v="456494354"/>
    <n v="1376813649"/>
    <n v="206"/>
    <n v="60"/>
    <n v="266"/>
    <n v="940"/>
    <n v="1206"/>
    <n v="46"/>
    <n v="92"/>
    <n v="357"/>
    <n v="122"/>
    <n v="1685"/>
    <n v="15987"/>
  </r>
  <r>
    <x v="37"/>
    <s v="ITA"/>
    <x v="7"/>
    <x v="7"/>
    <n v="4189277044"/>
    <n v="1248366722"/>
    <n v="1131"/>
    <n v="177"/>
    <n v="1308"/>
    <n v="1450"/>
    <n v="2758"/>
    <n v="116"/>
    <n v="169"/>
    <n v="337"/>
    <n v="169"/>
    <n v="3264"/>
    <n v="35810"/>
  </r>
  <r>
    <x v="37"/>
    <s v="ITA"/>
    <x v="8"/>
    <x v="8"/>
    <n v="4441149315"/>
    <n v="89326992"/>
    <n v="1114"/>
    <n v="179"/>
    <n v="1293"/>
    <n v="1352"/>
    <n v="2645"/>
    <n v="137"/>
    <n v="244"/>
    <n v="555"/>
    <n v="460"/>
    <n v="3660"/>
    <n v="11334"/>
  </r>
  <r>
    <x v="37"/>
    <s v="ITA"/>
    <x v="9"/>
    <x v="9"/>
    <n v="4546679409"/>
    <n v="9190347404"/>
    <n v="11927"/>
    <n v="1342"/>
    <n v="13269"/>
    <n v="12496"/>
    <n v="25765"/>
    <n v="641"/>
    <n v="1565"/>
    <n v="11415"/>
    <n v="7593"/>
    <n v="44773"/>
    <n v="121449"/>
  </r>
  <r>
    <x v="37"/>
    <s v="ITA"/>
    <x v="10"/>
    <x v="10"/>
    <n v="4361675973"/>
    <n v="135188753"/>
    <n v="984"/>
    <n v="168"/>
    <n v="1152"/>
    <n v="2304"/>
    <n v="3456"/>
    <n v="104"/>
    <n v="137"/>
    <n v="29"/>
    <n v="477"/>
    <n v="3962"/>
    <n v="12296"/>
  </r>
  <r>
    <x v="37"/>
    <s v="ITA"/>
    <x v="11"/>
    <x v="11"/>
    <n v="4155774754"/>
    <n v="1465916051"/>
    <n v="32"/>
    <n v="8"/>
    <n v="40"/>
    <n v="91"/>
    <n v="131"/>
    <n v="14"/>
    <n v="16"/>
    <n v="19"/>
    <n v="10"/>
    <n v="160"/>
    <n v="1157"/>
  </r>
  <r>
    <x v="37"/>
    <s v="ITA"/>
    <x v="12"/>
    <x v="12"/>
    <n v="450732745"/>
    <n v="7680687483"/>
    <n v="3146"/>
    <n v="453"/>
    <n v="3599"/>
    <n v="4871"/>
    <n v="8470"/>
    <n v="388"/>
    <n v="494"/>
    <n v="439"/>
    <n v="886"/>
    <n v="9795"/>
    <n v="30060"/>
  </r>
  <r>
    <x v="37"/>
    <s v="ITA"/>
    <x v="13"/>
    <x v="13"/>
    <n v="4112559576"/>
    <n v="1686736689"/>
    <n v="637"/>
    <n v="107"/>
    <n v="744"/>
    <n v="1012"/>
    <n v="1756"/>
    <n v="102"/>
    <n v="143"/>
    <n v="61"/>
    <n v="129"/>
    <n v="1946"/>
    <n v="15209"/>
  </r>
  <r>
    <x v="37"/>
    <s v="ITA"/>
    <x v="14"/>
    <x v="14"/>
    <n v="3921531192"/>
    <n v="9110616306"/>
    <n v="119"/>
    <n v="27"/>
    <n v="146"/>
    <n v="529"/>
    <n v="675"/>
    <n v="18"/>
    <n v="23"/>
    <n v="36"/>
    <n v="34"/>
    <n v="745"/>
    <n v="5501"/>
  </r>
  <r>
    <x v="37"/>
    <s v="ITA"/>
    <x v="15"/>
    <x v="15"/>
    <n v="3811569725"/>
    <n v="133623567"/>
    <n v="496"/>
    <n v="72"/>
    <n v="568"/>
    <n v="976"/>
    <n v="1544"/>
    <n v="52"/>
    <n v="71"/>
    <n v="86"/>
    <n v="88"/>
    <n v="1718"/>
    <n v="16836"/>
  </r>
  <r>
    <x v="37"/>
    <s v="ITA"/>
    <x v="16"/>
    <x v="16"/>
    <n v="4376923077"/>
    <n v="1125588885"/>
    <n v="1120"/>
    <n v="297"/>
    <n v="1417"/>
    <n v="3015"/>
    <n v="4432"/>
    <n v="206"/>
    <n v="259"/>
    <n v="182"/>
    <n v="253"/>
    <n v="4867"/>
    <n v="36575"/>
  </r>
  <r>
    <x v="37"/>
    <s v="ITA"/>
    <x v="2"/>
    <x v="17"/>
    <n v="4606893511"/>
    <n v="1112123097"/>
    <n v="345"/>
    <n v="76"/>
    <n v="421"/>
    <n v="1062"/>
    <n v="1483"/>
    <n v="94"/>
    <n v="124"/>
    <n v="214"/>
    <n v="173"/>
    <n v="1870"/>
    <n v="7675"/>
  </r>
  <r>
    <x v="37"/>
    <s v="ITA"/>
    <x v="17"/>
    <x v="18"/>
    <n v="4310675841"/>
    <n v="1238824698"/>
    <n v="173"/>
    <n v="45"/>
    <n v="218"/>
    <n v="646"/>
    <n v="864"/>
    <n v="13"/>
    <n v="17"/>
    <n v="194"/>
    <n v="37"/>
    <n v="1095"/>
    <n v="9080"/>
  </r>
  <r>
    <x v="37"/>
    <s v="ITA"/>
    <x v="18"/>
    <x v="19"/>
    <n v="4573750286"/>
    <n v="7320149366"/>
    <n v="85"/>
    <n v="27"/>
    <n v="112"/>
    <n v="428"/>
    <n v="540"/>
    <n v="-12"/>
    <n v="3"/>
    <n v="32"/>
    <n v="59"/>
    <n v="631"/>
    <n v="1717"/>
  </r>
  <r>
    <x v="37"/>
    <s v="ITA"/>
    <x v="19"/>
    <x v="20"/>
    <n v="4543490485"/>
    <n v="1233845213"/>
    <n v="1718"/>
    <n v="350"/>
    <n v="2068"/>
    <n v="6156"/>
    <n v="8224"/>
    <n v="374"/>
    <n v="470"/>
    <n v="902"/>
    <n v="499"/>
    <n v="9625"/>
    <n v="112746"/>
  </r>
  <r>
    <x v="38"/>
    <s v="ITA"/>
    <x v="0"/>
    <x v="0"/>
    <n v="4235122196"/>
    <n v="1339843823"/>
    <n v="341"/>
    <n v="75"/>
    <n v="416"/>
    <n v="835"/>
    <n v="1251"/>
    <n v="40"/>
    <n v="61"/>
    <n v="113"/>
    <n v="133"/>
    <n v="1497"/>
    <n v="10647"/>
  </r>
  <r>
    <x v="38"/>
    <s v="ITA"/>
    <x v="1"/>
    <x v="1"/>
    <n v="4063947052"/>
    <n v="1580514834"/>
    <n v="38"/>
    <n v="19"/>
    <n v="57"/>
    <n v="176"/>
    <n v="233"/>
    <n v="8"/>
    <n v="9"/>
    <n v="3"/>
    <n v="10"/>
    <n v="246"/>
    <n v="2427"/>
  </r>
  <r>
    <x v="38"/>
    <s v="ITA"/>
    <x v="2"/>
    <x v="2"/>
    <n v="4649933453"/>
    <n v="1135662422"/>
    <n v="279"/>
    <n v="60"/>
    <n v="339"/>
    <n v="821"/>
    <n v="1160"/>
    <n v="48"/>
    <n v="61"/>
    <n v="190"/>
    <n v="129"/>
    <n v="1479"/>
    <n v="12677"/>
  </r>
  <r>
    <x v="38"/>
    <s v="ITA"/>
    <x v="3"/>
    <x v="3"/>
    <n v="3890597598"/>
    <n v="1659440194"/>
    <n v="163"/>
    <n v="19"/>
    <n v="182"/>
    <n v="445"/>
    <n v="627"/>
    <n v="17"/>
    <n v="22"/>
    <n v="23"/>
    <n v="41"/>
    <n v="691"/>
    <n v="10679"/>
  </r>
  <r>
    <x v="38"/>
    <s v="ITA"/>
    <x v="4"/>
    <x v="4"/>
    <n v="4083956555"/>
    <n v="1425084984"/>
    <n v="503"/>
    <n v="120"/>
    <n v="623"/>
    <n v="1517"/>
    <n v="2140"/>
    <n v="164"/>
    <n v="225"/>
    <n v="149"/>
    <n v="167"/>
    <n v="2456"/>
    <n v="17404"/>
  </r>
  <r>
    <x v="38"/>
    <s v="ITA"/>
    <x v="5"/>
    <x v="5"/>
    <n v="4449436681"/>
    <n v="113417208"/>
    <n v="3944"/>
    <n v="366"/>
    <n v="4310"/>
    <n v="7549"/>
    <n v="11859"/>
    <n v="370"/>
    <n v="546"/>
    <n v="1663"/>
    <n v="1811"/>
    <n v="15333"/>
    <n v="60507"/>
  </r>
  <r>
    <x v="38"/>
    <s v="ITA"/>
    <x v="6"/>
    <x v="6"/>
    <n v="456494354"/>
    <n v="1376813649"/>
    <n v="199"/>
    <n v="60"/>
    <n v="259"/>
    <n v="1035"/>
    <n v="1294"/>
    <n v="88"/>
    <n v="114"/>
    <n v="376"/>
    <n v="129"/>
    <n v="1799"/>
    <n v="17121"/>
  </r>
  <r>
    <x v="38"/>
    <s v="ITA"/>
    <x v="7"/>
    <x v="7"/>
    <n v="4189277044"/>
    <n v="1248366722"/>
    <n v="1169"/>
    <n v="181"/>
    <n v="1350"/>
    <n v="1529"/>
    <n v="2879"/>
    <n v="121"/>
    <n v="169"/>
    <n v="369"/>
    <n v="185"/>
    <n v="3433"/>
    <n v="41575"/>
  </r>
  <r>
    <x v="38"/>
    <s v="ITA"/>
    <x v="8"/>
    <x v="8"/>
    <n v="4441149315"/>
    <n v="89326992"/>
    <n v="1120"/>
    <n v="172"/>
    <n v="1292"/>
    <n v="1368"/>
    <n v="2660"/>
    <n v="15"/>
    <n v="122"/>
    <n v="634"/>
    <n v="488"/>
    <n v="3782"/>
    <n v="12069"/>
  </r>
  <r>
    <x v="38"/>
    <s v="ITA"/>
    <x v="9"/>
    <x v="9"/>
    <n v="4546679409"/>
    <n v="9190347404"/>
    <n v="11762"/>
    <n v="1351"/>
    <n v="13113"/>
    <n v="12763"/>
    <n v="25876"/>
    <n v="111"/>
    <n v="1292"/>
    <n v="12229"/>
    <n v="7960"/>
    <n v="46065"/>
    <n v="128286"/>
  </r>
  <r>
    <x v="38"/>
    <s v="ITA"/>
    <x v="10"/>
    <x v="10"/>
    <n v="4361675973"/>
    <n v="135188753"/>
    <n v="986"/>
    <n v="164"/>
    <n v="1150"/>
    <n v="2405"/>
    <n v="3555"/>
    <n v="99"/>
    <n v="136"/>
    <n v="40"/>
    <n v="503"/>
    <n v="4098"/>
    <n v="12943"/>
  </r>
  <r>
    <x v="38"/>
    <s v="ITA"/>
    <x v="11"/>
    <x v="11"/>
    <n v="4155774754"/>
    <n v="1465916051"/>
    <n v="30"/>
    <n v="8"/>
    <n v="38"/>
    <n v="95"/>
    <n v="133"/>
    <n v="2"/>
    <n v="5"/>
    <n v="21"/>
    <n v="11"/>
    <n v="165"/>
    <n v="1229"/>
  </r>
  <r>
    <x v="38"/>
    <s v="ITA"/>
    <x v="12"/>
    <x v="12"/>
    <n v="450732745"/>
    <n v="7680687483"/>
    <n v="3341"/>
    <n v="453"/>
    <n v="3794"/>
    <n v="5005"/>
    <n v="8799"/>
    <n v="329"/>
    <n v="558"/>
    <n v="571"/>
    <n v="983"/>
    <n v="10353"/>
    <n v="32100"/>
  </r>
  <r>
    <x v="38"/>
    <s v="ITA"/>
    <x v="13"/>
    <x v="13"/>
    <n v="4112559576"/>
    <n v="1686736689"/>
    <n v="645"/>
    <n v="118"/>
    <n v="763"/>
    <n v="1101"/>
    <n v="1864"/>
    <n v="108"/>
    <n v="131"/>
    <n v="69"/>
    <n v="144"/>
    <n v="2077"/>
    <n v="16554"/>
  </r>
  <r>
    <x v="38"/>
    <s v="ITA"/>
    <x v="14"/>
    <x v="14"/>
    <n v="3921531192"/>
    <n v="9110616306"/>
    <n v="117"/>
    <n v="24"/>
    <n v="141"/>
    <n v="577"/>
    <n v="718"/>
    <n v="43"/>
    <n v="49"/>
    <n v="36"/>
    <n v="40"/>
    <n v="794"/>
    <n v="5970"/>
  </r>
  <r>
    <x v="38"/>
    <s v="ITA"/>
    <x v="15"/>
    <x v="15"/>
    <n v="3811569725"/>
    <n v="133623567"/>
    <n v="503"/>
    <n v="73"/>
    <n v="576"/>
    <n v="1030"/>
    <n v="1606"/>
    <n v="62"/>
    <n v="73"/>
    <n v="92"/>
    <n v="93"/>
    <n v="1791"/>
    <n v="17833"/>
  </r>
  <r>
    <x v="38"/>
    <s v="ITA"/>
    <x v="16"/>
    <x v="16"/>
    <n v="4376923077"/>
    <n v="1125588885"/>
    <n v="1135"/>
    <n v="295"/>
    <n v="1430"/>
    <n v="3359"/>
    <n v="4789"/>
    <n v="357"/>
    <n v="406"/>
    <n v="216"/>
    <n v="268"/>
    <n v="5273"/>
    <n v="40724"/>
  </r>
  <r>
    <x v="38"/>
    <s v="ITA"/>
    <x v="2"/>
    <x v="17"/>
    <n v="4606893511"/>
    <n v="1112123097"/>
    <n v="339"/>
    <n v="78"/>
    <n v="417"/>
    <n v="1170"/>
    <n v="1587"/>
    <n v="104"/>
    <n v="133"/>
    <n v="229"/>
    <n v="187"/>
    <n v="2003"/>
    <n v="8496"/>
  </r>
  <r>
    <x v="38"/>
    <s v="ITA"/>
    <x v="17"/>
    <x v="18"/>
    <n v="4310675841"/>
    <n v="1238824698"/>
    <n v="171"/>
    <n v="47"/>
    <n v="218"/>
    <n v="667"/>
    <n v="885"/>
    <n v="21"/>
    <n v="33"/>
    <n v="205"/>
    <n v="38"/>
    <n v="1128"/>
    <n v="9737"/>
  </r>
  <r>
    <x v="38"/>
    <s v="ITA"/>
    <x v="18"/>
    <x v="19"/>
    <n v="4573750286"/>
    <n v="7320149366"/>
    <n v="85"/>
    <n v="25"/>
    <n v="110"/>
    <n v="446"/>
    <n v="556"/>
    <n v="16"/>
    <n v="37"/>
    <n v="49"/>
    <n v="63"/>
    <n v="668"/>
    <n v="1934"/>
  </r>
  <r>
    <x v="38"/>
    <s v="ITA"/>
    <x v="19"/>
    <x v="20"/>
    <n v="4543490485"/>
    <n v="1233845213"/>
    <n v="1670"/>
    <n v="345"/>
    <n v="2015"/>
    <n v="6563"/>
    <n v="8578"/>
    <n v="354"/>
    <n v="486"/>
    <n v="1001"/>
    <n v="532"/>
    <n v="10111"/>
    <n v="120320"/>
  </r>
  <r>
    <x v="39"/>
    <s v="ITA"/>
    <x v="0"/>
    <x v="0"/>
    <n v="4235122196"/>
    <n v="1339843823"/>
    <n v="361"/>
    <n v="76"/>
    <n v="437"/>
    <n v="864"/>
    <n v="1301"/>
    <n v="50"/>
    <n v="66"/>
    <n v="116"/>
    <n v="146"/>
    <n v="1563"/>
    <n v="11890"/>
  </r>
  <r>
    <x v="39"/>
    <s v="ITA"/>
    <x v="1"/>
    <x v="1"/>
    <n v="4063947052"/>
    <n v="1580514834"/>
    <n v="41"/>
    <n v="19"/>
    <n v="60"/>
    <n v="187"/>
    <n v="247"/>
    <n v="14"/>
    <n v="15"/>
    <n v="3"/>
    <n v="11"/>
    <n v="261"/>
    <n v="2622"/>
  </r>
  <r>
    <x v="39"/>
    <s v="ITA"/>
    <x v="2"/>
    <x v="2"/>
    <n v="4649933453"/>
    <n v="1135662422"/>
    <n v="291"/>
    <n v="60"/>
    <n v="351"/>
    <n v="858"/>
    <n v="1209"/>
    <n v="49"/>
    <n v="80"/>
    <n v="211"/>
    <n v="139"/>
    <n v="1559"/>
    <n v="13976"/>
  </r>
  <r>
    <x v="39"/>
    <s v="ITA"/>
    <x v="3"/>
    <x v="3"/>
    <n v="3890597598"/>
    <n v="1659440194"/>
    <n v="183"/>
    <n v="17"/>
    <n v="200"/>
    <n v="462"/>
    <n v="662"/>
    <n v="35"/>
    <n v="42"/>
    <n v="26"/>
    <n v="45"/>
    <n v="733"/>
    <n v="11608"/>
  </r>
  <r>
    <x v="39"/>
    <s v="ITA"/>
    <x v="4"/>
    <x v="4"/>
    <n v="4083956555"/>
    <n v="1425084984"/>
    <n v="532"/>
    <n v="115"/>
    <n v="647"/>
    <n v="1705"/>
    <n v="2352"/>
    <n v="212"/>
    <n v="221"/>
    <n v="144"/>
    <n v="181"/>
    <n v="2677"/>
    <n v="19237"/>
  </r>
  <r>
    <x v="39"/>
    <s v="ITA"/>
    <x v="5"/>
    <x v="5"/>
    <n v="4449436681"/>
    <n v="113417208"/>
    <n v="3915"/>
    <n v="364"/>
    <n v="4279"/>
    <n v="7899"/>
    <n v="12178"/>
    <n v="319"/>
    <n v="599"/>
    <n v="1852"/>
    <n v="1902"/>
    <n v="15932"/>
    <n v="63682"/>
  </r>
  <r>
    <x v="39"/>
    <s v="ITA"/>
    <x v="6"/>
    <x v="6"/>
    <n v="456494354"/>
    <n v="1376813649"/>
    <n v="201"/>
    <n v="61"/>
    <n v="262"/>
    <n v="1062"/>
    <n v="1324"/>
    <n v="30"/>
    <n v="80"/>
    <n v="419"/>
    <n v="136"/>
    <n v="1879"/>
    <n v="19985"/>
  </r>
  <r>
    <x v="39"/>
    <s v="ITA"/>
    <x v="7"/>
    <x v="7"/>
    <n v="4189277044"/>
    <n v="1248366722"/>
    <n v="1194"/>
    <n v="188"/>
    <n v="1382"/>
    <n v="1627"/>
    <n v="3009"/>
    <n v="130"/>
    <n v="167"/>
    <n v="392"/>
    <n v="199"/>
    <n v="3600"/>
    <n v="43776"/>
  </r>
  <r>
    <x v="39"/>
    <s v="ITA"/>
    <x v="8"/>
    <x v="8"/>
    <n v="4441149315"/>
    <n v="89326992"/>
    <n v="1147"/>
    <n v="173"/>
    <n v="1320"/>
    <n v="1426"/>
    <n v="2746"/>
    <n v="86"/>
    <n v="183"/>
    <n v="700"/>
    <n v="519"/>
    <n v="3965"/>
    <n v="12934"/>
  </r>
  <r>
    <x v="39"/>
    <s v="ITA"/>
    <x v="9"/>
    <x v="9"/>
    <n v="4546679409"/>
    <n v="9190347404"/>
    <n v="11802"/>
    <n v="1381"/>
    <n v="13183"/>
    <n v="13006"/>
    <n v="26189"/>
    <n v="313"/>
    <n v="1455"/>
    <n v="13020"/>
    <n v="8311"/>
    <n v="47520"/>
    <n v="135051"/>
  </r>
  <r>
    <x v="39"/>
    <s v="ITA"/>
    <x v="10"/>
    <x v="10"/>
    <n v="4361675973"/>
    <n v="135188753"/>
    <n v="982"/>
    <n v="158"/>
    <n v="1140"/>
    <n v="2491"/>
    <n v="3631"/>
    <n v="76"/>
    <n v="132"/>
    <n v="42"/>
    <n v="557"/>
    <n v="4230"/>
    <n v="13678"/>
  </r>
  <r>
    <x v="39"/>
    <s v="ITA"/>
    <x v="11"/>
    <x v="11"/>
    <n v="4155774754"/>
    <n v="1465916051"/>
    <n v="31"/>
    <n v="8"/>
    <n v="39"/>
    <n v="105"/>
    <n v="144"/>
    <n v="11"/>
    <n v="11"/>
    <n v="21"/>
    <n v="11"/>
    <n v="176"/>
    <n v="1378"/>
  </r>
  <r>
    <x v="39"/>
    <s v="ITA"/>
    <x v="12"/>
    <x v="12"/>
    <n v="450732745"/>
    <n v="7680687483"/>
    <n v="3300"/>
    <n v="452"/>
    <n v="3752"/>
    <n v="5378"/>
    <n v="9130"/>
    <n v="331"/>
    <n v="543"/>
    <n v="723"/>
    <n v="1043"/>
    <n v="10896"/>
    <n v="34281"/>
  </r>
  <r>
    <x v="39"/>
    <s v="ITA"/>
    <x v="13"/>
    <x v="13"/>
    <n v="4112559576"/>
    <n v="1686736689"/>
    <n v="648"/>
    <n v="123"/>
    <n v="771"/>
    <n v="1178"/>
    <n v="1949"/>
    <n v="85"/>
    <n v="105"/>
    <n v="69"/>
    <n v="164"/>
    <n v="2182"/>
    <n v="17924"/>
  </r>
  <r>
    <x v="39"/>
    <s v="ITA"/>
    <x v="14"/>
    <x v="14"/>
    <n v="3921531192"/>
    <n v="9110616306"/>
    <n v="122"/>
    <n v="24"/>
    <n v="146"/>
    <n v="598"/>
    <n v="744"/>
    <n v="26"/>
    <n v="31"/>
    <n v="40"/>
    <n v="41"/>
    <n v="825"/>
    <n v="6478"/>
  </r>
  <r>
    <x v="39"/>
    <s v="ITA"/>
    <x v="15"/>
    <x v="15"/>
    <n v="3811569725"/>
    <n v="133623567"/>
    <n v="535"/>
    <n v="73"/>
    <n v="608"/>
    <n v="1056"/>
    <n v="1664"/>
    <n v="58"/>
    <n v="68"/>
    <n v="94"/>
    <n v="101"/>
    <n v="1859"/>
    <n v="18686"/>
  </r>
  <r>
    <x v="39"/>
    <s v="ITA"/>
    <x v="16"/>
    <x v="16"/>
    <n v="4376923077"/>
    <n v="1125588885"/>
    <n v="1149"/>
    <n v="288"/>
    <n v="1437"/>
    <n v="3472"/>
    <n v="4909"/>
    <n v="120"/>
    <n v="226"/>
    <n v="300"/>
    <n v="290"/>
    <n v="5499"/>
    <n v="44460"/>
  </r>
  <r>
    <x v="39"/>
    <s v="ITA"/>
    <x v="2"/>
    <x v="17"/>
    <n v="4606893511"/>
    <n v="1112123097"/>
    <n v="343"/>
    <n v="80"/>
    <n v="423"/>
    <n v="1236"/>
    <n v="1659"/>
    <n v="72"/>
    <n v="106"/>
    <n v="246"/>
    <n v="204"/>
    <n v="2109"/>
    <n v="8993"/>
  </r>
  <r>
    <x v="39"/>
    <s v="ITA"/>
    <x v="17"/>
    <x v="18"/>
    <n v="4310675841"/>
    <n v="1238824698"/>
    <n v="165"/>
    <n v="48"/>
    <n v="213"/>
    <n v="707"/>
    <n v="920"/>
    <n v="35"/>
    <n v="51"/>
    <n v="220"/>
    <n v="39"/>
    <n v="1179"/>
    <n v="10614"/>
  </r>
  <r>
    <x v="39"/>
    <s v="ITA"/>
    <x v="18"/>
    <x v="19"/>
    <n v="4573750286"/>
    <n v="7320149366"/>
    <n v="85"/>
    <n v="25"/>
    <n v="110"/>
    <n v="450"/>
    <n v="560"/>
    <n v="4"/>
    <n v="51"/>
    <n v="89"/>
    <n v="70"/>
    <n v="719"/>
    <n v="2106"/>
  </r>
  <r>
    <x v="39"/>
    <s v="ITA"/>
    <x v="19"/>
    <x v="20"/>
    <n v="4543490485"/>
    <n v="1233845213"/>
    <n v="1714"/>
    <n v="335"/>
    <n v="2049"/>
    <n v="6812"/>
    <n v="8861"/>
    <n v="283"/>
    <n v="353"/>
    <n v="1031"/>
    <n v="572"/>
    <n v="10464"/>
    <n v="126490"/>
  </r>
  <r>
    <x v="40"/>
    <s v="ITA"/>
    <x v="0"/>
    <x v="0"/>
    <n v="4235122196"/>
    <n v="1339843823"/>
    <n v="354"/>
    <n v="71"/>
    <n v="425"/>
    <n v="931"/>
    <n v="1356"/>
    <n v="55"/>
    <n v="65"/>
    <n v="119"/>
    <n v="153"/>
    <n v="1628"/>
    <n v="12837"/>
  </r>
  <r>
    <x v="40"/>
    <s v="ITA"/>
    <x v="1"/>
    <x v="1"/>
    <n v="4063947052"/>
    <n v="1580514834"/>
    <n v="44"/>
    <n v="19"/>
    <n v="63"/>
    <n v="181"/>
    <n v="244"/>
    <n v="-3"/>
    <n v="3"/>
    <n v="9"/>
    <n v="11"/>
    <n v="264"/>
    <n v="2765"/>
  </r>
  <r>
    <x v="40"/>
    <s v="ITA"/>
    <x v="2"/>
    <x v="2"/>
    <n v="4649933453"/>
    <n v="1135662422"/>
    <n v="291"/>
    <n v="61"/>
    <n v="352"/>
    <n v="849"/>
    <n v="1201"/>
    <n v="-8"/>
    <n v="33"/>
    <n v="245"/>
    <n v="146"/>
    <n v="1592"/>
    <n v="15045"/>
  </r>
  <r>
    <x v="40"/>
    <s v="ITA"/>
    <x v="3"/>
    <x v="3"/>
    <n v="3890597598"/>
    <n v="1659440194"/>
    <n v="178"/>
    <n v="15"/>
    <n v="193"/>
    <n v="469"/>
    <n v="662"/>
    <n v="0"/>
    <n v="8"/>
    <n v="30"/>
    <n v="49"/>
    <n v="741"/>
    <n v="12314"/>
  </r>
  <r>
    <x v="40"/>
    <s v="ITA"/>
    <x v="4"/>
    <x v="4"/>
    <n v="4083956555"/>
    <n v="1425084984"/>
    <n v="567"/>
    <n v="114"/>
    <n v="681"/>
    <n v="1815"/>
    <n v="2496"/>
    <n v="144"/>
    <n v="151"/>
    <n v="146"/>
    <n v="186"/>
    <n v="2828"/>
    <n v="21534"/>
  </r>
  <r>
    <x v="40"/>
    <s v="ITA"/>
    <x v="5"/>
    <x v="5"/>
    <n v="4449436681"/>
    <n v="113417208"/>
    <n v="3859"/>
    <n v="358"/>
    <n v="4217"/>
    <n v="8306"/>
    <n v="12523"/>
    <n v="345"/>
    <n v="608"/>
    <n v="2040"/>
    <n v="1977"/>
    <n v="16540"/>
    <n v="67075"/>
  </r>
  <r>
    <x v="40"/>
    <s v="ITA"/>
    <x v="6"/>
    <x v="6"/>
    <n v="456494354"/>
    <n v="1376813649"/>
    <n v="183"/>
    <n v="50"/>
    <n v="233"/>
    <n v="1103"/>
    <n v="1336"/>
    <n v="12"/>
    <n v="107"/>
    <n v="505"/>
    <n v="145"/>
    <n v="1986"/>
    <n v="21126"/>
  </r>
  <r>
    <x v="40"/>
    <s v="ITA"/>
    <x v="7"/>
    <x v="7"/>
    <n v="4189277044"/>
    <n v="1248366722"/>
    <n v="1236"/>
    <n v="193"/>
    <n v="1429"/>
    <n v="1677"/>
    <n v="3106"/>
    <n v="97"/>
    <n v="157"/>
    <n v="439"/>
    <n v="212"/>
    <n v="3757"/>
    <n v="44624"/>
  </r>
  <r>
    <x v="40"/>
    <s v="ITA"/>
    <x v="8"/>
    <x v="8"/>
    <n v="4441149315"/>
    <n v="89326992"/>
    <n v="1121"/>
    <n v="169"/>
    <n v="1290"/>
    <n v="1604"/>
    <n v="2894"/>
    <n v="148"/>
    <n v="238"/>
    <n v="767"/>
    <n v="542"/>
    <n v="4203"/>
    <n v="14087"/>
  </r>
  <r>
    <x v="40"/>
    <s v="ITA"/>
    <x v="9"/>
    <x v="9"/>
    <n v="4546679409"/>
    <n v="9190347404"/>
    <n v="12002"/>
    <n v="1326"/>
    <n v="13328"/>
    <n v="13892"/>
    <n v="27220"/>
    <n v="1031"/>
    <n v="1598"/>
    <n v="13242"/>
    <n v="8656"/>
    <n v="49118"/>
    <n v="141877"/>
  </r>
  <r>
    <x v="40"/>
    <s v="ITA"/>
    <x v="10"/>
    <x v="10"/>
    <n v="4361675973"/>
    <n v="135188753"/>
    <n v="997"/>
    <n v="153"/>
    <n v="1150"/>
    <n v="2347"/>
    <n v="3497"/>
    <n v="-134"/>
    <n v="111"/>
    <n v="270"/>
    <n v="574"/>
    <n v="4341"/>
    <n v="14472"/>
  </r>
  <r>
    <x v="40"/>
    <s v="ITA"/>
    <x v="11"/>
    <x v="11"/>
    <n v="4155774754"/>
    <n v="1465916051"/>
    <n v="31"/>
    <n v="6"/>
    <n v="37"/>
    <n v="134"/>
    <n v="171"/>
    <n v="27"/>
    <n v="30"/>
    <n v="24"/>
    <n v="11"/>
    <n v="206"/>
    <n v="1504"/>
  </r>
  <r>
    <x v="40"/>
    <s v="ITA"/>
    <x v="12"/>
    <x v="12"/>
    <n v="450732745"/>
    <n v="7680687483"/>
    <n v="3441"/>
    <n v="450"/>
    <n v="3891"/>
    <n v="5802"/>
    <n v="9693"/>
    <n v="563"/>
    <n v="813"/>
    <n v="888"/>
    <n v="1128"/>
    <n v="11709"/>
    <n v="37181"/>
  </r>
  <r>
    <x v="40"/>
    <s v="ITA"/>
    <x v="13"/>
    <x v="13"/>
    <n v="4112559576"/>
    <n v="1686736689"/>
    <n v="627"/>
    <n v="153"/>
    <n v="780"/>
    <n v="1193"/>
    <n v="1973"/>
    <n v="24"/>
    <n v="58"/>
    <n v="94"/>
    <n v="173"/>
    <n v="2240"/>
    <n v="18977"/>
  </r>
  <r>
    <x v="40"/>
    <s v="ITA"/>
    <x v="14"/>
    <x v="14"/>
    <n v="3921531192"/>
    <n v="9110616306"/>
    <n v="123"/>
    <n v="24"/>
    <n v="147"/>
    <n v="642"/>
    <n v="789"/>
    <n v="45"/>
    <n v="49"/>
    <n v="44"/>
    <n v="41"/>
    <n v="874"/>
    <n v="6789"/>
  </r>
  <r>
    <x v="40"/>
    <s v="ITA"/>
    <x v="15"/>
    <x v="15"/>
    <n v="3811569725"/>
    <n v="133623567"/>
    <n v="553"/>
    <n v="74"/>
    <n v="627"/>
    <n v="1099"/>
    <n v="1726"/>
    <n v="62"/>
    <n v="73"/>
    <n v="95"/>
    <n v="111"/>
    <n v="1932"/>
    <n v="19896"/>
  </r>
  <r>
    <x v="40"/>
    <s v="ITA"/>
    <x v="16"/>
    <x v="16"/>
    <n v="4376923077"/>
    <n v="1125588885"/>
    <n v="1129"/>
    <n v="286"/>
    <n v="1415"/>
    <n v="3639"/>
    <n v="5054"/>
    <n v="145"/>
    <n v="172"/>
    <n v="310"/>
    <n v="307"/>
    <n v="5671"/>
    <n v="47886"/>
  </r>
  <r>
    <x v="40"/>
    <s v="ITA"/>
    <x v="2"/>
    <x v="17"/>
    <n v="4606893511"/>
    <n v="1112123097"/>
    <n v="353"/>
    <n v="81"/>
    <n v="434"/>
    <n v="1319"/>
    <n v="1753"/>
    <n v="94"/>
    <n v="111"/>
    <n v="257"/>
    <n v="210"/>
    <n v="2220"/>
    <n v="9863"/>
  </r>
  <r>
    <x v="40"/>
    <s v="ITA"/>
    <x v="17"/>
    <x v="18"/>
    <n v="4310675841"/>
    <n v="1238824698"/>
    <n v="167"/>
    <n v="44"/>
    <n v="211"/>
    <n v="716"/>
    <n v="927"/>
    <n v="7"/>
    <n v="31"/>
    <n v="242"/>
    <n v="41"/>
    <n v="1210"/>
    <n v="11809"/>
  </r>
  <r>
    <x v="40"/>
    <s v="ITA"/>
    <x v="18"/>
    <x v="19"/>
    <n v="4573750286"/>
    <n v="7320149366"/>
    <n v="63"/>
    <n v="23"/>
    <n v="86"/>
    <n v="474"/>
    <n v="560"/>
    <n v="0"/>
    <n v="29"/>
    <n v="106"/>
    <n v="82"/>
    <n v="748"/>
    <n v="2274"/>
  </r>
  <r>
    <x v="40"/>
    <s v="ITA"/>
    <x v="19"/>
    <x v="20"/>
    <n v="4543490485"/>
    <n v="1233845213"/>
    <n v="1691"/>
    <n v="324"/>
    <n v="2015"/>
    <n v="7078"/>
    <n v="9093"/>
    <n v="232"/>
    <n v="360"/>
    <n v="1124"/>
    <n v="607"/>
    <n v="10824"/>
    <n v="133289"/>
  </r>
  <r>
    <x v="41"/>
    <s v="ITA"/>
    <x v="0"/>
    <x v="0"/>
    <n v="4235122196"/>
    <n v="1339843823"/>
    <n v="347"/>
    <n v="67"/>
    <n v="414"/>
    <n v="1006"/>
    <n v="1420"/>
    <n v="64"/>
    <n v="75"/>
    <n v="125"/>
    <n v="158"/>
    <n v="1703"/>
    <n v="13598"/>
  </r>
  <r>
    <x v="41"/>
    <s v="ITA"/>
    <x v="1"/>
    <x v="1"/>
    <n v="4063947052"/>
    <n v="1580514834"/>
    <n v="46"/>
    <n v="18"/>
    <n v="64"/>
    <n v="190"/>
    <n v="254"/>
    <n v="10"/>
    <n v="14"/>
    <n v="11"/>
    <n v="13"/>
    <n v="278"/>
    <n v="2931"/>
  </r>
  <r>
    <x v="41"/>
    <s v="ITA"/>
    <x v="2"/>
    <x v="2"/>
    <n v="4649933453"/>
    <n v="1135662422"/>
    <n v="239"/>
    <n v="53"/>
    <n v="292"/>
    <n v="934"/>
    <n v="1226"/>
    <n v="25"/>
    <n v="52"/>
    <n v="260"/>
    <n v="158"/>
    <n v="1644"/>
    <n v="15723"/>
  </r>
  <r>
    <x v="41"/>
    <s v="ITA"/>
    <x v="3"/>
    <x v="3"/>
    <n v="3890597598"/>
    <n v="1659440194"/>
    <n v="174"/>
    <n v="13"/>
    <n v="187"/>
    <n v="519"/>
    <n v="706"/>
    <n v="44"/>
    <n v="54"/>
    <n v="33"/>
    <n v="56"/>
    <n v="795"/>
    <n v="13077"/>
  </r>
  <r>
    <x v="41"/>
    <s v="ITA"/>
    <x v="4"/>
    <x v="4"/>
    <n v="4083956555"/>
    <n v="1425084984"/>
    <n v="609"/>
    <n v="108"/>
    <n v="717"/>
    <n v="1904"/>
    <n v="2621"/>
    <n v="125"/>
    <n v="132"/>
    <n v="150"/>
    <n v="189"/>
    <n v="2960"/>
    <n v="23139"/>
  </r>
  <r>
    <x v="41"/>
    <s v="ITA"/>
    <x v="5"/>
    <x v="5"/>
    <n v="4449436681"/>
    <n v="113417208"/>
    <n v="3839"/>
    <n v="375"/>
    <n v="4214"/>
    <n v="8623"/>
    <n v="12837"/>
    <n v="314"/>
    <n v="549"/>
    <n v="2201"/>
    <n v="2051"/>
    <n v="17089"/>
    <n v="69986"/>
  </r>
  <r>
    <x v="41"/>
    <s v="ITA"/>
    <x v="6"/>
    <x v="6"/>
    <n v="456494354"/>
    <n v="1376813649"/>
    <n v="185"/>
    <n v="50"/>
    <n v="235"/>
    <n v="1128"/>
    <n v="1363"/>
    <n v="27"/>
    <n v="62"/>
    <n v="531"/>
    <n v="154"/>
    <n v="2048"/>
    <n v="21652"/>
  </r>
  <r>
    <x v="41"/>
    <s v="ITA"/>
    <x v="7"/>
    <x v="7"/>
    <n v="4189277044"/>
    <n v="1248366722"/>
    <n v="1235"/>
    <n v="197"/>
    <n v="1432"/>
    <n v="1754"/>
    <n v="3186"/>
    <n v="80"/>
    <n v="123"/>
    <n v="475"/>
    <n v="219"/>
    <n v="3880"/>
    <n v="44658"/>
  </r>
  <r>
    <x v="41"/>
    <s v="ITA"/>
    <x v="8"/>
    <x v="8"/>
    <n v="4441149315"/>
    <n v="89326992"/>
    <n v="1126"/>
    <n v="165"/>
    <n v="1291"/>
    <n v="1802"/>
    <n v="3093"/>
    <n v="199"/>
    <n v="246"/>
    <n v="800"/>
    <n v="556"/>
    <n v="4449"/>
    <n v="15047"/>
  </r>
  <r>
    <x v="41"/>
    <s v="ITA"/>
    <x v="9"/>
    <x v="9"/>
    <n v="4546679409"/>
    <n v="9190347404"/>
    <n v="12009"/>
    <n v="1317"/>
    <n v="13326"/>
    <n v="14798"/>
    <n v="28124"/>
    <n v="904"/>
    <n v="1337"/>
    <n v="13426"/>
    <n v="8905"/>
    <n v="50455"/>
    <n v="149984"/>
  </r>
  <r>
    <x v="41"/>
    <s v="ITA"/>
    <x v="10"/>
    <x v="10"/>
    <n v="4361675973"/>
    <n v="135188753"/>
    <n v="987"/>
    <n v="151"/>
    <n v="1138"/>
    <n v="2440"/>
    <n v="3578"/>
    <n v="81"/>
    <n v="123"/>
    <n v="287"/>
    <n v="599"/>
    <n v="4464"/>
    <n v="15252"/>
  </r>
  <r>
    <x v="41"/>
    <s v="ITA"/>
    <x v="11"/>
    <x v="11"/>
    <n v="4155774754"/>
    <n v="1465916051"/>
    <n v="33"/>
    <n v="6"/>
    <n v="39"/>
    <n v="148"/>
    <n v="187"/>
    <n v="16"/>
    <n v="18"/>
    <n v="24"/>
    <n v="13"/>
    <n v="224"/>
    <n v="1504"/>
  </r>
  <r>
    <x v="41"/>
    <s v="ITA"/>
    <x v="12"/>
    <x v="12"/>
    <n v="450732745"/>
    <n v="7680687483"/>
    <n v="3472"/>
    <n v="444"/>
    <n v="3916"/>
    <n v="6261"/>
    <n v="10177"/>
    <n v="484"/>
    <n v="653"/>
    <n v="1017"/>
    <n v="1168"/>
    <n v="12362"/>
    <n v="38539"/>
  </r>
  <r>
    <x v="41"/>
    <s v="ITA"/>
    <x v="13"/>
    <x v="13"/>
    <n v="4112559576"/>
    <n v="1686736689"/>
    <n v="574"/>
    <n v="159"/>
    <n v="733"/>
    <n v="1289"/>
    <n v="2022"/>
    <n v="49"/>
    <n v="77"/>
    <n v="113"/>
    <n v="182"/>
    <n v="2317"/>
    <n v="20080"/>
  </r>
  <r>
    <x v="41"/>
    <s v="ITA"/>
    <x v="14"/>
    <x v="14"/>
    <n v="3921531192"/>
    <n v="9110616306"/>
    <n v="126"/>
    <n v="25"/>
    <n v="151"/>
    <n v="664"/>
    <n v="815"/>
    <n v="26"/>
    <n v="33"/>
    <n v="49"/>
    <n v="43"/>
    <n v="907"/>
    <n v="7157"/>
  </r>
  <r>
    <x v="41"/>
    <s v="ITA"/>
    <x v="15"/>
    <x v="15"/>
    <n v="3811569725"/>
    <n v="133623567"/>
    <n v="556"/>
    <n v="76"/>
    <n v="632"/>
    <n v="1142"/>
    <n v="1774"/>
    <n v="48"/>
    <n v="62"/>
    <n v="104"/>
    <n v="116"/>
    <n v="1994"/>
    <n v="21904"/>
  </r>
  <r>
    <x v="41"/>
    <s v="ITA"/>
    <x v="16"/>
    <x v="16"/>
    <n v="4376923077"/>
    <n v="1125588885"/>
    <n v="1111"/>
    <n v="276"/>
    <n v="1387"/>
    <n v="3798"/>
    <n v="5185"/>
    <n v="131"/>
    <n v="176"/>
    <n v="337"/>
    <n v="325"/>
    <n v="5847"/>
    <n v="51006"/>
  </r>
  <r>
    <x v="41"/>
    <s v="ITA"/>
    <x v="2"/>
    <x v="17"/>
    <n v="4606893511"/>
    <n v="1112123097"/>
    <n v="352"/>
    <n v="80"/>
    <n v="432"/>
    <n v="1363"/>
    <n v="1795"/>
    <n v="42"/>
    <n v="65"/>
    <n v="273"/>
    <n v="217"/>
    <n v="2285"/>
    <n v="10476"/>
  </r>
  <r>
    <x v="41"/>
    <s v="ITA"/>
    <x v="17"/>
    <x v="18"/>
    <n v="4310675841"/>
    <n v="1238824698"/>
    <n v="159"/>
    <n v="45"/>
    <n v="204"/>
    <n v="694"/>
    <n v="898"/>
    <n v="-29"/>
    <n v="29"/>
    <n v="298"/>
    <n v="43"/>
    <n v="1239"/>
    <n v="12448"/>
  </r>
  <r>
    <x v="41"/>
    <s v="ITA"/>
    <x v="18"/>
    <x v="19"/>
    <n v="4573750286"/>
    <n v="7320149366"/>
    <n v="96"/>
    <n v="23"/>
    <n v="119"/>
    <n v="457"/>
    <n v="576"/>
    <n v="16"/>
    <n v="34"/>
    <n v="115"/>
    <n v="91"/>
    <n v="782"/>
    <n v="2390"/>
  </r>
  <r>
    <x v="41"/>
    <s v="ITA"/>
    <x v="19"/>
    <x v="20"/>
    <n v="4543490485"/>
    <n v="1233845213"/>
    <n v="1674"/>
    <n v="329"/>
    <n v="2003"/>
    <n v="7406"/>
    <n v="9409"/>
    <n v="316"/>
    <n v="402"/>
    <n v="1186"/>
    <n v="631"/>
    <n v="11226"/>
    <n v="140910"/>
  </r>
  <r>
    <x v="42"/>
    <s v="ITA"/>
    <x v="0"/>
    <x v="0"/>
    <n v="4235122196"/>
    <n v="1339843823"/>
    <n v="340"/>
    <n v="66"/>
    <n v="406"/>
    <n v="1019"/>
    <n v="1425"/>
    <n v="5"/>
    <n v="18"/>
    <n v="127"/>
    <n v="169"/>
    <n v="1721"/>
    <n v="14198"/>
  </r>
  <r>
    <x v="42"/>
    <s v="ITA"/>
    <x v="1"/>
    <x v="1"/>
    <n v="4063947052"/>
    <n v="1580514834"/>
    <n v="46"/>
    <n v="18"/>
    <n v="64"/>
    <n v="198"/>
    <n v="262"/>
    <n v="8"/>
    <n v="9"/>
    <n v="12"/>
    <n v="13"/>
    <n v="287"/>
    <n v="3061"/>
  </r>
  <r>
    <x v="42"/>
    <s v="ITA"/>
    <x v="2"/>
    <x v="2"/>
    <n v="4649933453"/>
    <n v="1135662422"/>
    <n v="245"/>
    <n v="52"/>
    <n v="297"/>
    <n v="963"/>
    <n v="1260"/>
    <n v="34"/>
    <n v="78"/>
    <n v="298"/>
    <n v="164"/>
    <n v="1722"/>
    <n v="16825"/>
  </r>
  <r>
    <x v="42"/>
    <s v="ITA"/>
    <x v="3"/>
    <x v="3"/>
    <n v="3890597598"/>
    <n v="1659440194"/>
    <n v="170"/>
    <n v="14"/>
    <n v="184"/>
    <n v="538"/>
    <n v="722"/>
    <n v="16"/>
    <n v="22"/>
    <n v="37"/>
    <n v="58"/>
    <n v="817"/>
    <n v="13633"/>
  </r>
  <r>
    <x v="42"/>
    <s v="ITA"/>
    <x v="4"/>
    <x v="4"/>
    <n v="4083956555"/>
    <n v="1425084984"/>
    <n v="610"/>
    <n v="101"/>
    <n v="711"/>
    <n v="1987"/>
    <n v="2698"/>
    <n v="77"/>
    <n v="98"/>
    <n v="156"/>
    <n v="204"/>
    <n v="3058"/>
    <n v="24526"/>
  </r>
  <r>
    <x v="42"/>
    <s v="ITA"/>
    <x v="5"/>
    <x v="5"/>
    <n v="4449436681"/>
    <n v="113417208"/>
    <n v="3804"/>
    <n v="372"/>
    <n v="4176"/>
    <n v="8875"/>
    <n v="13051"/>
    <n v="214"/>
    <n v="467"/>
    <n v="2397"/>
    <n v="2108"/>
    <n v="17556"/>
    <n v="72163"/>
  </r>
  <r>
    <x v="42"/>
    <s v="ITA"/>
    <x v="6"/>
    <x v="6"/>
    <n v="456494354"/>
    <n v="1376813649"/>
    <n v="189"/>
    <n v="46"/>
    <n v="235"/>
    <n v="1161"/>
    <n v="1396"/>
    <n v="33"/>
    <n v="55"/>
    <n v="549"/>
    <n v="158"/>
    <n v="2103"/>
    <n v="22272"/>
  </r>
  <r>
    <x v="42"/>
    <s v="ITA"/>
    <x v="7"/>
    <x v="7"/>
    <n v="4189277044"/>
    <n v="1248366722"/>
    <n v="1235"/>
    <n v="197"/>
    <n v="1432"/>
    <n v="1868"/>
    <n v="3300"/>
    <n v="114"/>
    <n v="151"/>
    <n v="502"/>
    <n v="229"/>
    <n v="4031"/>
    <n v="47470"/>
  </r>
  <r>
    <x v="42"/>
    <s v="ITA"/>
    <x v="8"/>
    <x v="8"/>
    <n v="4441149315"/>
    <n v="89326992"/>
    <n v="1141"/>
    <n v="162"/>
    <n v="1303"/>
    <n v="1814"/>
    <n v="3117"/>
    <n v="24"/>
    <n v="100"/>
    <n v="837"/>
    <n v="595"/>
    <n v="4549"/>
    <n v="15533"/>
  </r>
  <r>
    <x v="42"/>
    <s v="ITA"/>
    <x v="9"/>
    <x v="9"/>
    <n v="4546679409"/>
    <n v="9190347404"/>
    <n v="11914"/>
    <n v="1343"/>
    <n v="13257"/>
    <n v="15212"/>
    <n v="28469"/>
    <n v="345"/>
    <n v="1079"/>
    <n v="13863"/>
    <n v="9202"/>
    <n v="51534"/>
    <n v="154989"/>
  </r>
  <r>
    <x v="42"/>
    <s v="ITA"/>
    <x v="10"/>
    <x v="10"/>
    <n v="4361675973"/>
    <n v="135188753"/>
    <n v="1001"/>
    <n v="140"/>
    <n v="1141"/>
    <n v="2565"/>
    <n v="3706"/>
    <n v="128"/>
    <n v="150"/>
    <n v="296"/>
    <n v="612"/>
    <n v="4614"/>
    <n v="15919"/>
  </r>
  <r>
    <x v="42"/>
    <s v="ITA"/>
    <x v="11"/>
    <x v="11"/>
    <n v="4155774754"/>
    <n v="1465916051"/>
    <n v="34"/>
    <n v="5"/>
    <n v="39"/>
    <n v="148"/>
    <n v="187"/>
    <n v="0"/>
    <n v="0"/>
    <n v="24"/>
    <n v="13"/>
    <n v="224"/>
    <n v="1546"/>
  </r>
  <r>
    <x v="42"/>
    <s v="ITA"/>
    <x v="12"/>
    <x v="12"/>
    <n v="450732745"/>
    <n v="7680687483"/>
    <n v="3484"/>
    <n v="438"/>
    <n v="3922"/>
    <n v="6623"/>
    <n v="10545"/>
    <n v="368"/>
    <n v="562"/>
    <n v="1128"/>
    <n v="1251"/>
    <n v="12924"/>
    <n v="41123"/>
  </r>
  <r>
    <x v="42"/>
    <s v="ITA"/>
    <x v="13"/>
    <x v="13"/>
    <n v="4112559576"/>
    <n v="1686736689"/>
    <n v="625"/>
    <n v="97"/>
    <n v="722"/>
    <n v="1393"/>
    <n v="2115"/>
    <n v="93"/>
    <n v="127"/>
    <n v="134"/>
    <n v="195"/>
    <n v="2444"/>
    <n v="22059"/>
  </r>
  <r>
    <x v="42"/>
    <s v="ITA"/>
    <x v="14"/>
    <x v="14"/>
    <n v="3921531192"/>
    <n v="9110616306"/>
    <n v="123"/>
    <n v="26"/>
    <n v="149"/>
    <n v="670"/>
    <n v="819"/>
    <n v="4"/>
    <n v="15"/>
    <n v="56"/>
    <n v="47"/>
    <n v="922"/>
    <n v="7521"/>
  </r>
  <r>
    <x v="42"/>
    <s v="ITA"/>
    <x v="15"/>
    <x v="15"/>
    <n v="3811569725"/>
    <n v="133623567"/>
    <n v="563"/>
    <n v="74"/>
    <n v="637"/>
    <n v="1178"/>
    <n v="1815"/>
    <n v="41"/>
    <n v="52"/>
    <n v="108"/>
    <n v="123"/>
    <n v="2046"/>
    <n v="23464"/>
  </r>
  <r>
    <x v="42"/>
    <s v="ITA"/>
    <x v="16"/>
    <x v="16"/>
    <n v="4376923077"/>
    <n v="1125588885"/>
    <n v="1116"/>
    <n v="279"/>
    <n v="1395"/>
    <n v="3906"/>
    <n v="5301"/>
    <n v="116"/>
    <n v="154"/>
    <n v="350"/>
    <n v="350"/>
    <n v="6001"/>
    <n v="52849"/>
  </r>
  <r>
    <x v="42"/>
    <s v="ITA"/>
    <x v="2"/>
    <x v="17"/>
    <n v="4606893511"/>
    <n v="1112123097"/>
    <n v="354"/>
    <n v="79"/>
    <n v="433"/>
    <n v="1405"/>
    <n v="1838"/>
    <n v="43"/>
    <n v="63"/>
    <n v="280"/>
    <n v="230"/>
    <n v="2348"/>
    <n v="11130"/>
  </r>
  <r>
    <x v="42"/>
    <s v="ITA"/>
    <x v="17"/>
    <x v="18"/>
    <n v="4310675841"/>
    <n v="1238824698"/>
    <n v="159"/>
    <n v="46"/>
    <n v="205"/>
    <n v="667"/>
    <n v="872"/>
    <n v="-26"/>
    <n v="14"/>
    <n v="337"/>
    <n v="44"/>
    <n v="1253"/>
    <n v="12573"/>
  </r>
  <r>
    <x v="42"/>
    <s v="ITA"/>
    <x v="18"/>
    <x v="19"/>
    <n v="4573750286"/>
    <n v="7320149366"/>
    <n v="109"/>
    <n v="21"/>
    <n v="130"/>
    <n v="437"/>
    <n v="567"/>
    <n v="-9"/>
    <n v="23"/>
    <n v="142"/>
    <n v="96"/>
    <n v="805"/>
    <n v="2590"/>
  </r>
  <r>
    <x v="42"/>
    <s v="ITA"/>
    <x v="19"/>
    <x v="20"/>
    <n v="4543490485"/>
    <n v="1233845213"/>
    <n v="1714"/>
    <n v="322"/>
    <n v="2036"/>
    <n v="7686"/>
    <n v="9722"/>
    <n v="313"/>
    <n v="362"/>
    <n v="1204"/>
    <n v="662"/>
    <n v="11588"/>
    <n v="146288"/>
  </r>
  <r>
    <x v="43"/>
    <s v="ITA"/>
    <x v="0"/>
    <x v="0"/>
    <n v="4235122196"/>
    <n v="1339843823"/>
    <n v="337"/>
    <n v="67"/>
    <n v="404"/>
    <n v="1087"/>
    <n v="1491"/>
    <n v="66"/>
    <n v="78"/>
    <n v="136"/>
    <n v="172"/>
    <n v="1799"/>
    <n v="14904"/>
  </r>
  <r>
    <x v="43"/>
    <s v="ITA"/>
    <x v="1"/>
    <x v="1"/>
    <n v="4063947052"/>
    <n v="1580514834"/>
    <n v="47"/>
    <n v="17"/>
    <n v="64"/>
    <n v="201"/>
    <n v="265"/>
    <n v="3"/>
    <n v="4"/>
    <n v="12"/>
    <n v="14"/>
    <n v="291"/>
    <n v="3160"/>
  </r>
  <r>
    <x v="43"/>
    <s v="ITA"/>
    <x v="2"/>
    <x v="2"/>
    <n v="4649933453"/>
    <n v="1135662422"/>
    <n v="325"/>
    <n v="64"/>
    <n v="389"/>
    <n v="912"/>
    <n v="1301"/>
    <n v="41"/>
    <n v="89"/>
    <n v="336"/>
    <n v="174"/>
    <n v="1811"/>
    <n v="17761"/>
  </r>
  <r>
    <x v="43"/>
    <s v="ITA"/>
    <x v="3"/>
    <x v="3"/>
    <n v="3890597598"/>
    <n v="1659440194"/>
    <n v="169"/>
    <n v="14"/>
    <n v="183"/>
    <n v="550"/>
    <n v="733"/>
    <n v="11"/>
    <n v="16"/>
    <n v="40"/>
    <n v="60"/>
    <n v="833"/>
    <n v="14072"/>
  </r>
  <r>
    <x v="43"/>
    <s v="ITA"/>
    <x v="4"/>
    <x v="4"/>
    <n v="4083956555"/>
    <n v="1425084984"/>
    <n v="603"/>
    <n v="103"/>
    <n v="706"/>
    <n v="2059"/>
    <n v="2765"/>
    <n v="67"/>
    <n v="90"/>
    <n v="167"/>
    <n v="216"/>
    <n v="3148"/>
    <n v="25779"/>
  </r>
  <r>
    <x v="43"/>
    <s v="ITA"/>
    <x v="5"/>
    <x v="5"/>
    <n v="4449436681"/>
    <n v="113417208"/>
    <n v="3750"/>
    <n v="366"/>
    <n v="4116"/>
    <n v="8932"/>
    <n v="13048"/>
    <n v="-3"/>
    <n v="269"/>
    <n v="2597"/>
    <n v="2180"/>
    <n v="17825"/>
    <n v="75191"/>
  </r>
  <r>
    <x v="43"/>
    <s v="ITA"/>
    <x v="6"/>
    <x v="6"/>
    <n v="456494354"/>
    <n v="1376813649"/>
    <n v="185"/>
    <n v="44"/>
    <n v="229"/>
    <n v="1150"/>
    <n v="1379"/>
    <n v="-17"/>
    <n v="50"/>
    <n v="610"/>
    <n v="164"/>
    <n v="2153"/>
    <n v="23536"/>
  </r>
  <r>
    <x v="43"/>
    <s v="ITA"/>
    <x v="7"/>
    <x v="7"/>
    <n v="4189277044"/>
    <n v="1248366722"/>
    <n v="1229"/>
    <n v="192"/>
    <n v="1421"/>
    <n v="1944"/>
    <n v="3365"/>
    <n v="65"/>
    <n v="118"/>
    <n v="546"/>
    <n v="238"/>
    <n v="4149"/>
    <n v="48874"/>
  </r>
  <r>
    <x v="43"/>
    <s v="ITA"/>
    <x v="8"/>
    <x v="8"/>
    <n v="4441149315"/>
    <n v="89326992"/>
    <n v="1090"/>
    <n v="156"/>
    <n v="1246"/>
    <n v="1966"/>
    <n v="3212"/>
    <n v="95"/>
    <n v="208"/>
    <n v="925"/>
    <n v="620"/>
    <n v="4757"/>
    <n v="16579"/>
  </r>
  <r>
    <x v="43"/>
    <s v="ITA"/>
    <x v="9"/>
    <x v="9"/>
    <n v="4546679409"/>
    <n v="9190347404"/>
    <n v="11833"/>
    <n v="1305"/>
    <n v="13138"/>
    <n v="15205"/>
    <n v="28343"/>
    <n v="-126"/>
    <n v="791"/>
    <n v="14498"/>
    <n v="9484"/>
    <n v="52325"/>
    <n v="159331"/>
  </r>
  <r>
    <x v="43"/>
    <s v="ITA"/>
    <x v="10"/>
    <x v="10"/>
    <n v="4361675973"/>
    <n v="135188753"/>
    <n v="962"/>
    <n v="139"/>
    <n v="1101"/>
    <n v="2637"/>
    <n v="3738"/>
    <n v="32"/>
    <n v="96"/>
    <n v="342"/>
    <n v="630"/>
    <n v="4710"/>
    <n v="16619"/>
  </r>
  <r>
    <x v="43"/>
    <s v="ITA"/>
    <x v="11"/>
    <x v="11"/>
    <n v="4155774754"/>
    <n v="1465916051"/>
    <n v="35"/>
    <n v="5"/>
    <n v="40"/>
    <n v="145"/>
    <n v="185"/>
    <n v="-2"/>
    <n v="0"/>
    <n v="26"/>
    <n v="13"/>
    <n v="224"/>
    <n v="1581"/>
  </r>
  <r>
    <x v="43"/>
    <s v="ITA"/>
    <x v="12"/>
    <x v="12"/>
    <n v="450732745"/>
    <n v="7680687483"/>
    <n v="3553"/>
    <n v="432"/>
    <n v="3985"/>
    <n v="6719"/>
    <n v="10704"/>
    <n v="159"/>
    <n v="419"/>
    <n v="1320"/>
    <n v="1319"/>
    <n v="13343"/>
    <n v="44121"/>
  </r>
  <r>
    <x v="43"/>
    <s v="ITA"/>
    <x v="13"/>
    <x v="13"/>
    <n v="4112559576"/>
    <n v="1686736689"/>
    <n v="615"/>
    <n v="93"/>
    <n v="708"/>
    <n v="1429"/>
    <n v="2137"/>
    <n v="22"/>
    <n v="70"/>
    <n v="168"/>
    <n v="209"/>
    <n v="2514"/>
    <n v="23149"/>
  </r>
  <r>
    <x v="43"/>
    <s v="ITA"/>
    <x v="14"/>
    <x v="14"/>
    <n v="3921531192"/>
    <n v="9110616306"/>
    <n v="122"/>
    <n v="26"/>
    <n v="148"/>
    <n v="673"/>
    <n v="821"/>
    <n v="2"/>
    <n v="13"/>
    <n v="62"/>
    <n v="52"/>
    <n v="935"/>
    <n v="7680"/>
  </r>
  <r>
    <x v="43"/>
    <s v="ITA"/>
    <x v="15"/>
    <x v="15"/>
    <n v="3811569725"/>
    <n v="133623567"/>
    <n v="562"/>
    <n v="73"/>
    <n v="635"/>
    <n v="1224"/>
    <n v="1859"/>
    <n v="44"/>
    <n v="51"/>
    <n v="113"/>
    <n v="125"/>
    <n v="2097"/>
    <n v="24857"/>
  </r>
  <r>
    <x v="43"/>
    <s v="ITA"/>
    <x v="16"/>
    <x v="16"/>
    <n v="4376923077"/>
    <n v="1125588885"/>
    <n v="1087"/>
    <n v="263"/>
    <n v="1350"/>
    <n v="4077"/>
    <n v="5427"/>
    <n v="126"/>
    <n v="172"/>
    <n v="377"/>
    <n v="369"/>
    <n v="6173"/>
    <n v="56651"/>
  </r>
  <r>
    <x v="43"/>
    <s v="ITA"/>
    <x v="2"/>
    <x v="17"/>
    <n v="4606893511"/>
    <n v="1112123097"/>
    <n v="360"/>
    <n v="78"/>
    <n v="438"/>
    <n v="1452"/>
    <n v="1890"/>
    <n v="52"/>
    <n v="128"/>
    <n v="342"/>
    <n v="244"/>
    <n v="2476"/>
    <n v="12030"/>
  </r>
  <r>
    <x v="43"/>
    <s v="ITA"/>
    <x v="17"/>
    <x v="18"/>
    <n v="4310675841"/>
    <n v="1238824698"/>
    <n v="157"/>
    <n v="41"/>
    <n v="198"/>
    <n v="648"/>
    <n v="846"/>
    <n v="-26"/>
    <n v="10"/>
    <n v="368"/>
    <n v="49"/>
    <n v="1263"/>
    <n v="13274"/>
  </r>
  <r>
    <x v="43"/>
    <s v="ITA"/>
    <x v="18"/>
    <x v="19"/>
    <n v="4573750286"/>
    <n v="7320149366"/>
    <n v="118"/>
    <n v="17"/>
    <n v="135"/>
    <n v="458"/>
    <n v="593"/>
    <n v="26"/>
    <n v="30"/>
    <n v="142"/>
    <n v="100"/>
    <n v="835"/>
    <n v="2754"/>
  </r>
  <r>
    <x v="43"/>
    <s v="ITA"/>
    <x v="19"/>
    <x v="20"/>
    <n v="4543490485"/>
    <n v="1233845213"/>
    <n v="1579"/>
    <n v="297"/>
    <n v="1876"/>
    <n v="8089"/>
    <n v="9965"/>
    <n v="243"/>
    <n v="337"/>
    <n v="1265"/>
    <n v="695"/>
    <n v="11925"/>
    <n v="153542"/>
  </r>
  <r>
    <x v="44"/>
    <s v="ITA"/>
    <x v="0"/>
    <x v="0"/>
    <n v="4235122196"/>
    <n v="1339843823"/>
    <n v="331"/>
    <n v="62"/>
    <n v="393"/>
    <n v="1141"/>
    <n v="1534"/>
    <n v="43"/>
    <n v="60"/>
    <n v="146"/>
    <n v="179"/>
    <n v="1859"/>
    <n v="15846"/>
  </r>
  <r>
    <x v="44"/>
    <s v="ITA"/>
    <x v="1"/>
    <x v="1"/>
    <n v="4063947052"/>
    <n v="1580514834"/>
    <n v="48"/>
    <n v="17"/>
    <n v="65"/>
    <n v="205"/>
    <n v="270"/>
    <n v="5"/>
    <n v="6"/>
    <n v="13"/>
    <n v="14"/>
    <n v="297"/>
    <n v="3296"/>
  </r>
  <r>
    <x v="44"/>
    <s v="ITA"/>
    <x v="2"/>
    <x v="2"/>
    <n v="4649933453"/>
    <n v="1135662422"/>
    <n v="268"/>
    <n v="65"/>
    <n v="333"/>
    <n v="948"/>
    <n v="1281"/>
    <n v="-20"/>
    <n v="24"/>
    <n v="371"/>
    <n v="183"/>
    <n v="1835"/>
    <n v="18865"/>
  </r>
  <r>
    <x v="44"/>
    <s v="ITA"/>
    <x v="3"/>
    <x v="3"/>
    <n v="3890597598"/>
    <n v="1659440194"/>
    <n v="170"/>
    <n v="15"/>
    <n v="185"/>
    <n v="570"/>
    <n v="755"/>
    <n v="22"/>
    <n v="26"/>
    <n v="44"/>
    <n v="60"/>
    <n v="859"/>
    <n v="14977"/>
  </r>
  <r>
    <x v="44"/>
    <s v="ITA"/>
    <x v="4"/>
    <x v="4"/>
    <n v="4083956555"/>
    <n v="1425084984"/>
    <n v="608"/>
    <n v="97"/>
    <n v="705"/>
    <n v="2154"/>
    <n v="2859"/>
    <n v="94"/>
    <n v="120"/>
    <n v="188"/>
    <n v="221"/>
    <n v="3268"/>
    <n v="27784"/>
  </r>
  <r>
    <x v="44"/>
    <s v="ITA"/>
    <x v="5"/>
    <x v="5"/>
    <n v="4449436681"/>
    <n v="113417208"/>
    <n v="3769"/>
    <n v="361"/>
    <n v="4130"/>
    <n v="8980"/>
    <n v="13110"/>
    <n v="62"/>
    <n v="409"/>
    <n v="2890"/>
    <n v="2234"/>
    <n v="18234"/>
    <n v="78367"/>
  </r>
  <r>
    <x v="44"/>
    <s v="ITA"/>
    <x v="6"/>
    <x v="6"/>
    <n v="456494354"/>
    <n v="1376813649"/>
    <n v="162"/>
    <n v="41"/>
    <n v="203"/>
    <n v="1212"/>
    <n v="1415"/>
    <n v="36"/>
    <n v="65"/>
    <n v="634"/>
    <n v="169"/>
    <n v="2218"/>
    <n v="24798"/>
  </r>
  <r>
    <x v="44"/>
    <s v="ITA"/>
    <x v="7"/>
    <x v="7"/>
    <n v="4189277044"/>
    <n v="1248366722"/>
    <n v="1241"/>
    <n v="196"/>
    <n v="1437"/>
    <n v="2011"/>
    <n v="3448"/>
    <n v="83"/>
    <n v="117"/>
    <n v="574"/>
    <n v="244"/>
    <n v="4266"/>
    <n v="55113"/>
  </r>
  <r>
    <x v="44"/>
    <s v="ITA"/>
    <x v="8"/>
    <x v="8"/>
    <n v="4441149315"/>
    <n v="89326992"/>
    <n v="1109"/>
    <n v="153"/>
    <n v="1262"/>
    <n v="1983"/>
    <n v="3245"/>
    <n v="33"/>
    <n v="149"/>
    <n v="1007"/>
    <n v="654"/>
    <n v="4906"/>
    <n v="17521"/>
  </r>
  <r>
    <x v="44"/>
    <s v="ITA"/>
    <x v="9"/>
    <x v="9"/>
    <n v="4546679409"/>
    <n v="9190347404"/>
    <n v="11719"/>
    <n v="1257"/>
    <n v="12976"/>
    <n v="15569"/>
    <n v="28545"/>
    <n v="202"/>
    <n v="1089"/>
    <n v="15147"/>
    <n v="9722"/>
    <n v="53414"/>
    <n v="167557"/>
  </r>
  <r>
    <x v="44"/>
    <s v="ITA"/>
    <x v="10"/>
    <x v="10"/>
    <n v="4361675973"/>
    <n v="135188753"/>
    <n v="974"/>
    <n v="133"/>
    <n v="1107"/>
    <n v="2455"/>
    <n v="3562"/>
    <n v="-176"/>
    <n v="149"/>
    <n v="645"/>
    <n v="652"/>
    <n v="4859"/>
    <n v="17532"/>
  </r>
  <r>
    <x v="44"/>
    <s v="ITA"/>
    <x v="11"/>
    <x v="11"/>
    <n v="4155774754"/>
    <n v="1465916051"/>
    <n v="30"/>
    <n v="4"/>
    <n v="34"/>
    <n v="147"/>
    <n v="181"/>
    <n v="-4"/>
    <n v="2"/>
    <n v="32"/>
    <n v="13"/>
    <n v="226"/>
    <n v="2002"/>
  </r>
  <r>
    <x v="44"/>
    <s v="ITA"/>
    <x v="12"/>
    <x v="12"/>
    <n v="450732745"/>
    <n v="7680687483"/>
    <n v="3493"/>
    <n v="423"/>
    <n v="3916"/>
    <n v="7073"/>
    <n v="10989"/>
    <n v="285"/>
    <n v="540"/>
    <n v="1516"/>
    <n v="1378"/>
    <n v="13883"/>
    <n v="48495"/>
  </r>
  <r>
    <x v="44"/>
    <s v="ITA"/>
    <x v="13"/>
    <x v="13"/>
    <n v="4112559576"/>
    <n v="1686736689"/>
    <n v="639"/>
    <n v="90"/>
    <n v="729"/>
    <n v="1509"/>
    <n v="2238"/>
    <n v="101"/>
    <n v="120"/>
    <n v="177"/>
    <n v="219"/>
    <n v="2634"/>
    <n v="24493"/>
  </r>
  <r>
    <x v="44"/>
    <s v="ITA"/>
    <x v="14"/>
    <x v="14"/>
    <n v="3921531192"/>
    <n v="9110616306"/>
    <n v="112"/>
    <n v="31"/>
    <n v="143"/>
    <n v="697"/>
    <n v="840"/>
    <n v="19"/>
    <n v="40"/>
    <n v="76"/>
    <n v="59"/>
    <n v="975"/>
    <n v="8493"/>
  </r>
  <r>
    <x v="44"/>
    <s v="ITA"/>
    <x v="15"/>
    <x v="15"/>
    <n v="3811569725"/>
    <n v="133623567"/>
    <n v="563"/>
    <n v="65"/>
    <n v="628"/>
    <n v="1265"/>
    <n v="1893"/>
    <n v="34"/>
    <n v="62"/>
    <n v="133"/>
    <n v="133"/>
    <n v="2159"/>
    <n v="27438"/>
  </r>
  <r>
    <x v="44"/>
    <s v="ITA"/>
    <x v="16"/>
    <x v="16"/>
    <n v="4376923077"/>
    <n v="1125588885"/>
    <n v="1066"/>
    <n v="260"/>
    <n v="1326"/>
    <n v="4231"/>
    <n v="5557"/>
    <n v="130"/>
    <n v="206"/>
    <n v="430"/>
    <n v="392"/>
    <n v="6379"/>
    <n v="60985"/>
  </r>
  <r>
    <x v="44"/>
    <s v="ITA"/>
    <x v="2"/>
    <x v="17"/>
    <n v="4606893511"/>
    <n v="1112123097"/>
    <n v="354"/>
    <n v="77"/>
    <n v="431"/>
    <n v="1509"/>
    <n v="1940"/>
    <n v="50"/>
    <n v="126"/>
    <n v="407"/>
    <n v="255"/>
    <n v="2602"/>
    <n v="13258"/>
  </r>
  <r>
    <x v="44"/>
    <s v="ITA"/>
    <x v="17"/>
    <x v="18"/>
    <n v="4310675841"/>
    <n v="1238824698"/>
    <n v="155"/>
    <n v="41"/>
    <n v="196"/>
    <n v="627"/>
    <n v="823"/>
    <n v="-23"/>
    <n v="26"/>
    <n v="416"/>
    <n v="50"/>
    <n v="1289"/>
    <n v="14105"/>
  </r>
  <r>
    <x v="44"/>
    <s v="ITA"/>
    <x v="18"/>
    <x v="19"/>
    <n v="4573750286"/>
    <n v="7320149366"/>
    <n v="120"/>
    <n v="20"/>
    <n v="140"/>
    <n v="466"/>
    <n v="606"/>
    <n v="13"/>
    <n v="15"/>
    <n v="142"/>
    <n v="102"/>
    <n v="850"/>
    <n v="2953"/>
  </r>
  <r>
    <x v="44"/>
    <s v="ITA"/>
    <x v="19"/>
    <x v="20"/>
    <n v="4543490485"/>
    <n v="1233845213"/>
    <n v="1554"/>
    <n v="285"/>
    <n v="1839"/>
    <n v="8332"/>
    <n v="10171"/>
    <n v="206"/>
    <n v="485"/>
    <n v="1503"/>
    <n v="736"/>
    <n v="12410"/>
    <n v="163247"/>
  </r>
  <r>
    <x v="45"/>
    <s v="ITA"/>
    <x v="0"/>
    <x v="0"/>
    <n v="4235122196"/>
    <n v="1339843823"/>
    <n v="306"/>
    <n v="57"/>
    <n v="363"/>
    <n v="1203"/>
    <n v="1566"/>
    <n v="32"/>
    <n v="72"/>
    <n v="171"/>
    <n v="194"/>
    <n v="1931"/>
    <n v="16847"/>
  </r>
  <r>
    <x v="45"/>
    <s v="ITA"/>
    <x v="1"/>
    <x v="1"/>
    <n v="4063947052"/>
    <n v="1580514834"/>
    <n v="50"/>
    <n v="17"/>
    <n v="67"/>
    <n v="208"/>
    <n v="275"/>
    <n v="5"/>
    <n v="6"/>
    <n v="13"/>
    <n v="15"/>
    <n v="303"/>
    <n v="3474"/>
  </r>
  <r>
    <x v="45"/>
    <s v="ITA"/>
    <x v="2"/>
    <x v="2"/>
    <n v="4649933453"/>
    <n v="1135662422"/>
    <n v="263"/>
    <n v="64"/>
    <n v="327"/>
    <n v="988"/>
    <n v="1315"/>
    <n v="34"/>
    <n v="68"/>
    <n v="401"/>
    <n v="187"/>
    <n v="1903"/>
    <n v="19875"/>
  </r>
  <r>
    <x v="45"/>
    <s v="ITA"/>
    <x v="3"/>
    <x v="3"/>
    <n v="3890597598"/>
    <n v="1659440194"/>
    <n v="168"/>
    <n v="15"/>
    <n v="183"/>
    <n v="582"/>
    <n v="765"/>
    <n v="10"/>
    <n v="15"/>
    <n v="48"/>
    <n v="61"/>
    <n v="874"/>
    <n v="15698"/>
  </r>
  <r>
    <x v="45"/>
    <s v="ITA"/>
    <x v="4"/>
    <x v="4"/>
    <n v="4083956555"/>
    <n v="1425084984"/>
    <n v="604"/>
    <n v="94"/>
    <n v="698"/>
    <n v="2175"/>
    <n v="2873"/>
    <n v="14"/>
    <n v="76"/>
    <n v="244"/>
    <n v="227"/>
    <n v="3344"/>
    <n v="29664"/>
  </r>
  <r>
    <x v="45"/>
    <s v="ITA"/>
    <x v="5"/>
    <x v="5"/>
    <n v="4449436681"/>
    <n v="113417208"/>
    <n v="3722"/>
    <n v="355"/>
    <n v="4077"/>
    <n v="9181"/>
    <n v="13258"/>
    <n v="148"/>
    <n v="443"/>
    <n v="3103"/>
    <n v="2316"/>
    <n v="18677"/>
    <n v="81715"/>
  </r>
  <r>
    <x v="45"/>
    <s v="ITA"/>
    <x v="6"/>
    <x v="6"/>
    <n v="456494354"/>
    <n v="1376813649"/>
    <n v="167"/>
    <n v="37"/>
    <n v="204"/>
    <n v="1186"/>
    <n v="1390"/>
    <n v="-25"/>
    <n v="81"/>
    <n v="738"/>
    <n v="171"/>
    <n v="2299"/>
    <n v="26205"/>
  </r>
  <r>
    <x v="45"/>
    <s v="ITA"/>
    <x v="7"/>
    <x v="7"/>
    <n v="4189277044"/>
    <n v="1248366722"/>
    <n v="1244"/>
    <n v="198"/>
    <n v="1442"/>
    <n v="2090"/>
    <n v="3532"/>
    <n v="84"/>
    <n v="163"/>
    <n v="644"/>
    <n v="253"/>
    <n v="4429"/>
    <n v="58107"/>
  </r>
  <r>
    <x v="45"/>
    <s v="ITA"/>
    <x v="8"/>
    <x v="8"/>
    <n v="4441149315"/>
    <n v="89326992"/>
    <n v="1103"/>
    <n v="154"/>
    <n v="1257"/>
    <n v="1996"/>
    <n v="3253"/>
    <n v="8"/>
    <n v="114"/>
    <n v="1085"/>
    <n v="682"/>
    <n v="5020"/>
    <n v="18446"/>
  </r>
  <r>
    <x v="45"/>
    <s v="ITA"/>
    <x v="9"/>
    <x v="9"/>
    <n v="4546679409"/>
    <n v="9190347404"/>
    <n v="11796"/>
    <n v="1236"/>
    <n v="13032"/>
    <n v="16042"/>
    <n v="29074"/>
    <n v="529"/>
    <n v="1388"/>
    <n v="15706"/>
    <n v="10022"/>
    <n v="54802"/>
    <n v="176953"/>
  </r>
  <r>
    <x v="45"/>
    <s v="ITA"/>
    <x v="10"/>
    <x v="10"/>
    <n v="4361675973"/>
    <n v="135188753"/>
    <n v="945"/>
    <n v="133"/>
    <n v="1078"/>
    <n v="2323"/>
    <n v="3401"/>
    <n v="-161"/>
    <n v="96"/>
    <n v="885"/>
    <n v="669"/>
    <n v="4955"/>
    <n v="18194"/>
  </r>
  <r>
    <x v="45"/>
    <s v="ITA"/>
    <x v="11"/>
    <x v="11"/>
    <n v="4155774754"/>
    <n v="1465916051"/>
    <n v="30"/>
    <n v="4"/>
    <n v="34"/>
    <n v="155"/>
    <n v="189"/>
    <n v="8"/>
    <n v="8"/>
    <n v="32"/>
    <n v="13"/>
    <n v="234"/>
    <n v="2069"/>
  </r>
  <r>
    <x v="45"/>
    <s v="ITA"/>
    <x v="12"/>
    <x v="12"/>
    <n v="450732745"/>
    <n v="7680687483"/>
    <n v="3514"/>
    <n v="412"/>
    <n v="3926"/>
    <n v="7410"/>
    <n v="11336"/>
    <n v="347"/>
    <n v="639"/>
    <n v="1732"/>
    <n v="1454"/>
    <n v="14522"/>
    <n v="52807"/>
  </r>
  <r>
    <x v="45"/>
    <s v="ITA"/>
    <x v="13"/>
    <x v="13"/>
    <n v="4112559576"/>
    <n v="1686736689"/>
    <n v="630"/>
    <n v="86"/>
    <n v="716"/>
    <n v="1585"/>
    <n v="2301"/>
    <n v="63"/>
    <n v="82"/>
    <n v="190"/>
    <n v="225"/>
    <n v="2716"/>
    <n v="26088"/>
  </r>
  <r>
    <x v="45"/>
    <s v="ITA"/>
    <x v="14"/>
    <x v="14"/>
    <n v="3921531192"/>
    <n v="9110616306"/>
    <n v="106"/>
    <n v="25"/>
    <n v="131"/>
    <n v="745"/>
    <n v="876"/>
    <n v="36"/>
    <n v="51"/>
    <n v="86"/>
    <n v="64"/>
    <n v="1026"/>
    <n v="8918"/>
  </r>
  <r>
    <x v="45"/>
    <s v="ITA"/>
    <x v="15"/>
    <x v="15"/>
    <n v="3811569725"/>
    <n v="133623567"/>
    <n v="566"/>
    <n v="63"/>
    <n v="629"/>
    <n v="1313"/>
    <n v="1942"/>
    <n v="49"/>
    <n v="73"/>
    <n v="152"/>
    <n v="138"/>
    <n v="2232"/>
    <n v="28742"/>
  </r>
  <r>
    <x v="45"/>
    <s v="ITA"/>
    <x v="16"/>
    <x v="16"/>
    <n v="4376923077"/>
    <n v="1125588885"/>
    <n v="1038"/>
    <n v="256"/>
    <n v="1294"/>
    <n v="4409"/>
    <n v="5703"/>
    <n v="146"/>
    <n v="173"/>
    <n v="441"/>
    <n v="408"/>
    <n v="6552"/>
    <n v="65461"/>
  </r>
  <r>
    <x v="45"/>
    <s v="ITA"/>
    <x v="2"/>
    <x v="17"/>
    <n v="4606893511"/>
    <n v="1112123097"/>
    <n v="345"/>
    <n v="69"/>
    <n v="414"/>
    <n v="1564"/>
    <n v="1978"/>
    <n v="38"/>
    <n v="106"/>
    <n v="462"/>
    <n v="268"/>
    <n v="2708"/>
    <n v="14338"/>
  </r>
  <r>
    <x v="45"/>
    <s v="ITA"/>
    <x v="17"/>
    <x v="18"/>
    <n v="4310675841"/>
    <n v="1238824698"/>
    <n v="154"/>
    <n v="38"/>
    <n v="192"/>
    <n v="600"/>
    <n v="792"/>
    <n v="-31"/>
    <n v="9"/>
    <n v="455"/>
    <n v="51"/>
    <n v="1298"/>
    <n v="15170"/>
  </r>
  <r>
    <x v="45"/>
    <s v="ITA"/>
    <x v="18"/>
    <x v="19"/>
    <n v="4573750286"/>
    <n v="7320149366"/>
    <n v="118"/>
    <n v="18"/>
    <n v="136"/>
    <n v="473"/>
    <n v="609"/>
    <n v="3"/>
    <n v="18"/>
    <n v="154"/>
    <n v="105"/>
    <n v="868"/>
    <n v="3142"/>
  </r>
  <r>
    <x v="45"/>
    <s v="ITA"/>
    <x v="19"/>
    <x v="20"/>
    <n v="4543490485"/>
    <n v="1233845213"/>
    <n v="1530"/>
    <n v="274"/>
    <n v="1804"/>
    <n v="8645"/>
    <n v="10449"/>
    <n v="278"/>
    <n v="523"/>
    <n v="1728"/>
    <n v="756"/>
    <n v="12933"/>
    <n v="171456"/>
  </r>
  <r>
    <x v="46"/>
    <s v="ITA"/>
    <x v="0"/>
    <x v="0"/>
    <n v="4235122196"/>
    <n v="1339843823"/>
    <n v="305"/>
    <n v="53"/>
    <n v="358"/>
    <n v="1277"/>
    <n v="1635"/>
    <n v="69"/>
    <n v="83"/>
    <n v="181"/>
    <n v="198"/>
    <n v="2014"/>
    <n v="18088"/>
  </r>
  <r>
    <x v="46"/>
    <s v="ITA"/>
    <x v="1"/>
    <x v="1"/>
    <n v="4063947052"/>
    <n v="1580514834"/>
    <n v="59"/>
    <n v="15"/>
    <n v="74"/>
    <n v="205"/>
    <n v="279"/>
    <n v="4"/>
    <n v="5"/>
    <n v="14"/>
    <n v="15"/>
    <n v="308"/>
    <n v="3696"/>
  </r>
  <r>
    <x v="46"/>
    <s v="ITA"/>
    <x v="2"/>
    <x v="2"/>
    <n v="4649933453"/>
    <n v="1135662422"/>
    <n v="258"/>
    <n v="58"/>
    <n v="316"/>
    <n v="1001"/>
    <n v="1317"/>
    <n v="2"/>
    <n v="52"/>
    <n v="447"/>
    <n v="191"/>
    <n v="1955"/>
    <n v="20866"/>
  </r>
  <r>
    <x v="46"/>
    <s v="ITA"/>
    <x v="3"/>
    <x v="3"/>
    <n v="3890597598"/>
    <n v="1659440194"/>
    <n v="168"/>
    <n v="14"/>
    <n v="182"/>
    <n v="604"/>
    <n v="786"/>
    <n v="21"/>
    <n v="27"/>
    <n v="50"/>
    <n v="65"/>
    <n v="901"/>
    <n v="16637"/>
  </r>
  <r>
    <x v="46"/>
    <s v="ITA"/>
    <x v="4"/>
    <x v="4"/>
    <n v="4083956555"/>
    <n v="1425084984"/>
    <n v="600"/>
    <n v="90"/>
    <n v="690"/>
    <n v="2273"/>
    <n v="2963"/>
    <n v="90"/>
    <n v="98"/>
    <n v="248"/>
    <n v="231"/>
    <n v="3442"/>
    <n v="31745"/>
  </r>
  <r>
    <x v="46"/>
    <s v="ITA"/>
    <x v="5"/>
    <x v="5"/>
    <n v="4449436681"/>
    <n v="113417208"/>
    <n v="3596"/>
    <n v="349"/>
    <n v="3945"/>
    <n v="9405"/>
    <n v="13350"/>
    <n v="92"/>
    <n v="451"/>
    <n v="3381"/>
    <n v="2397"/>
    <n v="19128"/>
    <n v="85884"/>
  </r>
  <r>
    <x v="46"/>
    <s v="ITA"/>
    <x v="6"/>
    <x v="6"/>
    <n v="456494354"/>
    <n v="1376813649"/>
    <n v="167"/>
    <n v="33"/>
    <n v="200"/>
    <n v="1198"/>
    <n v="1398"/>
    <n v="8"/>
    <n v="50"/>
    <n v="772"/>
    <n v="179"/>
    <n v="2349"/>
    <n v="28097"/>
  </r>
  <r>
    <x v="46"/>
    <s v="ITA"/>
    <x v="7"/>
    <x v="7"/>
    <n v="4189277044"/>
    <n v="1248366722"/>
    <n v="1236"/>
    <n v="201"/>
    <n v="1437"/>
    <n v="2196"/>
    <n v="3633"/>
    <n v="101"/>
    <n v="154"/>
    <n v="687"/>
    <n v="263"/>
    <n v="4583"/>
    <n v="61769"/>
  </r>
  <r>
    <x v="46"/>
    <s v="ITA"/>
    <x v="8"/>
    <x v="8"/>
    <n v="4441149315"/>
    <n v="89326992"/>
    <n v="1076"/>
    <n v="151"/>
    <n v="1227"/>
    <n v="2074"/>
    <n v="3301"/>
    <n v="48"/>
    <n v="171"/>
    <n v="1181"/>
    <n v="709"/>
    <n v="5191"/>
    <n v="19514"/>
  </r>
  <r>
    <x v="46"/>
    <s v="ITA"/>
    <x v="9"/>
    <x v="9"/>
    <n v="4546679409"/>
    <n v="9190347404"/>
    <n v="11877"/>
    <n v="1202"/>
    <n v="13079"/>
    <n v="16451"/>
    <n v="29530"/>
    <n v="456"/>
    <n v="1246"/>
    <n v="16280"/>
    <n v="10238"/>
    <n v="56048"/>
    <n v="186325"/>
  </r>
  <r>
    <x v="46"/>
    <s v="ITA"/>
    <x v="10"/>
    <x v="10"/>
    <n v="4361675973"/>
    <n v="135188753"/>
    <n v="925"/>
    <n v="127"/>
    <n v="1052"/>
    <n v="2264"/>
    <n v="3316"/>
    <n v="-85"/>
    <n v="129"/>
    <n v="1086"/>
    <n v="682"/>
    <n v="5084"/>
    <n v="18970"/>
  </r>
  <r>
    <x v="46"/>
    <s v="ITA"/>
    <x v="11"/>
    <x v="11"/>
    <n v="4155774754"/>
    <n v="1465916051"/>
    <n v="28"/>
    <n v="4"/>
    <n v="32"/>
    <n v="161"/>
    <n v="193"/>
    <n v="4"/>
    <n v="9"/>
    <n v="37"/>
    <n v="13"/>
    <n v="243"/>
    <n v="2069"/>
  </r>
  <r>
    <x v="46"/>
    <s v="ITA"/>
    <x v="12"/>
    <x v="12"/>
    <n v="450732745"/>
    <n v="7680687483"/>
    <n v="3497"/>
    <n v="394"/>
    <n v="3891"/>
    <n v="7685"/>
    <n v="11576"/>
    <n v="240"/>
    <n v="490"/>
    <n v="1904"/>
    <n v="1532"/>
    <n v="15012"/>
    <n v="57457"/>
  </r>
  <r>
    <x v="46"/>
    <s v="ITA"/>
    <x v="13"/>
    <x v="13"/>
    <n v="4112559576"/>
    <n v="1686736689"/>
    <n v="631"/>
    <n v="80"/>
    <n v="711"/>
    <n v="1625"/>
    <n v="2336"/>
    <n v="35"/>
    <n v="93"/>
    <n v="235"/>
    <n v="238"/>
    <n v="2809"/>
    <n v="27812"/>
  </r>
  <r>
    <x v="46"/>
    <s v="ITA"/>
    <x v="14"/>
    <x v="14"/>
    <n v="3921531192"/>
    <n v="9110616306"/>
    <n v="107"/>
    <n v="26"/>
    <n v="133"/>
    <n v="743"/>
    <n v="876"/>
    <n v="0"/>
    <n v="37"/>
    <n v="118"/>
    <n v="69"/>
    <n v="1063"/>
    <n v="9444"/>
  </r>
  <r>
    <x v="46"/>
    <s v="ITA"/>
    <x v="15"/>
    <x v="15"/>
    <n v="3811569725"/>
    <n v="133623567"/>
    <n v="568"/>
    <n v="62"/>
    <n v="630"/>
    <n v="1337"/>
    <n v="1967"/>
    <n v="25"/>
    <n v="70"/>
    <n v="187"/>
    <n v="148"/>
    <n v="2302"/>
    <n v="31156"/>
  </r>
  <r>
    <x v="46"/>
    <s v="ITA"/>
    <x v="16"/>
    <x v="16"/>
    <n v="4376923077"/>
    <n v="1125588885"/>
    <n v="1011"/>
    <n v="256"/>
    <n v="1267"/>
    <n v="4555"/>
    <n v="5822"/>
    <n v="119"/>
    <n v="175"/>
    <n v="451"/>
    <n v="454"/>
    <n v="6727"/>
    <n v="72001"/>
  </r>
  <r>
    <x v="46"/>
    <s v="ITA"/>
    <x v="2"/>
    <x v="17"/>
    <n v="4606893511"/>
    <n v="1112123097"/>
    <n v="335"/>
    <n v="70"/>
    <n v="405"/>
    <n v="1589"/>
    <n v="1994"/>
    <n v="16"/>
    <n v="108"/>
    <n v="547"/>
    <n v="275"/>
    <n v="2816"/>
    <n v="14981"/>
  </r>
  <r>
    <x v="46"/>
    <s v="ITA"/>
    <x v="17"/>
    <x v="18"/>
    <n v="4310675841"/>
    <n v="1238824698"/>
    <n v="146"/>
    <n v="39"/>
    <n v="185"/>
    <n v="567"/>
    <n v="752"/>
    <n v="-40"/>
    <n v="4"/>
    <n v="498"/>
    <n v="52"/>
    <n v="1302"/>
    <n v="16325"/>
  </r>
  <r>
    <x v="46"/>
    <s v="ITA"/>
    <x v="18"/>
    <x v="19"/>
    <n v="4573750286"/>
    <n v="7320149366"/>
    <n v="131"/>
    <n v="16"/>
    <n v="147"/>
    <n v="455"/>
    <n v="602"/>
    <n v="-7"/>
    <n v="11"/>
    <n v="170"/>
    <n v="107"/>
    <n v="879"/>
    <n v="3328"/>
  </r>
  <r>
    <x v="46"/>
    <s v="ITA"/>
    <x v="19"/>
    <x v="20"/>
    <n v="4543490485"/>
    <n v="1233845213"/>
    <n v="1521"/>
    <n v="257"/>
    <n v="1778"/>
    <n v="8869"/>
    <n v="10647"/>
    <n v="198"/>
    <n v="488"/>
    <n v="1981"/>
    <n v="793"/>
    <n v="13421"/>
    <n v="180700"/>
  </r>
  <r>
    <x v="47"/>
    <s v="ITA"/>
    <x v="0"/>
    <x v="0"/>
    <n v="4235122196"/>
    <n v="1339843823"/>
    <n v="315"/>
    <n v="54"/>
    <n v="369"/>
    <n v="1355"/>
    <n v="1724"/>
    <n v="89"/>
    <n v="106"/>
    <n v="190"/>
    <n v="206"/>
    <n v="2120"/>
    <n v="19441"/>
  </r>
  <r>
    <x v="47"/>
    <s v="ITA"/>
    <x v="1"/>
    <x v="1"/>
    <n v="4063947052"/>
    <n v="1580514834"/>
    <n v="60"/>
    <n v="12"/>
    <n v="72"/>
    <n v="209"/>
    <n v="281"/>
    <n v="2"/>
    <n v="4"/>
    <n v="14"/>
    <n v="17"/>
    <n v="312"/>
    <n v="4050"/>
  </r>
  <r>
    <x v="47"/>
    <s v="ITA"/>
    <x v="2"/>
    <x v="2"/>
    <n v="4649933453"/>
    <n v="1135662422"/>
    <n v="246"/>
    <n v="56"/>
    <n v="302"/>
    <n v="967"/>
    <n v="1269"/>
    <n v="-48"/>
    <n v="2"/>
    <n v="488"/>
    <n v="200"/>
    <n v="1957"/>
    <n v="22186"/>
  </r>
  <r>
    <x v="47"/>
    <s v="ITA"/>
    <x v="3"/>
    <x v="3"/>
    <n v="3890597598"/>
    <n v="1659440194"/>
    <n v="169"/>
    <n v="15"/>
    <n v="184"/>
    <n v="608"/>
    <n v="792"/>
    <n v="6"/>
    <n v="14"/>
    <n v="57"/>
    <n v="66"/>
    <n v="915"/>
    <n v="17493"/>
  </r>
  <r>
    <x v="47"/>
    <s v="ITA"/>
    <x v="4"/>
    <x v="4"/>
    <n v="4083956555"/>
    <n v="1425084984"/>
    <n v="582"/>
    <n v="85"/>
    <n v="667"/>
    <n v="2335"/>
    <n v="3002"/>
    <n v="39"/>
    <n v="75"/>
    <n v="277"/>
    <n v="238"/>
    <n v="3517"/>
    <n v="33781"/>
  </r>
  <r>
    <x v="47"/>
    <s v="ITA"/>
    <x v="5"/>
    <x v="5"/>
    <n v="4449436681"/>
    <n v="113417208"/>
    <n v="3530"/>
    <n v="341"/>
    <n v="3871"/>
    <n v="9624"/>
    <n v="13495"/>
    <n v="145"/>
    <n v="507"/>
    <n v="3659"/>
    <n v="2481"/>
    <n v="19635"/>
    <n v="91759"/>
  </r>
  <r>
    <x v="47"/>
    <s v="ITA"/>
    <x v="6"/>
    <x v="6"/>
    <n v="456494354"/>
    <n v="1376813649"/>
    <n v="172"/>
    <n v="28"/>
    <n v="200"/>
    <n v="1182"/>
    <n v="1382"/>
    <n v="-16"/>
    <n v="44"/>
    <n v="826"/>
    <n v="185"/>
    <n v="2393"/>
    <n v="29685"/>
  </r>
  <r>
    <x v="47"/>
    <s v="ITA"/>
    <x v="7"/>
    <x v="7"/>
    <n v="4189277044"/>
    <n v="1248366722"/>
    <n v="1264"/>
    <n v="203"/>
    <n v="1467"/>
    <n v="2263"/>
    <n v="3730"/>
    <n v="97"/>
    <n v="140"/>
    <n v="720"/>
    <n v="273"/>
    <n v="4723"/>
    <n v="65241"/>
  </r>
  <r>
    <x v="47"/>
    <s v="ITA"/>
    <x v="8"/>
    <x v="8"/>
    <n v="4441149315"/>
    <n v="89326992"/>
    <n v="1003"/>
    <n v="146"/>
    <n v="1149"/>
    <n v="2184"/>
    <n v="3333"/>
    <n v="32"/>
    <n v="185"/>
    <n v="1309"/>
    <n v="734"/>
    <n v="5376"/>
    <n v="20888"/>
  </r>
  <r>
    <x v="47"/>
    <s v="ITA"/>
    <x v="9"/>
    <x v="9"/>
    <n v="4546679409"/>
    <n v="9190347404"/>
    <n v="12026"/>
    <n v="1174"/>
    <n v="13200"/>
    <n v="17058"/>
    <n v="30258"/>
    <n v="728"/>
    <n v="1544"/>
    <n v="16823"/>
    <n v="10511"/>
    <n v="57592"/>
    <n v="196302"/>
  </r>
  <r>
    <x v="47"/>
    <s v="ITA"/>
    <x v="10"/>
    <x v="10"/>
    <n v="4361675973"/>
    <n v="135188753"/>
    <n v="960"/>
    <n v="118"/>
    <n v="1078"/>
    <n v="2153"/>
    <n v="3231"/>
    <n v="-85"/>
    <n v="127"/>
    <n v="1291"/>
    <n v="689"/>
    <n v="5211"/>
    <n v="20060"/>
  </r>
  <r>
    <x v="47"/>
    <s v="ITA"/>
    <x v="11"/>
    <x v="11"/>
    <n v="4155774754"/>
    <n v="1465916051"/>
    <n v="28"/>
    <n v="4"/>
    <n v="32"/>
    <n v="161"/>
    <n v="193"/>
    <n v="0"/>
    <n v="3"/>
    <n v="39"/>
    <n v="14"/>
    <n v="246"/>
    <n v="2201"/>
  </r>
  <r>
    <x v="47"/>
    <s v="ITA"/>
    <x v="12"/>
    <x v="12"/>
    <n v="450732745"/>
    <n v="7680687483"/>
    <n v="3435"/>
    <n v="384"/>
    <n v="3819"/>
    <n v="8351"/>
    <n v="12170"/>
    <n v="594"/>
    <n v="996"/>
    <n v="2205"/>
    <n v="1633"/>
    <n v="16008"/>
    <n v="62577"/>
  </r>
  <r>
    <x v="47"/>
    <s v="ITA"/>
    <x v="13"/>
    <x v="13"/>
    <n v="4112559576"/>
    <n v="1686736689"/>
    <n v="627"/>
    <n v="73"/>
    <n v="700"/>
    <n v="1702"/>
    <n v="2402"/>
    <n v="66"/>
    <n v="95"/>
    <n v="249"/>
    <n v="253"/>
    <n v="2904"/>
    <n v="29463"/>
  </r>
  <r>
    <x v="47"/>
    <s v="ITA"/>
    <x v="14"/>
    <x v="14"/>
    <n v="3921531192"/>
    <n v="9110616306"/>
    <n v="113"/>
    <n v="24"/>
    <n v="137"/>
    <n v="751"/>
    <n v="888"/>
    <n v="12"/>
    <n v="28"/>
    <n v="130"/>
    <n v="73"/>
    <n v="1091"/>
    <n v="10120"/>
  </r>
  <r>
    <x v="47"/>
    <s v="ITA"/>
    <x v="15"/>
    <x v="15"/>
    <n v="3811569725"/>
    <n v="133623567"/>
    <n v="562"/>
    <n v="58"/>
    <n v="620"/>
    <n v="1381"/>
    <n v="2001"/>
    <n v="34"/>
    <n v="62"/>
    <n v="209"/>
    <n v="154"/>
    <n v="2364"/>
    <n v="33787"/>
  </r>
  <r>
    <x v="47"/>
    <s v="ITA"/>
    <x v="16"/>
    <x v="16"/>
    <n v="4376923077"/>
    <n v="1125588885"/>
    <n v="997"/>
    <n v="237"/>
    <n v="1234"/>
    <n v="4758"/>
    <n v="5992"/>
    <n v="170"/>
    <n v="231"/>
    <n v="499"/>
    <n v="467"/>
    <n v="6958"/>
    <n v="75756"/>
  </r>
  <r>
    <x v="47"/>
    <s v="ITA"/>
    <x v="2"/>
    <x v="17"/>
    <n v="4606893511"/>
    <n v="1112123097"/>
    <n v="335"/>
    <n v="62"/>
    <n v="397"/>
    <n v="1667"/>
    <n v="2064"/>
    <n v="70"/>
    <n v="154"/>
    <n v="622"/>
    <n v="284"/>
    <n v="2970"/>
    <n v="16646"/>
  </r>
  <r>
    <x v="47"/>
    <s v="ITA"/>
    <x v="17"/>
    <x v="18"/>
    <n v="4310675841"/>
    <n v="1238824698"/>
    <n v="137"/>
    <n v="39"/>
    <n v="176"/>
    <n v="547"/>
    <n v="723"/>
    <n v="-29"/>
    <n v="7"/>
    <n v="534"/>
    <n v="52"/>
    <n v="1309"/>
    <n v="17661"/>
  </r>
  <r>
    <x v="47"/>
    <s v="ITA"/>
    <x v="18"/>
    <x v="19"/>
    <n v="4573750286"/>
    <n v="7320149366"/>
    <n v="118"/>
    <n v="17"/>
    <n v="135"/>
    <n v="455"/>
    <n v="590"/>
    <n v="-12"/>
    <n v="23"/>
    <n v="205"/>
    <n v="107"/>
    <n v="902"/>
    <n v="3464"/>
  </r>
  <r>
    <x v="47"/>
    <s v="ITA"/>
    <x v="19"/>
    <x v="20"/>
    <n v="4543490485"/>
    <n v="1233845213"/>
    <n v="1465"/>
    <n v="251"/>
    <n v="1716"/>
    <n v="9033"/>
    <n v="10749"/>
    <n v="102"/>
    <n v="347"/>
    <n v="2188"/>
    <n v="831"/>
    <n v="13768"/>
    <n v="190912"/>
  </r>
  <r>
    <x v="48"/>
    <s v="ITA"/>
    <x v="0"/>
    <x v="0"/>
    <n v="4235122196"/>
    <n v="1339843823"/>
    <n v="346"/>
    <n v="54"/>
    <n v="400"/>
    <n v="1342"/>
    <n v="1742"/>
    <n v="18"/>
    <n v="40"/>
    <n v="206"/>
    <n v="212"/>
    <n v="2160"/>
    <n v="20594"/>
  </r>
  <r>
    <x v="48"/>
    <s v="ITA"/>
    <x v="1"/>
    <x v="1"/>
    <n v="4063947052"/>
    <n v="1580514834"/>
    <n v="61"/>
    <n v="12"/>
    <n v="73"/>
    <n v="204"/>
    <n v="277"/>
    <n v="-4"/>
    <n v="3"/>
    <n v="20"/>
    <n v="18"/>
    <n v="315"/>
    <n v="4355"/>
  </r>
  <r>
    <x v="48"/>
    <s v="ITA"/>
    <x v="2"/>
    <x v="2"/>
    <n v="4649933453"/>
    <n v="1135662422"/>
    <n v="183"/>
    <n v="45"/>
    <n v="228"/>
    <n v="1287"/>
    <n v="1515"/>
    <n v="246"/>
    <n v="141"/>
    <n v="378"/>
    <n v="205"/>
    <n v="2098"/>
    <n v="23246"/>
  </r>
  <r>
    <x v="48"/>
    <s v="ITA"/>
    <x v="3"/>
    <x v="3"/>
    <n v="3890597598"/>
    <n v="1659440194"/>
    <n v="165"/>
    <n v="14"/>
    <n v="179"/>
    <n v="616"/>
    <n v="795"/>
    <n v="3"/>
    <n v="8"/>
    <n v="62"/>
    <n v="66"/>
    <n v="923"/>
    <n v="18211"/>
  </r>
  <r>
    <x v="48"/>
    <s v="ITA"/>
    <x v="4"/>
    <x v="4"/>
    <n v="4083956555"/>
    <n v="1425084984"/>
    <n v="526"/>
    <n v="82"/>
    <n v="608"/>
    <n v="2449"/>
    <n v="3057"/>
    <n v="55"/>
    <n v="87"/>
    <n v="305"/>
    <n v="242"/>
    <n v="3604"/>
    <n v="35448"/>
  </r>
  <r>
    <x v="48"/>
    <s v="ITA"/>
    <x v="5"/>
    <x v="5"/>
    <n v="4449436681"/>
    <n v="113417208"/>
    <n v="3491"/>
    <n v="335"/>
    <n v="3826"/>
    <n v="9846"/>
    <n v="13672"/>
    <n v="177"/>
    <n v="463"/>
    <n v="3862"/>
    <n v="2564"/>
    <n v="20098"/>
    <n v="96704"/>
  </r>
  <r>
    <x v="48"/>
    <s v="ITA"/>
    <x v="6"/>
    <x v="6"/>
    <n v="456494354"/>
    <n v="1376813649"/>
    <n v="160"/>
    <n v="28"/>
    <n v="188"/>
    <n v="1138"/>
    <n v="1326"/>
    <n v="-56"/>
    <n v="38"/>
    <n v="910"/>
    <n v="195"/>
    <n v="2431"/>
    <n v="29988"/>
  </r>
  <r>
    <x v="48"/>
    <s v="ITA"/>
    <x v="7"/>
    <x v="7"/>
    <n v="4189277044"/>
    <n v="1248366722"/>
    <n v="1268"/>
    <n v="201"/>
    <n v="1469"/>
    <n v="2348"/>
    <n v="3817"/>
    <n v="87"/>
    <n v="122"/>
    <n v="749"/>
    <n v="279"/>
    <n v="4845"/>
    <n v="68954"/>
  </r>
  <r>
    <x v="48"/>
    <s v="ITA"/>
    <x v="8"/>
    <x v="8"/>
    <n v="4441149315"/>
    <n v="89326992"/>
    <n v="1032"/>
    <n v="144"/>
    <n v="1176"/>
    <n v="2157"/>
    <n v="3333"/>
    <n v="0"/>
    <n v="118"/>
    <n v="1412"/>
    <n v="749"/>
    <n v="5494"/>
    <n v="21983"/>
  </r>
  <r>
    <x v="48"/>
    <s v="ITA"/>
    <x v="9"/>
    <x v="9"/>
    <n v="4546679409"/>
    <n v="9190347404"/>
    <n v="11969"/>
    <n v="1176"/>
    <n v="13145"/>
    <n v="18120"/>
    <n v="31265"/>
    <n v="1007"/>
    <n v="1460"/>
    <n v="17166"/>
    <n v="10621"/>
    <n v="59052"/>
    <n v="205832"/>
  </r>
  <r>
    <x v="48"/>
    <s v="ITA"/>
    <x v="10"/>
    <x v="10"/>
    <n v="4361675973"/>
    <n v="135188753"/>
    <n v="949"/>
    <n v="114"/>
    <n v="1063"/>
    <n v="2051"/>
    <n v="3114"/>
    <n v="-117"/>
    <n v="92"/>
    <n v="1489"/>
    <n v="700"/>
    <n v="5303"/>
    <n v="21057"/>
  </r>
  <r>
    <x v="48"/>
    <s v="ITA"/>
    <x v="11"/>
    <x v="11"/>
    <n v="4155774754"/>
    <n v="1465916051"/>
    <n v="27"/>
    <n v="4"/>
    <n v="31"/>
    <n v="171"/>
    <n v="202"/>
    <n v="9"/>
    <n v="11"/>
    <n v="40"/>
    <n v="15"/>
    <n v="257"/>
    <n v="2471"/>
  </r>
  <r>
    <x v="48"/>
    <s v="ITA"/>
    <x v="12"/>
    <x v="12"/>
    <n v="450732745"/>
    <n v="7680687483"/>
    <n v="3429"/>
    <n v="381"/>
    <n v="3810"/>
    <n v="8695"/>
    <n v="12505"/>
    <n v="335"/>
    <n v="652"/>
    <n v="2426"/>
    <n v="1729"/>
    <n v="16660"/>
    <n v="66555"/>
  </r>
  <r>
    <x v="48"/>
    <s v="ITA"/>
    <x v="13"/>
    <x v="13"/>
    <n v="4112559576"/>
    <n v="1686736689"/>
    <n v="609"/>
    <n v="71"/>
    <n v="680"/>
    <n v="1772"/>
    <n v="2452"/>
    <n v="50"/>
    <n v="85"/>
    <n v="277"/>
    <n v="260"/>
    <n v="2989"/>
    <n v="30973"/>
  </r>
  <r>
    <x v="48"/>
    <s v="ITA"/>
    <x v="14"/>
    <x v="14"/>
    <n v="3921531192"/>
    <n v="9110616306"/>
    <n v="109"/>
    <n v="26"/>
    <n v="135"/>
    <n v="768"/>
    <n v="903"/>
    <n v="15"/>
    <n v="22"/>
    <n v="137"/>
    <n v="73"/>
    <n v="1113"/>
    <n v="10663"/>
  </r>
  <r>
    <x v="48"/>
    <s v="ITA"/>
    <x v="15"/>
    <x v="15"/>
    <n v="3811569725"/>
    <n v="133623567"/>
    <n v="552"/>
    <n v="53"/>
    <n v="605"/>
    <n v="1425"/>
    <n v="2030"/>
    <n v="29"/>
    <n v="52"/>
    <n v="223"/>
    <n v="163"/>
    <n v="2416"/>
    <n v="36098"/>
  </r>
  <r>
    <x v="48"/>
    <s v="ITA"/>
    <x v="16"/>
    <x v="16"/>
    <n v="4376923077"/>
    <n v="1125588885"/>
    <n v="983"/>
    <n v="238"/>
    <n v="1221"/>
    <n v="4941"/>
    <n v="6162"/>
    <n v="170"/>
    <n v="277"/>
    <n v="578"/>
    <n v="495"/>
    <n v="7235"/>
    <n v="78640"/>
  </r>
  <r>
    <x v="48"/>
    <s v="ITA"/>
    <x v="2"/>
    <x v="17"/>
    <n v="4606893511"/>
    <n v="1112123097"/>
    <n v="322"/>
    <n v="61"/>
    <n v="383"/>
    <n v="1699"/>
    <n v="2082"/>
    <n v="18"/>
    <n v="83"/>
    <n v="678"/>
    <n v="293"/>
    <n v="3053"/>
    <n v="17797"/>
  </r>
  <r>
    <x v="48"/>
    <s v="ITA"/>
    <x v="17"/>
    <x v="18"/>
    <n v="4310675841"/>
    <n v="1238824698"/>
    <n v="129"/>
    <n v="39"/>
    <n v="168"/>
    <n v="519"/>
    <n v="687"/>
    <n v="-36"/>
    <n v="10"/>
    <n v="580"/>
    <n v="52"/>
    <n v="1319"/>
    <n v="18672"/>
  </r>
  <r>
    <x v="48"/>
    <s v="ITA"/>
    <x v="18"/>
    <x v="19"/>
    <n v="4573750286"/>
    <n v="7320149366"/>
    <n v="109"/>
    <n v="16"/>
    <n v="125"/>
    <n v="463"/>
    <n v="588"/>
    <n v="-2"/>
    <n v="19"/>
    <n v="221"/>
    <n v="112"/>
    <n v="921"/>
    <n v="3510"/>
  </r>
  <r>
    <x v="48"/>
    <s v="ITA"/>
    <x v="19"/>
    <x v="20"/>
    <n v="4543490485"/>
    <n v="1233845213"/>
    <n v="1428"/>
    <n v="249"/>
    <n v="1677"/>
    <n v="9052"/>
    <n v="10729"/>
    <n v="-20"/>
    <n v="309"/>
    <n v="2492"/>
    <n v="856"/>
    <n v="14077"/>
    <n v="198442"/>
  </r>
  <r>
    <x v="49"/>
    <s v="ITA"/>
    <x v="0"/>
    <x v="0"/>
    <n v="4235122196"/>
    <n v="1339843823"/>
    <n v="351"/>
    <n v="54"/>
    <n v="405"/>
    <n v="1373"/>
    <n v="1778"/>
    <n v="36"/>
    <n v="53"/>
    <n v="211"/>
    <n v="224"/>
    <n v="2213"/>
    <n v="20667"/>
  </r>
  <r>
    <x v="49"/>
    <s v="ITA"/>
    <x v="1"/>
    <x v="1"/>
    <n v="4063947052"/>
    <n v="1580514834"/>
    <n v="64"/>
    <n v="12"/>
    <n v="76"/>
    <n v="194"/>
    <n v="270"/>
    <n v="-7"/>
    <n v="4"/>
    <n v="31"/>
    <n v="18"/>
    <n v="319"/>
    <n v="4545"/>
  </r>
  <r>
    <x v="49"/>
    <s v="ITA"/>
    <x v="2"/>
    <x v="2"/>
    <n v="4649933453"/>
    <n v="1135662422"/>
    <n v="190"/>
    <n v="41"/>
    <n v="231"/>
    <n v="1306"/>
    <n v="1537"/>
    <n v="22"/>
    <n v="51"/>
    <n v="400"/>
    <n v="212"/>
    <n v="2149"/>
    <n v="24157"/>
  </r>
  <r>
    <x v="49"/>
    <s v="ITA"/>
    <x v="3"/>
    <x v="3"/>
    <n v="3890597598"/>
    <n v="1659440194"/>
    <n v="160"/>
    <n v="12"/>
    <n v="172"/>
    <n v="619"/>
    <n v="791"/>
    <n v="-4"/>
    <n v="5"/>
    <n v="70"/>
    <n v="67"/>
    <n v="928"/>
    <n v="18596"/>
  </r>
  <r>
    <x v="49"/>
    <s v="ITA"/>
    <x v="4"/>
    <x v="4"/>
    <n v="4083956555"/>
    <n v="1425084984"/>
    <n v="606"/>
    <n v="80"/>
    <n v="686"/>
    <n v="2376"/>
    <n v="3062"/>
    <n v="5"/>
    <n v="66"/>
    <n v="360"/>
    <n v="248"/>
    <n v="3670"/>
    <n v="36770"/>
  </r>
  <r>
    <x v="49"/>
    <s v="ITA"/>
    <x v="5"/>
    <x v="5"/>
    <n v="4449436681"/>
    <n v="113417208"/>
    <n v="3490"/>
    <n v="331"/>
    <n v="3821"/>
    <n v="9997"/>
    <n v="13818"/>
    <n v="146"/>
    <n v="342"/>
    <n v="4007"/>
    <n v="2615"/>
    <n v="20440"/>
    <n v="99047"/>
  </r>
  <r>
    <x v="49"/>
    <s v="ITA"/>
    <x v="6"/>
    <x v="6"/>
    <n v="456494354"/>
    <n v="1376813649"/>
    <n v="159"/>
    <n v="30"/>
    <n v="189"/>
    <n v="1118"/>
    <n v="1307"/>
    <n v="-19"/>
    <n v="51"/>
    <n v="973"/>
    <n v="202"/>
    <n v="2482"/>
    <n v="30941"/>
  </r>
  <r>
    <x v="49"/>
    <s v="ITA"/>
    <x v="7"/>
    <x v="7"/>
    <n v="4189277044"/>
    <n v="1248366722"/>
    <n v="1314"/>
    <n v="200"/>
    <n v="1514"/>
    <n v="2406"/>
    <n v="3920"/>
    <n v="103"/>
    <n v="123"/>
    <n v="764"/>
    <n v="284"/>
    <n v="4968"/>
    <n v="72746"/>
  </r>
  <r>
    <x v="49"/>
    <s v="ITA"/>
    <x v="8"/>
    <x v="8"/>
    <n v="4441149315"/>
    <n v="89326992"/>
    <n v="1088"/>
    <n v="138"/>
    <n v="1226"/>
    <n v="2139"/>
    <n v="3365"/>
    <n v="32"/>
    <n v="102"/>
    <n v="1471"/>
    <n v="760"/>
    <n v="5596"/>
    <n v="23129"/>
  </r>
  <r>
    <x v="49"/>
    <s v="ITA"/>
    <x v="9"/>
    <x v="9"/>
    <n v="4546679409"/>
    <n v="9190347404"/>
    <n v="12028"/>
    <n v="1143"/>
    <n v="13171"/>
    <n v="18764"/>
    <n v="31935"/>
    <n v="670"/>
    <n v="1262"/>
    <n v="17478"/>
    <n v="10901"/>
    <n v="60314"/>
    <n v="211092"/>
  </r>
  <r>
    <x v="49"/>
    <s v="ITA"/>
    <x v="10"/>
    <x v="10"/>
    <n v="4361675973"/>
    <n v="135188753"/>
    <n v="959"/>
    <n v="108"/>
    <n v="1067"/>
    <n v="2013"/>
    <n v="3080"/>
    <n v="-34"/>
    <n v="78"/>
    <n v="1588"/>
    <n v="713"/>
    <n v="5381"/>
    <n v="28379"/>
  </r>
  <r>
    <x v="49"/>
    <s v="ITA"/>
    <x v="11"/>
    <x v="11"/>
    <n v="4155774754"/>
    <n v="1465916051"/>
    <n v="28"/>
    <n v="4"/>
    <n v="32"/>
    <n v="170"/>
    <n v="202"/>
    <n v="0"/>
    <n v="0"/>
    <n v="40"/>
    <n v="15"/>
    <n v="257"/>
    <n v="2522"/>
  </r>
  <r>
    <x v="49"/>
    <s v="ITA"/>
    <x v="12"/>
    <x v="12"/>
    <n v="450732745"/>
    <n v="7680687483"/>
    <n v="3344"/>
    <n v="379"/>
    <n v="3723"/>
    <n v="9042"/>
    <n v="12765"/>
    <n v="260"/>
    <n v="474"/>
    <n v="2543"/>
    <n v="1826"/>
    <n v="17134"/>
    <n v="69170"/>
  </r>
  <r>
    <x v="49"/>
    <s v="ITA"/>
    <x v="13"/>
    <x v="13"/>
    <n v="4112559576"/>
    <n v="1686736689"/>
    <n v="600"/>
    <n v="71"/>
    <n v="671"/>
    <n v="1841"/>
    <n v="2512"/>
    <n v="60"/>
    <n v="76"/>
    <n v="286"/>
    <n v="267"/>
    <n v="3065"/>
    <n v="31922"/>
  </r>
  <r>
    <x v="49"/>
    <s v="ITA"/>
    <x v="14"/>
    <x v="14"/>
    <n v="3921531192"/>
    <n v="9110616306"/>
    <n v="107"/>
    <n v="27"/>
    <n v="134"/>
    <n v="780"/>
    <n v="914"/>
    <n v="11"/>
    <n v="15"/>
    <n v="139"/>
    <n v="75"/>
    <n v="1128"/>
    <n v="11010"/>
  </r>
  <r>
    <x v="49"/>
    <s v="ITA"/>
    <x v="15"/>
    <x v="15"/>
    <n v="3811569725"/>
    <n v="133623567"/>
    <n v="554"/>
    <n v="51"/>
    <n v="605"/>
    <n v="1445"/>
    <n v="2050"/>
    <n v="20"/>
    <n v="42"/>
    <n v="237"/>
    <n v="171"/>
    <n v="2458"/>
    <n v="37311"/>
  </r>
  <r>
    <x v="49"/>
    <s v="ITA"/>
    <x v="16"/>
    <x v="16"/>
    <n v="4376923077"/>
    <n v="1125588885"/>
    <n v="992"/>
    <n v="225"/>
    <n v="1217"/>
    <n v="5040"/>
    <n v="6257"/>
    <n v="95"/>
    <n v="155"/>
    <n v="615"/>
    <n v="518"/>
    <n v="7390"/>
    <n v="80889"/>
  </r>
  <r>
    <x v="49"/>
    <s v="ITA"/>
    <x v="2"/>
    <x v="17"/>
    <n v="4606893511"/>
    <n v="1112123097"/>
    <n v="326"/>
    <n v="56"/>
    <n v="382"/>
    <n v="1698"/>
    <n v="2080"/>
    <n v="-2"/>
    <n v="73"/>
    <n v="746"/>
    <n v="300"/>
    <n v="3126"/>
    <n v="18586"/>
  </r>
  <r>
    <x v="49"/>
    <s v="ITA"/>
    <x v="17"/>
    <x v="18"/>
    <n v="4310675841"/>
    <n v="1238824698"/>
    <n v="127"/>
    <n v="38"/>
    <n v="165"/>
    <n v="460"/>
    <n v="625"/>
    <n v="-62"/>
    <n v="1"/>
    <n v="643"/>
    <n v="52"/>
    <n v="1320"/>
    <n v="18740"/>
  </r>
  <r>
    <x v="49"/>
    <s v="ITA"/>
    <x v="18"/>
    <x v="19"/>
    <n v="4573750286"/>
    <n v="7320149366"/>
    <n v="109"/>
    <n v="15"/>
    <n v="124"/>
    <n v="458"/>
    <n v="582"/>
    <n v="-6"/>
    <n v="6"/>
    <n v="230"/>
    <n v="115"/>
    <n v="927"/>
    <n v="3614"/>
  </r>
  <r>
    <x v="49"/>
    <s v="ITA"/>
    <x v="19"/>
    <x v="20"/>
    <n v="4543490485"/>
    <n v="1233845213"/>
    <n v="1427"/>
    <n v="245"/>
    <n v="1672"/>
    <n v="9094"/>
    <n v="10766"/>
    <n v="37"/>
    <n v="174"/>
    <n v="2603"/>
    <n v="882"/>
    <n v="14251"/>
    <n v="203077"/>
  </r>
  <r>
    <x v="50"/>
    <s v="ITA"/>
    <x v="0"/>
    <x v="0"/>
    <n v="4235122196"/>
    <n v="1339843823"/>
    <n v="345"/>
    <n v="52"/>
    <n v="397"/>
    <n v="1403"/>
    <n v="1800"/>
    <n v="22"/>
    <n v="32"/>
    <n v="213"/>
    <n v="232"/>
    <n v="2245"/>
    <n v="20935"/>
  </r>
  <r>
    <x v="50"/>
    <s v="ITA"/>
    <x v="1"/>
    <x v="1"/>
    <n v="4063947052"/>
    <n v="1580514834"/>
    <n v="62"/>
    <n v="12"/>
    <n v="74"/>
    <n v="191"/>
    <n v="265"/>
    <n v="-5"/>
    <n v="0"/>
    <n v="35"/>
    <n v="19"/>
    <n v="319"/>
    <n v="4759"/>
  </r>
  <r>
    <x v="50"/>
    <s v="ITA"/>
    <x v="2"/>
    <x v="2"/>
    <n v="4649933453"/>
    <n v="1135662422"/>
    <n v="177"/>
    <n v="39"/>
    <n v="216"/>
    <n v="1348"/>
    <n v="1564"/>
    <n v="27"/>
    <n v="35"/>
    <n v="406"/>
    <n v="214"/>
    <n v="2184"/>
    <n v="24457"/>
  </r>
  <r>
    <x v="50"/>
    <s v="ITA"/>
    <x v="3"/>
    <x v="3"/>
    <n v="3890597598"/>
    <n v="1659440194"/>
    <n v="161"/>
    <n v="12"/>
    <n v="173"/>
    <n v="643"/>
    <n v="816"/>
    <n v="25"/>
    <n v="28"/>
    <n v="72"/>
    <n v="68"/>
    <n v="956"/>
    <n v="19014"/>
  </r>
  <r>
    <x v="50"/>
    <s v="ITA"/>
    <x v="4"/>
    <x v="4"/>
    <n v="4083956555"/>
    <n v="1425084984"/>
    <n v="618"/>
    <n v="82"/>
    <n v="700"/>
    <n v="2394"/>
    <n v="3094"/>
    <n v="32"/>
    <n v="99"/>
    <n v="415"/>
    <n v="260"/>
    <n v="3769"/>
    <n v="38094"/>
  </r>
  <r>
    <x v="50"/>
    <s v="ITA"/>
    <x v="5"/>
    <x v="5"/>
    <n v="4449436681"/>
    <n v="113417208"/>
    <n v="3473"/>
    <n v="328"/>
    <n v="3801"/>
    <n v="9977"/>
    <n v="13778"/>
    <n v="-40"/>
    <n v="312"/>
    <n v="4269"/>
    <n v="2705"/>
    <n v="20752"/>
    <n v="101896"/>
  </r>
  <r>
    <x v="50"/>
    <s v="ITA"/>
    <x v="6"/>
    <x v="6"/>
    <n v="456494354"/>
    <n v="1376813649"/>
    <n v="166"/>
    <n v="28"/>
    <n v="194"/>
    <n v="705"/>
    <n v="899"/>
    <n v="-408"/>
    <n v="38"/>
    <n v="1415"/>
    <n v="206"/>
    <n v="2520"/>
    <n v="31764"/>
  </r>
  <r>
    <x v="50"/>
    <s v="ITA"/>
    <x v="7"/>
    <x v="7"/>
    <n v="4189277044"/>
    <n v="1248366722"/>
    <n v="1344"/>
    <n v="199"/>
    <n v="1543"/>
    <n v="2479"/>
    <n v="4022"/>
    <n v="102"/>
    <n v="143"/>
    <n v="789"/>
    <n v="300"/>
    <n v="5111"/>
    <n v="74650"/>
  </r>
  <r>
    <x v="50"/>
    <s v="ITA"/>
    <x v="8"/>
    <x v="8"/>
    <n v="4441149315"/>
    <n v="89326992"/>
    <n v="967"/>
    <n v="133"/>
    <n v="1100"/>
    <n v="2366"/>
    <n v="3466"/>
    <n v="101"/>
    <n v="212"/>
    <n v="1549"/>
    <n v="793"/>
    <n v="5808"/>
    <n v="24446"/>
  </r>
  <r>
    <x v="50"/>
    <s v="ITA"/>
    <x v="9"/>
    <x v="9"/>
    <n v="4546679409"/>
    <n v="9190347404"/>
    <n v="12077"/>
    <n v="1122"/>
    <n v="13199"/>
    <n v="19164"/>
    <n v="32363"/>
    <n v="428"/>
    <n v="1012"/>
    <n v="17821"/>
    <n v="11142"/>
    <n v="61326"/>
    <n v="214870"/>
  </r>
  <r>
    <x v="50"/>
    <s v="ITA"/>
    <x v="10"/>
    <x v="10"/>
    <n v="4361675973"/>
    <n v="135188753"/>
    <n v="937"/>
    <n v="106"/>
    <n v="1043"/>
    <n v="2052"/>
    <n v="3095"/>
    <n v="15"/>
    <n v="45"/>
    <n v="1603"/>
    <n v="728"/>
    <n v="5426"/>
    <n v="29160"/>
  </r>
  <r>
    <x v="50"/>
    <s v="ITA"/>
    <x v="11"/>
    <x v="11"/>
    <n v="4155774754"/>
    <n v="1465916051"/>
    <n v="26"/>
    <n v="4"/>
    <n v="30"/>
    <n v="170"/>
    <n v="200"/>
    <n v="-2"/>
    <n v="0"/>
    <n v="42"/>
    <n v="15"/>
    <n v="257"/>
    <n v="2522"/>
  </r>
  <r>
    <x v="50"/>
    <s v="ITA"/>
    <x v="12"/>
    <x v="12"/>
    <n v="450732745"/>
    <n v="7680687483"/>
    <n v="3395"/>
    <n v="367"/>
    <n v="3762"/>
    <n v="9293"/>
    <n v="13055"/>
    <n v="290"/>
    <n v="556"/>
    <n v="2708"/>
    <n v="1927"/>
    <n v="17690"/>
    <n v="71678"/>
  </r>
  <r>
    <x v="50"/>
    <s v="ITA"/>
    <x v="13"/>
    <x v="13"/>
    <n v="4112559576"/>
    <n v="1686736689"/>
    <n v="611"/>
    <n v="62"/>
    <n v="673"/>
    <n v="1879"/>
    <n v="2552"/>
    <n v="40"/>
    <n v="53"/>
    <n v="288"/>
    <n v="278"/>
    <n v="3118"/>
    <n v="33071"/>
  </r>
  <r>
    <x v="50"/>
    <s v="ITA"/>
    <x v="14"/>
    <x v="14"/>
    <n v="3921531192"/>
    <n v="9110616306"/>
    <n v="107"/>
    <n v="24"/>
    <n v="131"/>
    <n v="769"/>
    <n v="900"/>
    <n v="-14"/>
    <n v="10"/>
    <n v="158"/>
    <n v="80"/>
    <n v="1138"/>
    <n v="11893"/>
  </r>
  <r>
    <x v="50"/>
    <s v="ITA"/>
    <x v="15"/>
    <x v="15"/>
    <n v="3811569725"/>
    <n v="133623567"/>
    <n v="552"/>
    <n v="53"/>
    <n v="605"/>
    <n v="1466"/>
    <n v="2071"/>
    <n v="21"/>
    <n v="43"/>
    <n v="255"/>
    <n v="175"/>
    <n v="2501"/>
    <n v="37877"/>
  </r>
  <r>
    <x v="50"/>
    <s v="ITA"/>
    <x v="16"/>
    <x v="16"/>
    <n v="4376923077"/>
    <n v="1125588885"/>
    <n v="1002"/>
    <n v="225"/>
    <n v="1227"/>
    <n v="5125"/>
    <n v="6352"/>
    <n v="95"/>
    <n v="137"/>
    <n v="637"/>
    <n v="538"/>
    <n v="7527"/>
    <n v="82269"/>
  </r>
  <r>
    <x v="50"/>
    <s v="ITA"/>
    <x v="2"/>
    <x v="17"/>
    <n v="4606893511"/>
    <n v="1112123097"/>
    <n v="325"/>
    <n v="54"/>
    <n v="379"/>
    <n v="1703"/>
    <n v="2082"/>
    <n v="2"/>
    <n v="15"/>
    <n v="749"/>
    <n v="310"/>
    <n v="3141"/>
    <n v="18774"/>
  </r>
  <r>
    <x v="50"/>
    <s v="ITA"/>
    <x v="17"/>
    <x v="18"/>
    <n v="4310675841"/>
    <n v="1238824698"/>
    <n v="127"/>
    <n v="37"/>
    <n v="164"/>
    <n v="458"/>
    <n v="622"/>
    <n v="-3"/>
    <n v="1"/>
    <n v="646"/>
    <n v="53"/>
    <n v="1321"/>
    <n v="18956"/>
  </r>
  <r>
    <x v="50"/>
    <s v="ITA"/>
    <x v="18"/>
    <x v="19"/>
    <n v="4573750286"/>
    <n v="7320149366"/>
    <n v="112"/>
    <n v="14"/>
    <n v="126"/>
    <n v="433"/>
    <n v="559"/>
    <n v="-23"/>
    <n v="20"/>
    <n v="270"/>
    <n v="118"/>
    <n v="947"/>
    <n v="3726"/>
  </r>
  <r>
    <x v="50"/>
    <s v="ITA"/>
    <x v="19"/>
    <x v="20"/>
    <n v="4543490485"/>
    <n v="1233845213"/>
    <n v="1427"/>
    <n v="233"/>
    <n v="1660"/>
    <n v="9076"/>
    <n v="10736"/>
    <n v="-30"/>
    <n v="181"/>
    <n v="2790"/>
    <n v="906"/>
    <n v="14432"/>
    <n v="208878"/>
  </r>
  <r>
    <x v="51"/>
    <s v="ITA"/>
    <x v="0"/>
    <x v="0"/>
    <n v="4235122196"/>
    <n v="1339843823"/>
    <n v="341"/>
    <n v="44"/>
    <n v="385"/>
    <n v="1425"/>
    <n v="1810"/>
    <n v="10"/>
    <n v="29"/>
    <n v="224"/>
    <n v="240"/>
    <n v="2274"/>
    <n v="22500"/>
  </r>
  <r>
    <x v="51"/>
    <s v="ITA"/>
    <x v="1"/>
    <x v="1"/>
    <n v="4063947052"/>
    <n v="1580514834"/>
    <n v="60"/>
    <n v="12"/>
    <n v="72"/>
    <n v="189"/>
    <n v="261"/>
    <n v="-4"/>
    <n v="1"/>
    <n v="38"/>
    <n v="21"/>
    <n v="320"/>
    <n v="5037"/>
  </r>
  <r>
    <x v="51"/>
    <s v="ITA"/>
    <x v="2"/>
    <x v="2"/>
    <n v="4649933453"/>
    <n v="1135662422"/>
    <n v="166"/>
    <n v="32"/>
    <n v="198"/>
    <n v="1378"/>
    <n v="1576"/>
    <n v="12"/>
    <n v="40"/>
    <n v="425"/>
    <n v="223"/>
    <n v="2224"/>
    <n v="25370"/>
  </r>
  <r>
    <x v="51"/>
    <s v="ITA"/>
    <x v="3"/>
    <x v="3"/>
    <n v="3890597598"/>
    <n v="1659440194"/>
    <n v="156"/>
    <n v="11"/>
    <n v="167"/>
    <n v="652"/>
    <n v="819"/>
    <n v="3"/>
    <n v="15"/>
    <n v="81"/>
    <n v="71"/>
    <n v="971"/>
    <n v="19662"/>
  </r>
  <r>
    <x v="51"/>
    <s v="ITA"/>
    <x v="4"/>
    <x v="4"/>
    <n v="4083956555"/>
    <n v="1425084984"/>
    <n v="607"/>
    <n v="86"/>
    <n v="693"/>
    <n v="2394"/>
    <n v="3087"/>
    <n v="-7"/>
    <n v="38"/>
    <n v="442"/>
    <n v="278"/>
    <n v="3807"/>
    <n v="39534"/>
  </r>
  <r>
    <x v="51"/>
    <s v="ITA"/>
    <x v="5"/>
    <x v="5"/>
    <n v="4449436681"/>
    <n v="113417208"/>
    <n v="3388"/>
    <n v="325"/>
    <n v="3713"/>
    <n v="9864"/>
    <n v="13577"/>
    <n v="-201"/>
    <n v="277"/>
    <n v="4664"/>
    <n v="2788"/>
    <n v="21029"/>
    <n v="106149"/>
  </r>
  <r>
    <x v="51"/>
    <s v="ITA"/>
    <x v="6"/>
    <x v="6"/>
    <n v="456494354"/>
    <n v="1376813649"/>
    <n v="163"/>
    <n v="24"/>
    <n v="187"/>
    <n v="1207"/>
    <n v="1394"/>
    <n v="495"/>
    <n v="24"/>
    <n v="938"/>
    <n v="212"/>
    <n v="2544"/>
    <n v="33800"/>
  </r>
  <r>
    <x v="51"/>
    <s v="ITA"/>
    <x v="7"/>
    <x v="7"/>
    <n v="4189277044"/>
    <n v="1248366722"/>
    <n v="1342"/>
    <n v="196"/>
    <n v="1538"/>
    <n v="2509"/>
    <n v="4047"/>
    <n v="25"/>
    <n v="121"/>
    <n v="874"/>
    <n v="311"/>
    <n v="5232"/>
    <n v="75584"/>
  </r>
  <r>
    <x v="51"/>
    <s v="ITA"/>
    <x v="8"/>
    <x v="8"/>
    <n v="4441149315"/>
    <n v="89326992"/>
    <n v="959"/>
    <n v="120"/>
    <n v="1079"/>
    <n v="2385"/>
    <n v="3464"/>
    <n v="-2"/>
    <n v="128"/>
    <n v="1665"/>
    <n v="807"/>
    <n v="5936"/>
    <n v="25793"/>
  </r>
  <r>
    <x v="51"/>
    <s v="ITA"/>
    <x v="9"/>
    <x v="9"/>
    <n v="4546679409"/>
    <n v="9190347404"/>
    <n v="12043"/>
    <n v="1074"/>
    <n v="13117"/>
    <n v="19804"/>
    <n v="32921"/>
    <n v="558"/>
    <n v="827"/>
    <n v="17855"/>
    <n v="11377"/>
    <n v="62153"/>
    <n v="221968"/>
  </r>
  <r>
    <x v="51"/>
    <s v="ITA"/>
    <x v="10"/>
    <x v="10"/>
    <n v="4361675973"/>
    <n v="135188753"/>
    <n v="888"/>
    <n v="106"/>
    <n v="994"/>
    <n v="2103"/>
    <n v="3097"/>
    <n v="2"/>
    <n v="77"/>
    <n v="1660"/>
    <n v="746"/>
    <n v="5503"/>
    <n v="30329"/>
  </r>
  <r>
    <x v="51"/>
    <s v="ITA"/>
    <x v="11"/>
    <x v="11"/>
    <n v="4155774754"/>
    <n v="1465916051"/>
    <n v="27"/>
    <n v="4"/>
    <n v="31"/>
    <n v="175"/>
    <n v="206"/>
    <n v="6"/>
    <n v="6"/>
    <n v="42"/>
    <n v="15"/>
    <n v="263"/>
    <n v="2855"/>
  </r>
  <r>
    <x v="51"/>
    <s v="ITA"/>
    <x v="12"/>
    <x v="12"/>
    <n v="450732745"/>
    <n v="7680687483"/>
    <n v="3338"/>
    <n v="366"/>
    <n v="3704"/>
    <n v="9491"/>
    <n v="13195"/>
    <n v="140"/>
    <n v="539"/>
    <n v="3019"/>
    <n v="2015"/>
    <n v="18229"/>
    <n v="75664"/>
  </r>
  <r>
    <x v="51"/>
    <s v="ITA"/>
    <x v="13"/>
    <x v="13"/>
    <n v="4112559576"/>
    <n v="1686736689"/>
    <n v="592"/>
    <n v="73"/>
    <n v="665"/>
    <n v="1908"/>
    <n v="2573"/>
    <n v="21"/>
    <n v="66"/>
    <n v="323"/>
    <n v="288"/>
    <n v="3184"/>
    <n v="34518"/>
  </r>
  <r>
    <x v="51"/>
    <s v="ITA"/>
    <x v="14"/>
    <x v="14"/>
    <n v="3921531192"/>
    <n v="9110616306"/>
    <n v="107"/>
    <n v="26"/>
    <n v="133"/>
    <n v="737"/>
    <n v="870"/>
    <n v="-30"/>
    <n v="23"/>
    <n v="208"/>
    <n v="83"/>
    <n v="1161"/>
    <n v="12395"/>
  </r>
  <r>
    <x v="51"/>
    <s v="ITA"/>
    <x v="15"/>
    <x v="15"/>
    <n v="3811569725"/>
    <n v="133623567"/>
    <n v="541"/>
    <n v="49"/>
    <n v="590"/>
    <n v="1491"/>
    <n v="2081"/>
    <n v="10"/>
    <n v="34"/>
    <n v="273"/>
    <n v="181"/>
    <n v="2535"/>
    <n v="39867"/>
  </r>
  <r>
    <x v="51"/>
    <s v="ITA"/>
    <x v="16"/>
    <x v="16"/>
    <n v="4376923077"/>
    <n v="1125588885"/>
    <n v="977"/>
    <n v="216"/>
    <n v="1193"/>
    <n v="5224"/>
    <n v="6417"/>
    <n v="65"/>
    <n v="139"/>
    <n v="693"/>
    <n v="556"/>
    <n v="7666"/>
    <n v="86348"/>
  </r>
  <r>
    <x v="51"/>
    <s v="ITA"/>
    <x v="2"/>
    <x v="17"/>
    <n v="4606893511"/>
    <n v="1112123097"/>
    <n v="312"/>
    <n v="48"/>
    <n v="360"/>
    <n v="1744"/>
    <n v="2104"/>
    <n v="22"/>
    <n v="79"/>
    <n v="798"/>
    <n v="318"/>
    <n v="3220"/>
    <n v="19535"/>
  </r>
  <r>
    <x v="51"/>
    <s v="ITA"/>
    <x v="17"/>
    <x v="18"/>
    <n v="4310675841"/>
    <n v="1238824698"/>
    <n v="122"/>
    <n v="37"/>
    <n v="159"/>
    <n v="423"/>
    <n v="582"/>
    <n v="-40"/>
    <n v="1"/>
    <n v="686"/>
    <n v="54"/>
    <n v="1322"/>
    <n v="20258"/>
  </r>
  <r>
    <x v="51"/>
    <s v="ITA"/>
    <x v="18"/>
    <x v="19"/>
    <n v="4573750286"/>
    <n v="7320149366"/>
    <n v="112"/>
    <n v="11"/>
    <n v="123"/>
    <n v="425"/>
    <n v="548"/>
    <n v="-11"/>
    <n v="11"/>
    <n v="289"/>
    <n v="121"/>
    <n v="958"/>
    <n v="3894"/>
  </r>
  <r>
    <x v="51"/>
    <s v="ITA"/>
    <x v="19"/>
    <x v="20"/>
    <n v="4543490485"/>
    <n v="1233845213"/>
    <n v="1402"/>
    <n v="219"/>
    <n v="1621"/>
    <n v="9168"/>
    <n v="10789"/>
    <n v="53"/>
    <n v="192"/>
    <n v="2895"/>
    <n v="940"/>
    <n v="14624"/>
    <n v="216344"/>
  </r>
  <r>
    <x v="52"/>
    <m/>
    <x v="20"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67DBF-A49C-420B-AA7F-087EAE2A9CFE}" name="Tabella pivot2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Y54:Z107" firstHeaderRow="1" firstDataRow="1" firstDataCol="1" rowPageCount="2" colPageCount="1"/>
  <pivotFields count="1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2">
        <item x="12"/>
        <item x="18"/>
        <item x="9"/>
        <item x="2"/>
        <item x="19"/>
        <item x="6"/>
        <item x="8"/>
        <item x="5"/>
        <item x="16"/>
        <item x="17"/>
        <item x="10"/>
        <item x="7"/>
        <item x="0"/>
        <item x="11"/>
        <item x="4"/>
        <item x="13"/>
        <item x="1"/>
        <item x="3"/>
        <item x="15"/>
        <item x="14"/>
        <item x="20"/>
        <item t="default"/>
      </items>
    </pivotField>
    <pivotField axis="axisPage" showAll="0">
      <items count="23">
        <item x="0"/>
        <item x="1"/>
        <item x="3"/>
        <item x="4"/>
        <item x="5"/>
        <item x="6"/>
        <item x="7"/>
        <item x="8"/>
        <item x="9"/>
        <item x="10"/>
        <item x="11"/>
        <item x="2"/>
        <item x="17"/>
        <item x="12"/>
        <item x="13"/>
        <item x="14"/>
        <item x="15"/>
        <item x="16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53"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pageFields count="2">
    <pageField fld="2" item="2" hier="-1"/>
    <pageField fld="3" item="8" hier="-1"/>
  </pageFields>
  <dataFields count="1">
    <dataField name="Somma di deceduti" fld="14" baseField="0" baseItem="0"/>
  </dataFields>
  <formats count="1">
    <format dxfId="0">
      <pivotArea collapsedLevelsAreSubtotals="1" fieldPosition="0">
        <references count="1">
          <reference field="0" count="52"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DD43B81-D2E0-4B31-81BF-9129F4C8F46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1870361A-171E-4755-A77E-8362F9E31D13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1F9D-CC3C-4C17-B7F7-93624D50D999}" name="dpc_covid19_ita_andamento_nazionale__9" displayName="dpc_covid19_ita_andamento_nazionale__9" ref="A1:O53" tableType="queryTable" totalsRowShown="0">
  <autoFilter ref="A1:O53" xr:uid="{352D8B65-82FD-4F8E-B879-ADFD0161B726}"/>
  <tableColumns count="15">
    <tableColumn id="1" xr3:uid="{8EEFB332-734C-46A1-B1D5-68D4A6C66BED}" uniqueName="1" name="data" queryTableFieldId="1" dataDxfId="9"/>
    <tableColumn id="2" xr3:uid="{BDFBB52B-26D0-4F05-BD67-332113DDD8CA}" uniqueName="2" name="stato" queryTableFieldId="2" dataDxfId="8"/>
    <tableColumn id="3" xr3:uid="{5EBCDF63-CE31-4525-867B-1274ECE2CA0A}" uniqueName="3" name="ricoverati_con_sintomi" queryTableFieldId="3"/>
    <tableColumn id="4" xr3:uid="{263BAE6B-34F3-4220-BE1D-26CC3DD7148D}" uniqueName="4" name="terapia_intensiva" queryTableFieldId="4"/>
    <tableColumn id="5" xr3:uid="{662B5C87-22B9-4BA3-8D30-972F89AE835C}" uniqueName="5" name="totale_ospedalizzati" queryTableFieldId="5"/>
    <tableColumn id="6" xr3:uid="{535C86CF-D254-4C7A-8466-8D3C68918EB8}" uniqueName="6" name="isolamento_domiciliare" queryTableFieldId="6"/>
    <tableColumn id="7" xr3:uid="{0B30836F-0707-448F-A5AA-E941DCBFC8F1}" uniqueName="7" name="totale_positivi" queryTableFieldId="7"/>
    <tableColumn id="8" xr3:uid="{25533D4C-56D5-4BFB-8A62-2C4975B12081}" uniqueName="8" name="variazione_totale_positivi" queryTableFieldId="8"/>
    <tableColumn id="9" xr3:uid="{B8DFE184-5E83-46BB-9B45-523BCE243F4E}" uniqueName="9" name="nuovi_positivi" queryTableFieldId="9"/>
    <tableColumn id="10" xr3:uid="{16DB5C85-7FC0-450C-A02D-B809C2395DC7}" uniqueName="10" name="dimessi_guariti" queryTableFieldId="10"/>
    <tableColumn id="11" xr3:uid="{90FAD4E2-5C78-4725-A446-2ED060C63D8A}" uniqueName="11" name="deceduti" queryTableFieldId="11"/>
    <tableColumn id="12" xr3:uid="{C319D95F-7C76-47D2-AF31-A4CA1DBF911D}" uniqueName="12" name="totale_casi" queryTableFieldId="12"/>
    <tableColumn id="13" xr3:uid="{B2BE763E-0C1E-4314-96CF-E5EFCF5889AA}" uniqueName="13" name="tamponi" queryTableFieldId="13"/>
    <tableColumn id="14" xr3:uid="{9C60E67A-A02A-4667-993F-449C650B16AE}" uniqueName="14" name="note_it" queryTableFieldId="14" dataDxfId="7"/>
    <tableColumn id="15" xr3:uid="{45F79249-FBF8-416D-803C-F50CE2D539F7}" uniqueName="15" name="note_en" queryTableFieldId="1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CCD0A-C2A9-4E31-B249-F5E9B9CB8676}" name="dpc_covid19_ita_regioni__4" displayName="dpc_covid19_ita_regioni__4" ref="A1:S1093" tableType="queryTable" totalsRowShown="0">
  <autoFilter ref="A1:S1093" xr:uid="{61AED931-4BAD-4EA6-925E-4B1C4E46BA30}">
    <filterColumn colId="2">
      <filters>
        <filter val="3"/>
      </filters>
    </filterColumn>
  </autoFilter>
  <tableColumns count="19">
    <tableColumn id="1" xr3:uid="{79814438-B151-4E69-9958-006B8D6A3C37}" uniqueName="1" name="data" queryTableFieldId="1" dataDxfId="5"/>
    <tableColumn id="2" xr3:uid="{0FFF0BA2-0DE1-46D6-8E47-458CCC6B80F8}" uniqueName="2" name="stato" queryTableFieldId="2" dataDxfId="4"/>
    <tableColumn id="3" xr3:uid="{DB465C6F-A730-4302-998E-0AAC0EA25512}" uniqueName="3" name="codice_regione" queryTableFieldId="3"/>
    <tableColumn id="4" xr3:uid="{7BD0B7AD-E208-49E4-A82A-E50444A1C4A4}" uniqueName="4" name="denominazione_regione" queryTableFieldId="4" dataDxfId="3"/>
    <tableColumn id="5" xr3:uid="{86054645-26FE-48C8-AB54-972897FC6557}" uniqueName="5" name="lat" queryTableFieldId="5"/>
    <tableColumn id="6" xr3:uid="{C9D6B838-804B-407E-92B3-7223903F99E2}" uniqueName="6" name="long" queryTableFieldId="6"/>
    <tableColumn id="7" xr3:uid="{59D07E1A-FDE3-4E3C-8D8E-907FC37AFBAA}" uniqueName="7" name="ricoverati_con_sintomi" queryTableFieldId="7"/>
    <tableColumn id="8" xr3:uid="{C5873FD6-F3F3-498D-84B7-3FCC68618A62}" uniqueName="8" name="terapia_intensiva" queryTableFieldId="8"/>
    <tableColumn id="9" xr3:uid="{C5258D14-0E28-4995-A05A-294BCAB1063D}" uniqueName="9" name="totale_ospedalizzati" queryTableFieldId="9"/>
    <tableColumn id="10" xr3:uid="{2BE4B4E9-3FC2-484E-B26F-55417378E860}" uniqueName="10" name="isolamento_domiciliare" queryTableFieldId="10"/>
    <tableColumn id="11" xr3:uid="{D74134E4-C9AD-4104-A911-326BAB72E5C3}" uniqueName="11" name="totale_positivi" queryTableFieldId="11"/>
    <tableColumn id="12" xr3:uid="{378C9891-4635-432C-A82A-29C822C5FFD2}" uniqueName="12" name="variazione_totale_positivi" queryTableFieldId="12"/>
    <tableColumn id="13" xr3:uid="{38D5D8F9-4E1D-4A1C-982E-8BD84A3E841A}" uniqueName="13" name="nuovi_positivi" queryTableFieldId="13"/>
    <tableColumn id="14" xr3:uid="{A6B21E6D-B789-4002-94DA-B926BBF01966}" uniqueName="14" name="dimessi_guariti" queryTableFieldId="14"/>
    <tableColumn id="15" xr3:uid="{D2C0522E-463B-4C25-9D61-49CD985FFEFA}" uniqueName="15" name="deceduti" queryTableFieldId="15"/>
    <tableColumn id="16" xr3:uid="{1A8D538C-BA24-4939-B6FF-E781A3C5BF76}" uniqueName="16" name="totale_casi" queryTableFieldId="16"/>
    <tableColumn id="17" xr3:uid="{11AFD5E4-685C-494F-9080-6667117C5B78}" uniqueName="17" name="tamponi" queryTableFieldId="17"/>
    <tableColumn id="18" xr3:uid="{3C0D5FF0-15A3-4914-BC88-568A235E65DD}" uniqueName="18" name="note_it" queryTableFieldId="18" dataDxfId="2"/>
    <tableColumn id="19" xr3:uid="{C09BBE87-59EE-4129-B06D-09EB75591CB1}" uniqueName="19" name="note_en" queryTableFieldId="19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W78" totalsRowShown="0" headerRowDxfId="57">
  <autoFilter ref="B7:W78" xr:uid="{3FC8D4CB-1CF6-4469-84DF-7F0ECB3BF752}"/>
  <tableColumns count="22">
    <tableColumn id="1" xr3:uid="{23135A61-F766-418E-98E1-4B28EB0245EB}" name="Date" dataDxfId="56"/>
    <tableColumn id="2" xr3:uid="{9D31CCAA-E745-495E-AC65-4EE7E5B7C948}" name="Day" dataDxfId="55"/>
    <tableColumn id="3" xr3:uid="{FA8347E6-D263-402C-B119-75408FAF2DAC}" name="Italy cumulative"/>
    <tableColumn id="16" xr3:uid="{8C3FDD01-6166-4DD6-9069-BBFB3B31CBAB}" name="Colonna1" dataDxfId="54">
      <calculatedColumnFormula>Tabella8[[#This Row],[Italy cumulative]]*NOT(ISBLANK(Tabella8[[#This Row],[Italy cumulative]]))</calculatedColumnFormula>
    </tableColumn>
    <tableColumn id="4" xr3:uid="{431A9A26-9F76-4785-835A-2254CAAB0D9D}" name="Italy sum" dataDxfId="53">
      <calculatedColumnFormula>Tabella8[[#This Row],[Lombardy fit]]+Tabella8[[#This Row],[rest of Italy fit]]</calculatedColumnFormula>
    </tableColumn>
    <tableColumn id="17" xr3:uid="{C448742E-FAE5-406F-BB11-395AB7117427}" name="Colonna2" dataDxfId="52">
      <calculatedColumnFormula>Tabella8[[#This Row],[Italy sum]]*NOT(ISBLANK(Tabella8[[#This Row],[Italy cumulative]]))</calculatedColumnFormula>
    </tableColumn>
    <tableColumn id="15" xr3:uid="{EBAC123C-04E4-45BF-87F2-E1463644B09E}" name="Italy fit" dataDxfId="51">
      <calculatedColumnFormula>(Kt^(1-pt)-(1-pt)*EXP(-(Tabella8[[#This Row],[Day]]-t0t)/wt))^(1/(1-pt))</calculatedColumnFormula>
    </tableColumn>
    <tableColumn id="18" xr3:uid="{BB0581BF-B4E8-454D-A58F-7896262EF839}" name="Colonna3" dataDxfId="50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 dataCellStyle="20% - Colore 2"/>
    <tableColumn id="19" xr3:uid="{F96B47FC-7C3A-47A5-B0B6-FBBA6A0E9F53}" name="Colonna4" dataDxfId="49">
      <calculatedColumnFormula>Tabella8[[#This Row],[Lombardy]]*NOT(ISBLANK(Tabella8[[#This Row],[Lombardy]]))</calculatedColumnFormula>
    </tableColumn>
    <tableColumn id="8" xr3:uid="{FFDFB21E-6B95-4CB3-BEAA-17A88953AF1A}" name="Lombardy fit" dataDxfId="48">
      <calculatedColumnFormula>(Kr^(1-pr)-(1-pr)*EXP(-(Tabella8[[#This Row],[Day]]-t0r)/wr))^(1/(1-pr))</calculatedColumnFormula>
    </tableColumn>
    <tableColumn id="20" xr3:uid="{E0C56B36-41D5-4E63-90C0-BEF19D5CF307}" name="Colonna5" dataDxfId="47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46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45">
      <calculatedColumnFormula>(Ko^(1-po)-(1-po)*EXP(-(Tabella8[[#This Row],[Day]]-t0o)/wo))^(1/(1-po))</calculatedColumnFormula>
    </tableColumn>
    <tableColumn id="22" xr3:uid="{D4BF3042-F3E5-4A11-865A-5C285EB3D460}" name="Colonna7" dataDxfId="44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Y7:Z17" totalsRowShown="0" headerRowDxfId="43" dataDxfId="42">
  <autoFilter ref="Y7:Z17" xr:uid="{FE44A3F6-B4C2-400B-AA9A-283E33E9F7C7}"/>
  <tableColumns count="2">
    <tableColumn id="1" xr3:uid="{D2583FE2-794A-4D14-88A1-0EEE16DA7363}" name="Whole country sum" dataDxfId="41"/>
    <tableColumn id="2" xr3:uid="{7AD72336-12D4-4A52-8169-8B6FC2AAA773}" name="Italy sum" dataDxfId="4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Y18:Z28" totalsRowShown="0">
  <autoFilter ref="Y18:Z28" xr:uid="{6BBACF2F-9411-42AE-88CD-B6A5D694B764}"/>
  <tableColumns count="2">
    <tableColumn id="1" xr3:uid="{FAA10416-F4E0-4435-B099-FD9F2014709E}" name="region" dataDxfId="39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Y29:Z39" totalsRowShown="0" headerRowDxfId="38">
  <autoFilter ref="Y29:Z39" xr:uid="{4F62C887-D7E5-4422-A98B-007740B545EB}"/>
  <tableColumns count="2">
    <tableColumn id="1" xr3:uid="{BDF94A07-4A3B-4AEE-A628-F130488AED7A}" name="outside" dataDxfId="37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Y40:Z50" totalsRowShown="0">
  <autoFilter ref="Y40:Z50" xr:uid="{3ED27504-5203-423C-8078-DD3D337178D4}"/>
  <tableColumns count="2">
    <tableColumn id="1" xr3:uid="{68D94B9C-FC79-4691-B5B2-5566913F6A46}" name="Whole country fit" dataDxfId="36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C78" totalsRowShown="0" headerRowDxfId="35">
  <autoFilter ref="B7:AC78" xr:uid="{5E78D83D-6C25-40E0-A2DB-B68F6AAB46EA}"/>
  <tableColumns count="28">
    <tableColumn id="1" xr3:uid="{AC9FAB61-B731-40E3-83D5-22123EF8AE0D}" name="Date" dataDxfId="34"/>
    <tableColumn id="2" xr3:uid="{AB3B8E39-CEE3-43EE-B1A6-8D28135CAFC6}" name="Day" dataDxfId="33"/>
    <tableColumn id="3" xr3:uid="{DDACA13A-A286-4F18-9A4D-05064582A36A}" name="Cum_Italy"/>
    <tableColumn id="4" xr3:uid="{4A764917-3626-4415-9B41-E9B90EFD7FA4}" name="Italy" dataDxfId="32"/>
    <tableColumn id="21" xr3:uid="{C976B52B-2786-4CB4-B206-E98A3E1A4632}" name="Colonna1" dataDxfId="31">
      <calculatedColumnFormula>Tabella3[[#This Row],[Italy]]*NOT(ISBLANK(Tabella3[[#This Row],[Italy]]))</calculatedColumnFormula>
    </tableColumn>
    <tableColumn id="5" xr3:uid="{3DBA7757-647A-453D-A0D3-43B83465DD6F}" name="Cum_D_fit" dataDxfId="30">
      <calculatedColumnFormula>Tabella3[[#This Row],[Cum_L_fit]]+Tabella3[[#This Row],[Cum_o_fit]]</calculatedColumnFormula>
    </tableColumn>
    <tableColumn id="6" xr3:uid="{ADF84F98-C9B1-4D4E-965D-1E7BE56AE313}" name="Italy sum" dataDxfId="29">
      <calculatedColumnFormula>Tabella3[[#This Row],[Lombardy fit]]+Tabella3[[#This Row],[rest of Italy fit]]</calculatedColumnFormula>
    </tableColumn>
    <tableColumn id="27" xr3:uid="{314DDD96-3EEF-47F6-A093-677CC3B78412}" name="Italy fit" dataDxfId="28">
      <calculatedColumnFormula>(1/wf)*EXP(-(Tabella3[[#This Row],[Day]]-t0f)/wf)*(Kf^(1-pf)-(1-pf)*EXP(-(Tabella3[[#This Row],[Day]]-t0f)/wf))^(pf/(1-pf))</calculatedColumnFormula>
    </tableColumn>
    <tableColumn id="22" xr3:uid="{7CB6D2CF-1488-45DF-B3D3-DA9FCE991397}" name="Colonna2" dataDxfId="27">
      <calculatedColumnFormula>Tabella3[[#This Row],[Italy sum]]*NOT(ISBLANK(Tabella3[[#This Row],[Italy]]))</calculatedColumnFormula>
    </tableColumn>
    <tableColumn id="28" xr3:uid="{B7998AB9-1622-4307-B253-C5A912B69B6C}" name="Colonna22" dataDxfId="26">
      <calculatedColumnFormula>Tabella3[[#This Row],[Italy fit]]*NOT(ISBLANK(Tabella3[[#This Row],[Italy]]))</calculatedColumnFormula>
    </tableColumn>
    <tableColumn id="7" xr3:uid="{FD2AFF0D-028F-4079-9B67-B1C4C865DA70}" name="Wh_c_Upper CI"/>
    <tableColumn id="8" xr3:uid="{2C00E3C4-CD56-4BD9-82E9-BA6F629F232D}" name="Wh_c_Lower CI"/>
    <tableColumn id="9" xr3:uid="{62CAAF81-8EFB-45AC-BBA6-8D7C7B486997}" name="Cum_Lom" dataCellStyle="20% - Colore 2"/>
    <tableColumn id="10" xr3:uid="{09663C31-3E7C-4611-8AF3-0C06B00BA6F1}" name="Lombardy" dataDxfId="25"/>
    <tableColumn id="23" xr3:uid="{10082EA6-D10C-44B2-9A09-0B1409F1C373}" name="Colonna3" dataDxfId="24">
      <calculatedColumnFormula>Tabella3[[#This Row],[Lombardy]]*NOT(ISBLANK(Tabella3[[#This Row],[Lombardy]]))</calculatedColumnFormula>
    </tableColumn>
    <tableColumn id="11" xr3:uid="{CDC351C1-18CE-4B4C-A65D-FD39DA8A5DED}" name="Cum_L_fit" dataDxfId="23">
      <calculatedColumnFormula>(Kl^(1-pl)-(1-pl)*EXP(-(Tabella3[[#This Row],[Day]]-t0l)/wl))^(1/(1-pl))</calculatedColumnFormula>
    </tableColumn>
    <tableColumn id="12" xr3:uid="{442CC8F3-BD05-4FDA-B285-A701402ADF1D}" name="Lombardy fit" dataDxfId="22">
      <calculatedColumnFormula>(1/wl)*EXP(-(Tabella3[[#This Row],[Day]]-t0l)/wl)*(Kl^(1-pl)-(1-pl)*EXP(-(Tabella3[[#This Row],[Day]]-t0l)/wl))^(pl/(1-pl))</calculatedColumnFormula>
    </tableColumn>
    <tableColumn id="24" xr3:uid="{3735E881-B76D-4343-A940-CD03F154AD8A}" name="Colonna32" dataDxfId="21">
      <calculatedColumnFormula>Tabella3[[#This Row],[Lombardy fit]]*NOT(ISBLANK(Tabella3[[#This Row],[Lombardy]]))</calculatedColumnFormula>
    </tableColumn>
    <tableColumn id="13" xr3:uid="{EE889393-6E60-4237-9EC5-DFB1642204B7}" name="r_Upper CI"/>
    <tableColumn id="14" xr3:uid="{4BF9A623-B53D-4A7D-BCED-AF51065FBB44}" name="r_Lower CI"/>
    <tableColumn id="15" xr3:uid="{88406667-2C06-4837-8C1D-7C7FB674BC25}" name="Cum_o"/>
    <tableColumn id="16" xr3:uid="{F9696E58-DE59-43F8-B795-C68B17BE8856}" name="rest of Italy" dataDxfId="20"/>
    <tableColumn id="25" xr3:uid="{0DCF2D46-6281-4B7D-BB9E-222F69A41FF9}" name="Colonna33" dataDxfId="19">
      <calculatedColumnFormula>Tabella3[[#This Row],[rest of Italy]]*NOT(ISBLANK(Tabella3[[#This Row],[rest of Italy]]))</calculatedColumnFormula>
    </tableColumn>
    <tableColumn id="17" xr3:uid="{A81E690D-2D5C-4476-BFC1-14B6B7500BDD}" name="Cum_o_fit" dataDxfId="18">
      <calculatedColumnFormula>(Ka^(1-pa)-(1-pa)*EXP(-(Tabella3[[#This Row],[Day]]-t0a)/wa))^(1/(1-pa))</calculatedColumnFormula>
    </tableColumn>
    <tableColumn id="18" xr3:uid="{84CE2F6C-88D6-4F6C-BCE7-AB2A3AB959DB}" name="rest of Italy fit" dataDxfId="17">
      <calculatedColumnFormula>(1/wa)*EXP(-(Tabella3[[#This Row],[Day]]-t0a)/wa)*(Ka^(1-pa)-(1-pa)*EXP(-(Tabella3[[#This Row],[Day]]-t0a)/wa))^(pa/(1-pa))</calculatedColumnFormula>
    </tableColumn>
    <tableColumn id="26" xr3:uid="{09DF6F78-AD5E-4D2B-8B55-4D9808403ED3}" name="Colonna322" dataDxfId="16">
      <calculatedColumnFormula>Tabella3[[#This Row],[rest of Italy fit]]*NOT(ISBLANK(Tabella3[[#This Row],[rest of Italy]]))</calculatedColumnFormula>
    </tableColumn>
    <tableColumn id="19" xr3:uid="{825B4302-D347-4A3A-B1B4-0C960AAFF399}" name="o_r_Upper CI"/>
    <tableColumn id="20" xr3:uid="{E509F0A5-EBDA-42F5-8E21-168F4C595F15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E7:AF18" totalsRowShown="0" headerRowDxfId="15" dataDxfId="14">
  <autoFilter ref="AE7:AF18" xr:uid="{00766B7A-46BC-4E07-B4A9-02AE45892E82}"/>
  <tableColumns count="2">
    <tableColumn id="1" xr3:uid="{E4319721-3F80-4342-9D0A-B78DF39299B8}" name="Whole country sum" dataDxfId="13"/>
    <tableColumn id="2" xr3:uid="{B084DEAD-F4A7-4385-950A-B66123852865}" name="Italy sum" dataDxfId="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E19:AF31" totalsRowShown="0">
  <autoFilter ref="AE19:AF31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E32:AF44" totalsRowShown="0" headerRowDxfId="11">
  <autoFilter ref="AE32:AF44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E45:AF57" totalsRowShown="0" headerRowDxfId="10">
  <autoFilter ref="AE45:AF57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" dT="2020-04-14T23:13:14.57" personId="{46504131-ADD3-4530-BCC7-16E4FED1C2C4}" id="{0DC7A40C-BE43-4677-9AB9-8D81E3F93753}">
    <text>growth scaling parameter</text>
  </threadedComment>
  <threadedComment ref="AA3" dT="2020-04-13T00:14:38.76" personId="{46504131-ADD3-4530-BCC7-16E4FED1C2C4}" id="{9245F79D-0A65-47DF-94F6-E3B4785505E5}">
    <text>Saturation value or carrying capalcity</text>
  </threadedComment>
  <threadedComment ref="AA4" dT="2020-04-13T00:15:06.31" personId="{46504131-ADD3-4530-BCC7-16E4FED1C2C4}" id="{508682D8-E4CA-4254-BC8F-0BEE1BE81BAD}">
    <text>Point of inflection</text>
  </threadedComment>
  <threadedComment ref="AA5" dT="2020-04-13T00:16:48.93" personId="{46504131-ADD3-4530-BCC7-16E4FED1C2C4}" id="{060E0141-247F-4A90-AA8B-0CA71CEA93DC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2" dT="2020-04-14T23:13:14.57" personId="{46504131-ADD3-4530-BCC7-16E4FED1C2C4}" id="{2254B7A5-0543-4527-B870-2CD7E17BEC32}">
    <text>growth scaling parameter</text>
  </threadedComment>
  <threadedComment ref="AG3" dT="2020-04-13T00:14:38.76" personId="{46504131-ADD3-4530-BCC7-16E4FED1C2C4}" id="{722BC269-F91C-4139-8BC1-B2D7CFD655D1}">
    <text>Saturation value or carrying capalcity</text>
  </threadedComment>
  <threadedComment ref="AG4" dT="2020-04-13T00:15:06.31" personId="{46504131-ADD3-4530-BCC7-16E4FED1C2C4}" id="{545E94EF-1517-4064-88E6-2D9228EF509C}">
    <text>Point of inflection</text>
  </threadedComment>
  <threadedComment ref="AG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3"/>
  <sheetViews>
    <sheetView topLeftCell="A34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4">
        <v>43885.75</v>
      </c>
      <c r="B2" s="13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3" t="s">
        <v>27</v>
      </c>
      <c r="O2" s="13" t="s">
        <v>27</v>
      </c>
    </row>
    <row r="3" spans="1:15" x14ac:dyDescent="0.3">
      <c r="A3" s="14">
        <v>43886.75</v>
      </c>
      <c r="B3" s="13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3" t="s">
        <v>27</v>
      </c>
      <c r="O3" s="13" t="s">
        <v>27</v>
      </c>
    </row>
    <row r="4" spans="1:15" x14ac:dyDescent="0.3">
      <c r="A4" s="14">
        <v>43887.75</v>
      </c>
      <c r="B4" s="13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3" t="s">
        <v>27</v>
      </c>
      <c r="O4" s="13" t="s">
        <v>27</v>
      </c>
    </row>
    <row r="5" spans="1:15" x14ac:dyDescent="0.3">
      <c r="A5" s="14">
        <v>43888.75</v>
      </c>
      <c r="B5" s="13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3" t="s">
        <v>27</v>
      </c>
      <c r="O5" s="13" t="s">
        <v>27</v>
      </c>
    </row>
    <row r="6" spans="1:15" x14ac:dyDescent="0.3">
      <c r="A6" s="14">
        <v>43889.75</v>
      </c>
      <c r="B6" s="13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3" t="s">
        <v>27</v>
      </c>
      <c r="O6" s="13" t="s">
        <v>27</v>
      </c>
    </row>
    <row r="7" spans="1:15" x14ac:dyDescent="0.3">
      <c r="A7" s="14">
        <v>43890.75</v>
      </c>
      <c r="B7" s="13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3" t="s">
        <v>27</v>
      </c>
      <c r="O7" s="13" t="s">
        <v>27</v>
      </c>
    </row>
    <row r="8" spans="1:15" x14ac:dyDescent="0.3">
      <c r="A8" s="14">
        <v>43891.75</v>
      </c>
      <c r="B8" s="13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3" t="s">
        <v>27</v>
      </c>
      <c r="O8" s="13" t="s">
        <v>27</v>
      </c>
    </row>
    <row r="9" spans="1:15" x14ac:dyDescent="0.3">
      <c r="A9" s="14">
        <v>43892.75</v>
      </c>
      <c r="B9" s="13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3" t="s">
        <v>27</v>
      </c>
      <c r="O9" s="13" t="s">
        <v>27</v>
      </c>
    </row>
    <row r="10" spans="1:15" x14ac:dyDescent="0.3">
      <c r="A10" s="14">
        <v>43893.75</v>
      </c>
      <c r="B10" s="13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3" t="s">
        <v>27</v>
      </c>
      <c r="O10" s="13" t="s">
        <v>27</v>
      </c>
    </row>
    <row r="11" spans="1:15" x14ac:dyDescent="0.3">
      <c r="A11" s="14">
        <v>43894.75</v>
      </c>
      <c r="B11" s="13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3" t="s">
        <v>27</v>
      </c>
      <c r="O11" s="13" t="s">
        <v>27</v>
      </c>
    </row>
    <row r="12" spans="1:15" x14ac:dyDescent="0.3">
      <c r="A12" s="14">
        <v>43895.75</v>
      </c>
      <c r="B12" s="13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3" t="s">
        <v>27</v>
      </c>
      <c r="O12" s="13" t="s">
        <v>27</v>
      </c>
    </row>
    <row r="13" spans="1:15" x14ac:dyDescent="0.3">
      <c r="A13" s="14">
        <v>43896.75</v>
      </c>
      <c r="B13" s="13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3" t="s">
        <v>27</v>
      </c>
      <c r="O13" s="13" t="s">
        <v>27</v>
      </c>
    </row>
    <row r="14" spans="1:15" x14ac:dyDescent="0.3">
      <c r="A14" s="14">
        <v>43897.75</v>
      </c>
      <c r="B14" s="13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3" t="s">
        <v>28</v>
      </c>
      <c r="O14" s="13" t="s">
        <v>29</v>
      </c>
    </row>
    <row r="15" spans="1:15" x14ac:dyDescent="0.3">
      <c r="A15" s="14">
        <v>43898.75</v>
      </c>
      <c r="B15" s="13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3" t="s">
        <v>27</v>
      </c>
      <c r="O15" s="13" t="s">
        <v>27</v>
      </c>
    </row>
    <row r="16" spans="1:15" x14ac:dyDescent="0.3">
      <c r="A16" s="14">
        <v>43899.75</v>
      </c>
      <c r="B16" s="13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3" t="s">
        <v>27</v>
      </c>
      <c r="O16" s="13" t="s">
        <v>27</v>
      </c>
    </row>
    <row r="17" spans="1:15" x14ac:dyDescent="0.3">
      <c r="A17" s="14">
        <v>43900.75</v>
      </c>
      <c r="B17" s="13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3" t="s">
        <v>30</v>
      </c>
      <c r="O17" s="13" t="s">
        <v>31</v>
      </c>
    </row>
    <row r="18" spans="1:15" x14ac:dyDescent="0.3">
      <c r="A18" s="14">
        <v>43901.708333333336</v>
      </c>
      <c r="B18" s="13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3" t="s">
        <v>32</v>
      </c>
      <c r="O18" s="13" t="s">
        <v>33</v>
      </c>
    </row>
    <row r="19" spans="1:15" x14ac:dyDescent="0.3">
      <c r="A19" s="14">
        <v>43902.708333333336</v>
      </c>
      <c r="B19" s="13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3" t="s">
        <v>27</v>
      </c>
      <c r="O19" s="13" t="s">
        <v>27</v>
      </c>
    </row>
    <row r="20" spans="1:15" x14ac:dyDescent="0.3">
      <c r="A20" s="14">
        <v>43903.708333333336</v>
      </c>
      <c r="B20" s="13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3" t="s">
        <v>27</v>
      </c>
      <c r="O20" s="13" t="s">
        <v>27</v>
      </c>
    </row>
    <row r="21" spans="1:15" x14ac:dyDescent="0.3">
      <c r="A21" s="14">
        <v>43904.708333333336</v>
      </c>
      <c r="B21" s="13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3" t="s">
        <v>27</v>
      </c>
      <c r="O21" s="13" t="s">
        <v>27</v>
      </c>
    </row>
    <row r="22" spans="1:15" x14ac:dyDescent="0.3">
      <c r="A22" s="14">
        <v>43905.708333333336</v>
      </c>
      <c r="B22" s="13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3" t="s">
        <v>27</v>
      </c>
      <c r="O22" s="13" t="s">
        <v>27</v>
      </c>
    </row>
    <row r="23" spans="1:15" x14ac:dyDescent="0.3">
      <c r="A23" s="14">
        <v>43906.708333333336</v>
      </c>
      <c r="B23" s="13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3" t="s">
        <v>34</v>
      </c>
      <c r="O23" s="13" t="s">
        <v>35</v>
      </c>
    </row>
    <row r="24" spans="1:15" x14ac:dyDescent="0.3">
      <c r="A24" s="14">
        <v>43907.708333333336</v>
      </c>
      <c r="B24" s="13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3" t="s">
        <v>36</v>
      </c>
      <c r="O24" s="13" t="s">
        <v>37</v>
      </c>
    </row>
    <row r="25" spans="1:15" x14ac:dyDescent="0.3">
      <c r="A25" s="14">
        <v>43908.708333333336</v>
      </c>
      <c r="B25" s="13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3" t="s">
        <v>38</v>
      </c>
      <c r="O25" s="13" t="s">
        <v>39</v>
      </c>
    </row>
    <row r="26" spans="1:15" x14ac:dyDescent="0.3">
      <c r="A26" s="14">
        <v>43909.708333333336</v>
      </c>
      <c r="B26" s="13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3" t="s">
        <v>27</v>
      </c>
      <c r="O26" s="13" t="s">
        <v>27</v>
      </c>
    </row>
    <row r="27" spans="1:15" x14ac:dyDescent="0.3">
      <c r="A27" s="14">
        <v>43910.708333333336</v>
      </c>
      <c r="B27" s="13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3" t="s">
        <v>27</v>
      </c>
      <c r="O27" s="13" t="s">
        <v>27</v>
      </c>
    </row>
    <row r="28" spans="1:15" x14ac:dyDescent="0.3">
      <c r="A28" s="14">
        <v>43911.708333333336</v>
      </c>
      <c r="B28" s="13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3" t="s">
        <v>27</v>
      </c>
      <c r="O28" s="13" t="s">
        <v>27</v>
      </c>
    </row>
    <row r="29" spans="1:15" x14ac:dyDescent="0.3">
      <c r="A29" s="14">
        <v>43912.708333333336</v>
      </c>
      <c r="B29" s="13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3" t="s">
        <v>27</v>
      </c>
      <c r="O29" s="13" t="s">
        <v>27</v>
      </c>
    </row>
    <row r="30" spans="1:15" x14ac:dyDescent="0.3">
      <c r="A30" s="14">
        <v>43913.708333333336</v>
      </c>
      <c r="B30" s="13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3" t="s">
        <v>27</v>
      </c>
      <c r="O30" s="13" t="s">
        <v>27</v>
      </c>
    </row>
    <row r="31" spans="1:15" x14ac:dyDescent="0.3">
      <c r="A31" s="14">
        <v>43914.708333333336</v>
      </c>
      <c r="B31" s="13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3" t="s">
        <v>27</v>
      </c>
      <c r="O31" s="13" t="s">
        <v>27</v>
      </c>
    </row>
    <row r="32" spans="1:15" x14ac:dyDescent="0.3">
      <c r="A32" s="14">
        <v>43915.708333333336</v>
      </c>
      <c r="B32" s="13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3" t="s">
        <v>27</v>
      </c>
      <c r="O32" s="13" t="s">
        <v>27</v>
      </c>
    </row>
    <row r="33" spans="1:15" x14ac:dyDescent="0.3">
      <c r="A33" s="14">
        <v>43916.708333333336</v>
      </c>
      <c r="B33" s="13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3" t="s">
        <v>89</v>
      </c>
      <c r="O33" s="13" t="s">
        <v>90</v>
      </c>
    </row>
    <row r="34" spans="1:15" x14ac:dyDescent="0.3">
      <c r="A34" s="14">
        <v>43917.708333333336</v>
      </c>
      <c r="B34" s="13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3" t="s">
        <v>27</v>
      </c>
      <c r="O34" s="13" t="s">
        <v>27</v>
      </c>
    </row>
    <row r="35" spans="1:15" x14ac:dyDescent="0.3">
      <c r="A35" s="14">
        <v>43918.708333333336</v>
      </c>
      <c r="B35" s="13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3" t="s">
        <v>27</v>
      </c>
      <c r="O35" s="13" t="s">
        <v>27</v>
      </c>
    </row>
    <row r="36" spans="1:15" x14ac:dyDescent="0.3">
      <c r="A36" s="14">
        <v>43919.708333333336</v>
      </c>
      <c r="B36" s="13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3" t="s">
        <v>96</v>
      </c>
      <c r="O36" s="13" t="s">
        <v>97</v>
      </c>
    </row>
    <row r="37" spans="1:15" x14ac:dyDescent="0.3">
      <c r="A37" s="14">
        <v>43920.708333333336</v>
      </c>
      <c r="B37" s="13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3" t="s">
        <v>27</v>
      </c>
      <c r="O37" s="13" t="s">
        <v>27</v>
      </c>
    </row>
    <row r="38" spans="1:15" x14ac:dyDescent="0.3">
      <c r="A38" s="14">
        <v>43921.708333333336</v>
      </c>
      <c r="B38" s="13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3" t="s">
        <v>27</v>
      </c>
      <c r="O38" s="13" t="s">
        <v>27</v>
      </c>
    </row>
    <row r="39" spans="1:15" x14ac:dyDescent="0.3">
      <c r="A39" s="14">
        <v>43922.708333333336</v>
      </c>
      <c r="B39" s="13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3" t="s">
        <v>27</v>
      </c>
      <c r="O39" s="13" t="s">
        <v>27</v>
      </c>
    </row>
    <row r="40" spans="1:15" x14ac:dyDescent="0.3">
      <c r="A40" s="14">
        <v>43923.708333333336</v>
      </c>
      <c r="B40" s="13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3" t="s">
        <v>27</v>
      </c>
      <c r="O40" s="13" t="s">
        <v>27</v>
      </c>
    </row>
    <row r="41" spans="1:15" x14ac:dyDescent="0.3">
      <c r="A41" s="14">
        <v>43924.708333333336</v>
      </c>
      <c r="B41" s="13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3" t="s">
        <v>27</v>
      </c>
      <c r="O41" s="13" t="s">
        <v>27</v>
      </c>
    </row>
    <row r="42" spans="1:15" x14ac:dyDescent="0.3">
      <c r="A42" s="14">
        <v>43925.708333333336</v>
      </c>
      <c r="B42" s="13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3" t="s">
        <v>27</v>
      </c>
      <c r="O42" s="13" t="s">
        <v>27</v>
      </c>
    </row>
    <row r="43" spans="1:15" x14ac:dyDescent="0.3">
      <c r="A43" s="14">
        <v>43926.708333333336</v>
      </c>
      <c r="B43" s="13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3" t="s">
        <v>27</v>
      </c>
      <c r="O43" s="13" t="s">
        <v>27</v>
      </c>
    </row>
    <row r="44" spans="1:15" x14ac:dyDescent="0.3">
      <c r="A44" s="14">
        <v>43927.708333333336</v>
      </c>
      <c r="B44" s="13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3" t="s">
        <v>27</v>
      </c>
      <c r="O44" s="13" t="s">
        <v>27</v>
      </c>
    </row>
    <row r="45" spans="1:15" x14ac:dyDescent="0.3">
      <c r="A45" s="14">
        <v>43928.708333333336</v>
      </c>
      <c r="B45" s="13" t="s">
        <v>23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3" t="s">
        <v>27</v>
      </c>
      <c r="O45" s="13" t="s">
        <v>27</v>
      </c>
    </row>
    <row r="46" spans="1:15" x14ac:dyDescent="0.3">
      <c r="A46" s="14">
        <v>43929.708333333336</v>
      </c>
      <c r="B46" s="13" t="s">
        <v>23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3" t="s">
        <v>27</v>
      </c>
      <c r="O46" s="13" t="s">
        <v>27</v>
      </c>
    </row>
    <row r="47" spans="1:15" x14ac:dyDescent="0.3">
      <c r="A47" s="14">
        <v>43930.708333333336</v>
      </c>
      <c r="B47" s="13" t="s">
        <v>23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3" t="s">
        <v>27</v>
      </c>
      <c r="O47" s="13" t="s">
        <v>27</v>
      </c>
    </row>
    <row r="48" spans="1:15" x14ac:dyDescent="0.3">
      <c r="A48" s="14">
        <v>43931.708333333336</v>
      </c>
      <c r="B48" s="13" t="s">
        <v>23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3" t="s">
        <v>122</v>
      </c>
      <c r="O48" s="13" t="s">
        <v>123</v>
      </c>
    </row>
    <row r="49" spans="1:15" x14ac:dyDescent="0.3">
      <c r="A49" s="14">
        <v>43932.708333333336</v>
      </c>
      <c r="B49" s="13" t="s">
        <v>23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3" t="s">
        <v>27</v>
      </c>
      <c r="O49" s="13" t="s">
        <v>27</v>
      </c>
    </row>
    <row r="50" spans="1:15" x14ac:dyDescent="0.3">
      <c r="A50" s="14">
        <v>43933.708333333336</v>
      </c>
      <c r="B50" s="13" t="s">
        <v>23</v>
      </c>
      <c r="C50" s="79">
        <v>27847</v>
      </c>
      <c r="D50" s="79">
        <v>3343</v>
      </c>
      <c r="E50" s="79">
        <v>31190</v>
      </c>
      <c r="F50" s="79">
        <v>71063</v>
      </c>
      <c r="G50" s="79">
        <v>102253</v>
      </c>
      <c r="H50" s="79">
        <v>1984</v>
      </c>
      <c r="I50" s="79">
        <v>4092</v>
      </c>
      <c r="J50" s="79">
        <v>34211</v>
      </c>
      <c r="K50" s="79">
        <v>19899</v>
      </c>
      <c r="L50" s="79">
        <v>156363</v>
      </c>
      <c r="M50" s="79">
        <v>1010193</v>
      </c>
      <c r="N50" s="13" t="s">
        <v>124</v>
      </c>
      <c r="O50" s="13" t="s">
        <v>125</v>
      </c>
    </row>
    <row r="51" spans="1:15" x14ac:dyDescent="0.3">
      <c r="A51" s="14">
        <v>43934.708333333336</v>
      </c>
      <c r="B51" s="13" t="s">
        <v>23</v>
      </c>
      <c r="C51" s="82">
        <v>28023</v>
      </c>
      <c r="D51" s="82">
        <v>3260</v>
      </c>
      <c r="E51" s="82">
        <v>31283</v>
      </c>
      <c r="F51" s="82">
        <v>72333</v>
      </c>
      <c r="G51" s="82">
        <v>103616</v>
      </c>
      <c r="H51" s="82">
        <v>1363</v>
      </c>
      <c r="I51" s="82">
        <v>3153</v>
      </c>
      <c r="J51" s="82">
        <v>35435</v>
      </c>
      <c r="K51" s="82">
        <v>20465</v>
      </c>
      <c r="L51" s="82">
        <v>159516</v>
      </c>
      <c r="M51" s="82">
        <v>1046910</v>
      </c>
      <c r="N51" s="13" t="s">
        <v>27</v>
      </c>
      <c r="O51" s="13" t="s">
        <v>27</v>
      </c>
    </row>
    <row r="52" spans="1:15" x14ac:dyDescent="0.3">
      <c r="A52" s="14">
        <v>43935.708333333336</v>
      </c>
      <c r="B52" s="13" t="s">
        <v>23</v>
      </c>
      <c r="C52" s="102">
        <v>28011</v>
      </c>
      <c r="D52" s="102">
        <v>3186</v>
      </c>
      <c r="E52" s="102">
        <v>31197</v>
      </c>
      <c r="F52" s="102">
        <v>73094</v>
      </c>
      <c r="G52" s="102">
        <v>104291</v>
      </c>
      <c r="H52" s="102">
        <v>675</v>
      </c>
      <c r="I52" s="102">
        <v>2972</v>
      </c>
      <c r="J52" s="102">
        <v>37130</v>
      </c>
      <c r="K52" s="102">
        <v>21067</v>
      </c>
      <c r="L52" s="102">
        <v>162488</v>
      </c>
      <c r="M52" s="102">
        <v>1073689</v>
      </c>
      <c r="N52" s="13" t="s">
        <v>27</v>
      </c>
      <c r="O52" s="13" t="s">
        <v>27</v>
      </c>
    </row>
    <row r="53" spans="1:15" x14ac:dyDescent="0.3">
      <c r="A53" s="14">
        <v>43936.708333333336</v>
      </c>
      <c r="B53" s="13" t="s">
        <v>23</v>
      </c>
      <c r="C53" s="102">
        <v>27643</v>
      </c>
      <c r="D53" s="102">
        <v>3079</v>
      </c>
      <c r="E53" s="102">
        <v>30722</v>
      </c>
      <c r="F53" s="102">
        <v>74696</v>
      </c>
      <c r="G53" s="102">
        <v>105418</v>
      </c>
      <c r="H53" s="102">
        <v>1127</v>
      </c>
      <c r="I53" s="102">
        <v>2667</v>
      </c>
      <c r="J53" s="102">
        <v>38092</v>
      </c>
      <c r="K53" s="102">
        <v>21645</v>
      </c>
      <c r="L53" s="102">
        <v>165155</v>
      </c>
      <c r="M53" s="102">
        <v>1117404</v>
      </c>
      <c r="N53" s="13" t="s">
        <v>207</v>
      </c>
      <c r="O53" s="13" t="s">
        <v>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93"/>
  <sheetViews>
    <sheetView topLeftCell="A620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4">
        <v>43885.75</v>
      </c>
      <c r="B2" s="13" t="s">
        <v>23</v>
      </c>
      <c r="C2" s="2">
        <v>13</v>
      </c>
      <c r="D2" s="13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3" t="s">
        <v>27</v>
      </c>
      <c r="S2" s="13" t="s">
        <v>27</v>
      </c>
    </row>
    <row r="3" spans="1:19" hidden="1" x14ac:dyDescent="0.3">
      <c r="A3" s="14">
        <v>43885.75</v>
      </c>
      <c r="B3" s="13" t="s">
        <v>23</v>
      </c>
      <c r="C3" s="2">
        <v>17</v>
      </c>
      <c r="D3" s="13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3" t="s">
        <v>27</v>
      </c>
      <c r="S3" s="13" t="s">
        <v>27</v>
      </c>
    </row>
    <row r="4" spans="1:19" hidden="1" x14ac:dyDescent="0.3">
      <c r="A4" s="14">
        <v>43885.75</v>
      </c>
      <c r="B4" s="13" t="s">
        <v>23</v>
      </c>
      <c r="C4" s="2">
        <v>4</v>
      </c>
      <c r="D4" s="13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3" t="s">
        <v>27</v>
      </c>
      <c r="S4" s="13" t="s">
        <v>27</v>
      </c>
    </row>
    <row r="5" spans="1:19" hidden="1" x14ac:dyDescent="0.3">
      <c r="A5" s="14">
        <v>43885.75</v>
      </c>
      <c r="B5" s="13" t="s">
        <v>23</v>
      </c>
      <c r="C5" s="2">
        <v>18</v>
      </c>
      <c r="D5" s="13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3" t="s">
        <v>27</v>
      </c>
      <c r="S5" s="13" t="s">
        <v>27</v>
      </c>
    </row>
    <row r="6" spans="1:19" hidden="1" x14ac:dyDescent="0.3">
      <c r="A6" s="14">
        <v>43885.75</v>
      </c>
      <c r="B6" s="13" t="s">
        <v>23</v>
      </c>
      <c r="C6" s="2">
        <v>15</v>
      </c>
      <c r="D6" s="13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3" t="s">
        <v>27</v>
      </c>
      <c r="S6" s="13" t="s">
        <v>27</v>
      </c>
    </row>
    <row r="7" spans="1:19" hidden="1" x14ac:dyDescent="0.3">
      <c r="A7" s="14">
        <v>43885.75</v>
      </c>
      <c r="B7" s="13" t="s">
        <v>23</v>
      </c>
      <c r="C7" s="2">
        <v>8</v>
      </c>
      <c r="D7" s="13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3" t="s">
        <v>27</v>
      </c>
      <c r="S7" s="13" t="s">
        <v>27</v>
      </c>
    </row>
    <row r="8" spans="1:19" hidden="1" x14ac:dyDescent="0.3">
      <c r="A8" s="14">
        <v>43885.75</v>
      </c>
      <c r="B8" s="13" t="s">
        <v>23</v>
      </c>
      <c r="C8" s="2">
        <v>6</v>
      </c>
      <c r="D8" s="13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3" t="s">
        <v>27</v>
      </c>
      <c r="S8" s="13" t="s">
        <v>27</v>
      </c>
    </row>
    <row r="9" spans="1:19" hidden="1" x14ac:dyDescent="0.3">
      <c r="A9" s="14">
        <v>43885.75</v>
      </c>
      <c r="B9" s="13" t="s">
        <v>23</v>
      </c>
      <c r="C9" s="2">
        <v>12</v>
      </c>
      <c r="D9" s="13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3" t="s">
        <v>27</v>
      </c>
      <c r="S9" s="13" t="s">
        <v>27</v>
      </c>
    </row>
    <row r="10" spans="1:19" hidden="1" x14ac:dyDescent="0.3">
      <c r="A10" s="14">
        <v>43885.75</v>
      </c>
      <c r="B10" s="13" t="s">
        <v>23</v>
      </c>
      <c r="C10" s="2">
        <v>7</v>
      </c>
      <c r="D10" s="13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3" t="s">
        <v>27</v>
      </c>
      <c r="S10" s="13" t="s">
        <v>27</v>
      </c>
    </row>
    <row r="11" spans="1:19" x14ac:dyDescent="0.3">
      <c r="A11" s="14">
        <v>43885.75</v>
      </c>
      <c r="B11" s="13" t="s">
        <v>23</v>
      </c>
      <c r="C11" s="2">
        <v>3</v>
      </c>
      <c r="D11" s="13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3" t="s">
        <v>27</v>
      </c>
      <c r="S11" s="13" t="s">
        <v>27</v>
      </c>
    </row>
    <row r="12" spans="1:19" hidden="1" x14ac:dyDescent="0.3">
      <c r="A12" s="14">
        <v>43885.75</v>
      </c>
      <c r="B12" s="13" t="s">
        <v>23</v>
      </c>
      <c r="C12" s="2">
        <v>11</v>
      </c>
      <c r="D12" s="13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3" t="s">
        <v>27</v>
      </c>
      <c r="S12" s="13" t="s">
        <v>27</v>
      </c>
    </row>
    <row r="13" spans="1:19" hidden="1" x14ac:dyDescent="0.3">
      <c r="A13" s="14">
        <v>43885.75</v>
      </c>
      <c r="B13" s="13" t="s">
        <v>23</v>
      </c>
      <c r="C13" s="2">
        <v>14</v>
      </c>
      <c r="D13" s="13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3" t="s">
        <v>27</v>
      </c>
      <c r="S13" s="13" t="s">
        <v>27</v>
      </c>
    </row>
    <row r="14" spans="1:19" hidden="1" x14ac:dyDescent="0.3">
      <c r="A14" s="14">
        <v>43885.75</v>
      </c>
      <c r="B14" s="13" t="s">
        <v>23</v>
      </c>
      <c r="C14" s="2">
        <v>1</v>
      </c>
      <c r="D14" s="13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3" t="s">
        <v>27</v>
      </c>
      <c r="S14" s="13" t="s">
        <v>27</v>
      </c>
    </row>
    <row r="15" spans="1:19" hidden="1" x14ac:dyDescent="0.3">
      <c r="A15" s="14">
        <v>43885.75</v>
      </c>
      <c r="B15" s="13" t="s">
        <v>23</v>
      </c>
      <c r="C15" s="2">
        <v>16</v>
      </c>
      <c r="D15" s="13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3" t="s">
        <v>27</v>
      </c>
      <c r="S15" s="13" t="s">
        <v>27</v>
      </c>
    </row>
    <row r="16" spans="1:19" hidden="1" x14ac:dyDescent="0.3">
      <c r="A16" s="14">
        <v>43885.75</v>
      </c>
      <c r="B16" s="13" t="s">
        <v>23</v>
      </c>
      <c r="C16" s="2">
        <v>20</v>
      </c>
      <c r="D16" s="13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3" t="s">
        <v>27</v>
      </c>
      <c r="S16" s="13" t="s">
        <v>27</v>
      </c>
    </row>
    <row r="17" spans="1:19" hidden="1" x14ac:dyDescent="0.3">
      <c r="A17" s="14">
        <v>43885.75</v>
      </c>
      <c r="B17" s="13" t="s">
        <v>23</v>
      </c>
      <c r="C17" s="2">
        <v>19</v>
      </c>
      <c r="D17" s="13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3" t="s">
        <v>27</v>
      </c>
      <c r="S17" s="13" t="s">
        <v>27</v>
      </c>
    </row>
    <row r="18" spans="1:19" hidden="1" x14ac:dyDescent="0.3">
      <c r="A18" s="14">
        <v>43885.75</v>
      </c>
      <c r="B18" s="13" t="s">
        <v>23</v>
      </c>
      <c r="C18" s="2">
        <v>9</v>
      </c>
      <c r="D18" s="13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3" t="s">
        <v>27</v>
      </c>
      <c r="S18" s="13" t="s">
        <v>27</v>
      </c>
    </row>
    <row r="19" spans="1:19" hidden="1" x14ac:dyDescent="0.3">
      <c r="A19" s="14">
        <v>43885.75</v>
      </c>
      <c r="B19" s="13" t="s">
        <v>23</v>
      </c>
      <c r="C19" s="2">
        <v>4</v>
      </c>
      <c r="D19" s="13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3" t="s">
        <v>27</v>
      </c>
      <c r="S19" s="13" t="s">
        <v>27</v>
      </c>
    </row>
    <row r="20" spans="1:19" hidden="1" x14ac:dyDescent="0.3">
      <c r="A20" s="14">
        <v>43885.75</v>
      </c>
      <c r="B20" s="13" t="s">
        <v>23</v>
      </c>
      <c r="C20" s="2">
        <v>10</v>
      </c>
      <c r="D20" s="13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3" t="s">
        <v>27</v>
      </c>
      <c r="S20" s="13" t="s">
        <v>27</v>
      </c>
    </row>
    <row r="21" spans="1:19" hidden="1" x14ac:dyDescent="0.3">
      <c r="A21" s="14">
        <v>43885.75</v>
      </c>
      <c r="B21" s="13" t="s">
        <v>23</v>
      </c>
      <c r="C21" s="2">
        <v>2</v>
      </c>
      <c r="D21" s="13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3" t="s">
        <v>27</v>
      </c>
      <c r="S21" s="13" t="s">
        <v>27</v>
      </c>
    </row>
    <row r="22" spans="1:19" hidden="1" x14ac:dyDescent="0.3">
      <c r="A22" s="14">
        <v>43885.75</v>
      </c>
      <c r="B22" s="13" t="s">
        <v>23</v>
      </c>
      <c r="C22" s="2">
        <v>5</v>
      </c>
      <c r="D22" s="13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3" t="s">
        <v>27</v>
      </c>
      <c r="S22" s="13" t="s">
        <v>27</v>
      </c>
    </row>
    <row r="23" spans="1:19" hidden="1" x14ac:dyDescent="0.3">
      <c r="A23" s="14">
        <v>43886.75</v>
      </c>
      <c r="B23" s="13" t="s">
        <v>23</v>
      </c>
      <c r="C23" s="2">
        <v>13</v>
      </c>
      <c r="D23" s="13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3" t="s">
        <v>27</v>
      </c>
      <c r="S23" s="13" t="s">
        <v>27</v>
      </c>
    </row>
    <row r="24" spans="1:19" hidden="1" x14ac:dyDescent="0.3">
      <c r="A24" s="14">
        <v>43886.75</v>
      </c>
      <c r="B24" s="13" t="s">
        <v>23</v>
      </c>
      <c r="C24" s="2">
        <v>17</v>
      </c>
      <c r="D24" s="13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3" t="s">
        <v>27</v>
      </c>
      <c r="S24" s="13" t="s">
        <v>27</v>
      </c>
    </row>
    <row r="25" spans="1:19" hidden="1" x14ac:dyDescent="0.3">
      <c r="A25" s="14">
        <v>43886.75</v>
      </c>
      <c r="B25" s="13" t="s">
        <v>23</v>
      </c>
      <c r="C25" s="2">
        <v>4</v>
      </c>
      <c r="D25" s="13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3" t="s">
        <v>27</v>
      </c>
      <c r="S25" s="13" t="s">
        <v>27</v>
      </c>
    </row>
    <row r="26" spans="1:19" hidden="1" x14ac:dyDescent="0.3">
      <c r="A26" s="14">
        <v>43886.75</v>
      </c>
      <c r="B26" s="13" t="s">
        <v>23</v>
      </c>
      <c r="C26" s="2">
        <v>18</v>
      </c>
      <c r="D26" s="13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3" t="s">
        <v>27</v>
      </c>
      <c r="S26" s="13" t="s">
        <v>27</v>
      </c>
    </row>
    <row r="27" spans="1:19" hidden="1" x14ac:dyDescent="0.3">
      <c r="A27" s="14">
        <v>43886.75</v>
      </c>
      <c r="B27" s="13" t="s">
        <v>23</v>
      </c>
      <c r="C27" s="2">
        <v>15</v>
      </c>
      <c r="D27" s="13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3" t="s">
        <v>27</v>
      </c>
      <c r="S27" s="13" t="s">
        <v>27</v>
      </c>
    </row>
    <row r="28" spans="1:19" hidden="1" x14ac:dyDescent="0.3">
      <c r="A28" s="14">
        <v>43886.75</v>
      </c>
      <c r="B28" s="13" t="s">
        <v>23</v>
      </c>
      <c r="C28" s="2">
        <v>8</v>
      </c>
      <c r="D28" s="13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3" t="s">
        <v>27</v>
      </c>
      <c r="S28" s="13" t="s">
        <v>27</v>
      </c>
    </row>
    <row r="29" spans="1:19" hidden="1" x14ac:dyDescent="0.3">
      <c r="A29" s="14">
        <v>43886.75</v>
      </c>
      <c r="B29" s="13" t="s">
        <v>23</v>
      </c>
      <c r="C29" s="2">
        <v>6</v>
      </c>
      <c r="D29" s="13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3" t="s">
        <v>27</v>
      </c>
      <c r="S29" s="13" t="s">
        <v>27</v>
      </c>
    </row>
    <row r="30" spans="1:19" hidden="1" x14ac:dyDescent="0.3">
      <c r="A30" s="14">
        <v>43886.75</v>
      </c>
      <c r="B30" s="13" t="s">
        <v>23</v>
      </c>
      <c r="C30" s="2">
        <v>12</v>
      </c>
      <c r="D30" s="13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3" t="s">
        <v>27</v>
      </c>
      <c r="S30" s="13" t="s">
        <v>27</v>
      </c>
    </row>
    <row r="31" spans="1:19" hidden="1" x14ac:dyDescent="0.3">
      <c r="A31" s="14">
        <v>43886.75</v>
      </c>
      <c r="B31" s="13" t="s">
        <v>23</v>
      </c>
      <c r="C31" s="2">
        <v>7</v>
      </c>
      <c r="D31" s="13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3" t="s">
        <v>27</v>
      </c>
      <c r="S31" s="13" t="s">
        <v>27</v>
      </c>
    </row>
    <row r="32" spans="1:19" x14ac:dyDescent="0.3">
      <c r="A32" s="14">
        <v>43886.75</v>
      </c>
      <c r="B32" s="13" t="s">
        <v>23</v>
      </c>
      <c r="C32" s="2">
        <v>3</v>
      </c>
      <c r="D32" s="13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3" t="s">
        <v>27</v>
      </c>
      <c r="S32" s="13" t="s">
        <v>27</v>
      </c>
    </row>
    <row r="33" spans="1:19" hidden="1" x14ac:dyDescent="0.3">
      <c r="A33" s="14">
        <v>43886.75</v>
      </c>
      <c r="B33" s="13" t="s">
        <v>23</v>
      </c>
      <c r="C33" s="2">
        <v>11</v>
      </c>
      <c r="D33" s="13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3" t="s">
        <v>27</v>
      </c>
      <c r="S33" s="13" t="s">
        <v>27</v>
      </c>
    </row>
    <row r="34" spans="1:19" hidden="1" x14ac:dyDescent="0.3">
      <c r="A34" s="14">
        <v>43886.75</v>
      </c>
      <c r="B34" s="13" t="s">
        <v>23</v>
      </c>
      <c r="C34" s="2">
        <v>14</v>
      </c>
      <c r="D34" s="13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3" t="s">
        <v>27</v>
      </c>
      <c r="S34" s="13" t="s">
        <v>27</v>
      </c>
    </row>
    <row r="35" spans="1:19" hidden="1" x14ac:dyDescent="0.3">
      <c r="A35" s="14">
        <v>43886.75</v>
      </c>
      <c r="B35" s="13" t="s">
        <v>23</v>
      </c>
      <c r="C35" s="2">
        <v>1</v>
      </c>
      <c r="D35" s="13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3" t="s">
        <v>27</v>
      </c>
      <c r="S35" s="13" t="s">
        <v>27</v>
      </c>
    </row>
    <row r="36" spans="1:19" hidden="1" x14ac:dyDescent="0.3">
      <c r="A36" s="14">
        <v>43886.75</v>
      </c>
      <c r="B36" s="13" t="s">
        <v>23</v>
      </c>
      <c r="C36" s="2">
        <v>16</v>
      </c>
      <c r="D36" s="13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3" t="s">
        <v>27</v>
      </c>
      <c r="S36" s="13" t="s">
        <v>27</v>
      </c>
    </row>
    <row r="37" spans="1:19" hidden="1" x14ac:dyDescent="0.3">
      <c r="A37" s="14">
        <v>43886.75</v>
      </c>
      <c r="B37" s="13" t="s">
        <v>23</v>
      </c>
      <c r="C37" s="2">
        <v>20</v>
      </c>
      <c r="D37" s="13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3" t="s">
        <v>27</v>
      </c>
      <c r="S37" s="13" t="s">
        <v>27</v>
      </c>
    </row>
    <row r="38" spans="1:19" hidden="1" x14ac:dyDescent="0.3">
      <c r="A38" s="14">
        <v>43886.75</v>
      </c>
      <c r="B38" s="13" t="s">
        <v>23</v>
      </c>
      <c r="C38" s="2">
        <v>19</v>
      </c>
      <c r="D38" s="13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3" t="s">
        <v>27</v>
      </c>
      <c r="S38" s="13" t="s">
        <v>27</v>
      </c>
    </row>
    <row r="39" spans="1:19" hidden="1" x14ac:dyDescent="0.3">
      <c r="A39" s="14">
        <v>43886.75</v>
      </c>
      <c r="B39" s="13" t="s">
        <v>23</v>
      </c>
      <c r="C39" s="2">
        <v>9</v>
      </c>
      <c r="D39" s="13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3" t="s">
        <v>27</v>
      </c>
      <c r="S39" s="13" t="s">
        <v>27</v>
      </c>
    </row>
    <row r="40" spans="1:19" hidden="1" x14ac:dyDescent="0.3">
      <c r="A40" s="14">
        <v>43886.75</v>
      </c>
      <c r="B40" s="13" t="s">
        <v>23</v>
      </c>
      <c r="C40" s="2">
        <v>4</v>
      </c>
      <c r="D40" s="13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3" t="s">
        <v>27</v>
      </c>
      <c r="S40" s="13" t="s">
        <v>27</v>
      </c>
    </row>
    <row r="41" spans="1:19" hidden="1" x14ac:dyDescent="0.3">
      <c r="A41" s="14">
        <v>43886.75</v>
      </c>
      <c r="B41" s="13" t="s">
        <v>23</v>
      </c>
      <c r="C41" s="2">
        <v>10</v>
      </c>
      <c r="D41" s="13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3" t="s">
        <v>27</v>
      </c>
      <c r="S41" s="13" t="s">
        <v>27</v>
      </c>
    </row>
    <row r="42" spans="1:19" hidden="1" x14ac:dyDescent="0.3">
      <c r="A42" s="14">
        <v>43886.75</v>
      </c>
      <c r="B42" s="13" t="s">
        <v>23</v>
      </c>
      <c r="C42" s="2">
        <v>2</v>
      </c>
      <c r="D42" s="13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3" t="s">
        <v>27</v>
      </c>
      <c r="S42" s="13" t="s">
        <v>27</v>
      </c>
    </row>
    <row r="43" spans="1:19" hidden="1" x14ac:dyDescent="0.3">
      <c r="A43" s="14">
        <v>43886.75</v>
      </c>
      <c r="B43" s="13" t="s">
        <v>23</v>
      </c>
      <c r="C43" s="2">
        <v>5</v>
      </c>
      <c r="D43" s="13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3" t="s">
        <v>27</v>
      </c>
      <c r="S43" s="13" t="s">
        <v>27</v>
      </c>
    </row>
    <row r="44" spans="1:19" hidden="1" x14ac:dyDescent="0.3">
      <c r="A44" s="14">
        <v>43887.75</v>
      </c>
      <c r="B44" s="13" t="s">
        <v>23</v>
      </c>
      <c r="C44" s="2">
        <v>13</v>
      </c>
      <c r="D44" s="13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3" t="s">
        <v>27</v>
      </c>
      <c r="S44" s="13" t="s">
        <v>27</v>
      </c>
    </row>
    <row r="45" spans="1:19" hidden="1" x14ac:dyDescent="0.3">
      <c r="A45" s="14">
        <v>43887.75</v>
      </c>
      <c r="B45" s="13" t="s">
        <v>23</v>
      </c>
      <c r="C45" s="2">
        <v>17</v>
      </c>
      <c r="D45" s="13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3" t="s">
        <v>27</v>
      </c>
      <c r="S45" s="13" t="s">
        <v>27</v>
      </c>
    </row>
    <row r="46" spans="1:19" hidden="1" x14ac:dyDescent="0.3">
      <c r="A46" s="14">
        <v>43887.75</v>
      </c>
      <c r="B46" s="13" t="s">
        <v>23</v>
      </c>
      <c r="C46" s="2">
        <v>4</v>
      </c>
      <c r="D46" s="13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3" t="s">
        <v>27</v>
      </c>
      <c r="S46" s="13" t="s">
        <v>27</v>
      </c>
    </row>
    <row r="47" spans="1:19" hidden="1" x14ac:dyDescent="0.3">
      <c r="A47" s="14">
        <v>43887.75</v>
      </c>
      <c r="B47" s="13" t="s">
        <v>23</v>
      </c>
      <c r="C47" s="2">
        <v>18</v>
      </c>
      <c r="D47" s="13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3" t="s">
        <v>27</v>
      </c>
      <c r="S47" s="13" t="s">
        <v>27</v>
      </c>
    </row>
    <row r="48" spans="1:19" hidden="1" x14ac:dyDescent="0.3">
      <c r="A48" s="14">
        <v>43887.75</v>
      </c>
      <c r="B48" s="13" t="s">
        <v>23</v>
      </c>
      <c r="C48" s="2">
        <v>15</v>
      </c>
      <c r="D48" s="13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3" t="s">
        <v>27</v>
      </c>
      <c r="S48" s="13" t="s">
        <v>27</v>
      </c>
    </row>
    <row r="49" spans="1:19" hidden="1" x14ac:dyDescent="0.3">
      <c r="A49" s="14">
        <v>43887.75</v>
      </c>
      <c r="B49" s="13" t="s">
        <v>23</v>
      </c>
      <c r="C49" s="2">
        <v>8</v>
      </c>
      <c r="D49" s="13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3" t="s">
        <v>27</v>
      </c>
      <c r="S49" s="13" t="s">
        <v>27</v>
      </c>
    </row>
    <row r="50" spans="1:19" hidden="1" x14ac:dyDescent="0.3">
      <c r="A50" s="14">
        <v>43887.75</v>
      </c>
      <c r="B50" s="13" t="s">
        <v>23</v>
      </c>
      <c r="C50" s="2">
        <v>6</v>
      </c>
      <c r="D50" s="13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3" t="s">
        <v>27</v>
      </c>
      <c r="S50" s="13" t="s">
        <v>27</v>
      </c>
    </row>
    <row r="51" spans="1:19" hidden="1" x14ac:dyDescent="0.3">
      <c r="A51" s="14">
        <v>43887.75</v>
      </c>
      <c r="B51" s="13" t="s">
        <v>23</v>
      </c>
      <c r="C51" s="2">
        <v>12</v>
      </c>
      <c r="D51" s="13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3" t="s">
        <v>27</v>
      </c>
      <c r="S51" s="13" t="s">
        <v>27</v>
      </c>
    </row>
    <row r="52" spans="1:19" hidden="1" x14ac:dyDescent="0.3">
      <c r="A52" s="14">
        <v>43887.75</v>
      </c>
      <c r="B52" s="13" t="s">
        <v>23</v>
      </c>
      <c r="C52" s="2">
        <v>7</v>
      </c>
      <c r="D52" s="13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3" t="s">
        <v>27</v>
      </c>
      <c r="S52" s="13" t="s">
        <v>27</v>
      </c>
    </row>
    <row r="53" spans="1:19" x14ac:dyDescent="0.3">
      <c r="A53" s="14">
        <v>43887.75</v>
      </c>
      <c r="B53" s="13" t="s">
        <v>23</v>
      </c>
      <c r="C53" s="2">
        <v>3</v>
      </c>
      <c r="D53" s="13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3" t="s">
        <v>27</v>
      </c>
      <c r="S53" s="13" t="s">
        <v>27</v>
      </c>
    </row>
    <row r="54" spans="1:19" hidden="1" x14ac:dyDescent="0.3">
      <c r="A54" s="14">
        <v>43887.75</v>
      </c>
      <c r="B54" s="13" t="s">
        <v>23</v>
      </c>
      <c r="C54" s="2">
        <v>11</v>
      </c>
      <c r="D54" s="13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3" t="s">
        <v>27</v>
      </c>
      <c r="S54" s="13" t="s">
        <v>27</v>
      </c>
    </row>
    <row r="55" spans="1:19" hidden="1" x14ac:dyDescent="0.3">
      <c r="A55" s="14">
        <v>43887.75</v>
      </c>
      <c r="B55" s="13" t="s">
        <v>23</v>
      </c>
      <c r="C55" s="2">
        <v>14</v>
      </c>
      <c r="D55" s="13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3" t="s">
        <v>27</v>
      </c>
      <c r="S55" s="13" t="s">
        <v>27</v>
      </c>
    </row>
    <row r="56" spans="1:19" hidden="1" x14ac:dyDescent="0.3">
      <c r="A56" s="14">
        <v>43887.75</v>
      </c>
      <c r="B56" s="13" t="s">
        <v>23</v>
      </c>
      <c r="C56" s="2">
        <v>1</v>
      </c>
      <c r="D56" s="13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3" t="s">
        <v>27</v>
      </c>
      <c r="S56" s="13" t="s">
        <v>27</v>
      </c>
    </row>
    <row r="57" spans="1:19" hidden="1" x14ac:dyDescent="0.3">
      <c r="A57" s="14">
        <v>43887.75</v>
      </c>
      <c r="B57" s="13" t="s">
        <v>23</v>
      </c>
      <c r="C57" s="2">
        <v>16</v>
      </c>
      <c r="D57" s="13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3" t="s">
        <v>27</v>
      </c>
      <c r="S57" s="13" t="s">
        <v>27</v>
      </c>
    </row>
    <row r="58" spans="1:19" hidden="1" x14ac:dyDescent="0.3">
      <c r="A58" s="14">
        <v>43887.75</v>
      </c>
      <c r="B58" s="13" t="s">
        <v>23</v>
      </c>
      <c r="C58" s="2">
        <v>20</v>
      </c>
      <c r="D58" s="13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3" t="s">
        <v>27</v>
      </c>
      <c r="S58" s="13" t="s">
        <v>27</v>
      </c>
    </row>
    <row r="59" spans="1:19" hidden="1" x14ac:dyDescent="0.3">
      <c r="A59" s="14">
        <v>43887.75</v>
      </c>
      <c r="B59" s="13" t="s">
        <v>23</v>
      </c>
      <c r="C59" s="2">
        <v>19</v>
      </c>
      <c r="D59" s="13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3" t="s">
        <v>27</v>
      </c>
      <c r="S59" s="13" t="s">
        <v>27</v>
      </c>
    </row>
    <row r="60" spans="1:19" hidden="1" x14ac:dyDescent="0.3">
      <c r="A60" s="14">
        <v>43887.75</v>
      </c>
      <c r="B60" s="13" t="s">
        <v>23</v>
      </c>
      <c r="C60" s="2">
        <v>9</v>
      </c>
      <c r="D60" s="13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3" t="s">
        <v>27</v>
      </c>
      <c r="S60" s="13" t="s">
        <v>27</v>
      </c>
    </row>
    <row r="61" spans="1:19" hidden="1" x14ac:dyDescent="0.3">
      <c r="A61" s="14">
        <v>43887.75</v>
      </c>
      <c r="B61" s="13" t="s">
        <v>23</v>
      </c>
      <c r="C61" s="2">
        <v>4</v>
      </c>
      <c r="D61" s="13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3" t="s">
        <v>27</v>
      </c>
      <c r="S61" s="13" t="s">
        <v>27</v>
      </c>
    </row>
    <row r="62" spans="1:19" hidden="1" x14ac:dyDescent="0.3">
      <c r="A62" s="14">
        <v>43887.75</v>
      </c>
      <c r="B62" s="13" t="s">
        <v>23</v>
      </c>
      <c r="C62" s="2">
        <v>10</v>
      </c>
      <c r="D62" s="13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3" t="s">
        <v>27</v>
      </c>
      <c r="S62" s="13" t="s">
        <v>27</v>
      </c>
    </row>
    <row r="63" spans="1:19" hidden="1" x14ac:dyDescent="0.3">
      <c r="A63" s="14">
        <v>43887.75</v>
      </c>
      <c r="B63" s="13" t="s">
        <v>23</v>
      </c>
      <c r="C63" s="2">
        <v>2</v>
      </c>
      <c r="D63" s="13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3" t="s">
        <v>27</v>
      </c>
      <c r="S63" s="13" t="s">
        <v>27</v>
      </c>
    </row>
    <row r="64" spans="1:19" hidden="1" x14ac:dyDescent="0.3">
      <c r="A64" s="14">
        <v>43887.75</v>
      </c>
      <c r="B64" s="13" t="s">
        <v>23</v>
      </c>
      <c r="C64" s="2">
        <v>5</v>
      </c>
      <c r="D64" s="13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3" t="s">
        <v>27</v>
      </c>
      <c r="S64" s="13" t="s">
        <v>27</v>
      </c>
    </row>
    <row r="65" spans="1:19" hidden="1" x14ac:dyDescent="0.3">
      <c r="A65" s="14">
        <v>43888.75</v>
      </c>
      <c r="B65" s="13" t="s">
        <v>23</v>
      </c>
      <c r="C65" s="2">
        <v>13</v>
      </c>
      <c r="D65" s="13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3" t="s">
        <v>27</v>
      </c>
      <c r="S65" s="13" t="s">
        <v>27</v>
      </c>
    </row>
    <row r="66" spans="1:19" hidden="1" x14ac:dyDescent="0.3">
      <c r="A66" s="14">
        <v>43888.75</v>
      </c>
      <c r="B66" s="13" t="s">
        <v>23</v>
      </c>
      <c r="C66" s="2">
        <v>17</v>
      </c>
      <c r="D66" s="13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3" t="s">
        <v>27</v>
      </c>
      <c r="S66" s="13" t="s">
        <v>27</v>
      </c>
    </row>
    <row r="67" spans="1:19" hidden="1" x14ac:dyDescent="0.3">
      <c r="A67" s="14">
        <v>43888.75</v>
      </c>
      <c r="B67" s="13" t="s">
        <v>23</v>
      </c>
      <c r="C67" s="2">
        <v>4</v>
      </c>
      <c r="D67" s="13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3" t="s">
        <v>27</v>
      </c>
      <c r="S67" s="13" t="s">
        <v>27</v>
      </c>
    </row>
    <row r="68" spans="1:19" hidden="1" x14ac:dyDescent="0.3">
      <c r="A68" s="14">
        <v>43888.75</v>
      </c>
      <c r="B68" s="13" t="s">
        <v>23</v>
      </c>
      <c r="C68" s="2">
        <v>18</v>
      </c>
      <c r="D68" s="13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3" t="s">
        <v>27</v>
      </c>
      <c r="S68" s="13" t="s">
        <v>27</v>
      </c>
    </row>
    <row r="69" spans="1:19" hidden="1" x14ac:dyDescent="0.3">
      <c r="A69" s="14">
        <v>43888.75</v>
      </c>
      <c r="B69" s="13" t="s">
        <v>23</v>
      </c>
      <c r="C69" s="2">
        <v>15</v>
      </c>
      <c r="D69" s="13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3" t="s">
        <v>27</v>
      </c>
      <c r="S69" s="13" t="s">
        <v>27</v>
      </c>
    </row>
    <row r="70" spans="1:19" hidden="1" x14ac:dyDescent="0.3">
      <c r="A70" s="14">
        <v>43888.75</v>
      </c>
      <c r="B70" s="13" t="s">
        <v>23</v>
      </c>
      <c r="C70" s="2">
        <v>8</v>
      </c>
      <c r="D70" s="13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3" t="s">
        <v>27</v>
      </c>
      <c r="S70" s="13" t="s">
        <v>27</v>
      </c>
    </row>
    <row r="71" spans="1:19" hidden="1" x14ac:dyDescent="0.3">
      <c r="A71" s="14">
        <v>43888.75</v>
      </c>
      <c r="B71" s="13" t="s">
        <v>23</v>
      </c>
      <c r="C71" s="2">
        <v>6</v>
      </c>
      <c r="D71" s="13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3" t="s">
        <v>27</v>
      </c>
      <c r="S71" s="13" t="s">
        <v>27</v>
      </c>
    </row>
    <row r="72" spans="1:19" hidden="1" x14ac:dyDescent="0.3">
      <c r="A72" s="14">
        <v>43888.75</v>
      </c>
      <c r="B72" s="13" t="s">
        <v>23</v>
      </c>
      <c r="C72" s="2">
        <v>12</v>
      </c>
      <c r="D72" s="13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3" t="s">
        <v>27</v>
      </c>
      <c r="S72" s="13" t="s">
        <v>27</v>
      </c>
    </row>
    <row r="73" spans="1:19" hidden="1" x14ac:dyDescent="0.3">
      <c r="A73" s="14">
        <v>43888.75</v>
      </c>
      <c r="B73" s="13" t="s">
        <v>23</v>
      </c>
      <c r="C73" s="2">
        <v>7</v>
      </c>
      <c r="D73" s="13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3" t="s">
        <v>27</v>
      </c>
      <c r="S73" s="13" t="s">
        <v>27</v>
      </c>
    </row>
    <row r="74" spans="1:19" x14ac:dyDescent="0.3">
      <c r="A74" s="14">
        <v>43888.75</v>
      </c>
      <c r="B74" s="13" t="s">
        <v>23</v>
      </c>
      <c r="C74" s="2">
        <v>3</v>
      </c>
      <c r="D74" s="13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3" t="s">
        <v>27</v>
      </c>
      <c r="S74" s="13" t="s">
        <v>27</v>
      </c>
    </row>
    <row r="75" spans="1:19" hidden="1" x14ac:dyDescent="0.3">
      <c r="A75" s="14">
        <v>43888.75</v>
      </c>
      <c r="B75" s="13" t="s">
        <v>23</v>
      </c>
      <c r="C75" s="2">
        <v>11</v>
      </c>
      <c r="D75" s="13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3" t="s">
        <v>27</v>
      </c>
      <c r="S75" s="13" t="s">
        <v>27</v>
      </c>
    </row>
    <row r="76" spans="1:19" hidden="1" x14ac:dyDescent="0.3">
      <c r="A76" s="14">
        <v>43888.75</v>
      </c>
      <c r="B76" s="13" t="s">
        <v>23</v>
      </c>
      <c r="C76" s="2">
        <v>14</v>
      </c>
      <c r="D76" s="13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3" t="s">
        <v>27</v>
      </c>
      <c r="S76" s="13" t="s">
        <v>27</v>
      </c>
    </row>
    <row r="77" spans="1:19" hidden="1" x14ac:dyDescent="0.3">
      <c r="A77" s="14">
        <v>43888.75</v>
      </c>
      <c r="B77" s="13" t="s">
        <v>23</v>
      </c>
      <c r="C77" s="2">
        <v>1</v>
      </c>
      <c r="D77" s="13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3" t="s">
        <v>27</v>
      </c>
      <c r="S77" s="13" t="s">
        <v>27</v>
      </c>
    </row>
    <row r="78" spans="1:19" hidden="1" x14ac:dyDescent="0.3">
      <c r="A78" s="14">
        <v>43888.75</v>
      </c>
      <c r="B78" s="13" t="s">
        <v>23</v>
      </c>
      <c r="C78" s="2">
        <v>16</v>
      </c>
      <c r="D78" s="13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3" t="s">
        <v>27</v>
      </c>
      <c r="S78" s="13" t="s">
        <v>27</v>
      </c>
    </row>
    <row r="79" spans="1:19" hidden="1" x14ac:dyDescent="0.3">
      <c r="A79" s="14">
        <v>43888.75</v>
      </c>
      <c r="B79" s="13" t="s">
        <v>23</v>
      </c>
      <c r="C79" s="2">
        <v>20</v>
      </c>
      <c r="D79" s="13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3" t="s">
        <v>27</v>
      </c>
      <c r="S79" s="13" t="s">
        <v>27</v>
      </c>
    </row>
    <row r="80" spans="1:19" hidden="1" x14ac:dyDescent="0.3">
      <c r="A80" s="14">
        <v>43888.75</v>
      </c>
      <c r="B80" s="13" t="s">
        <v>23</v>
      </c>
      <c r="C80" s="2">
        <v>19</v>
      </c>
      <c r="D80" s="13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3" t="s">
        <v>27</v>
      </c>
      <c r="S80" s="13" t="s">
        <v>27</v>
      </c>
    </row>
    <row r="81" spans="1:19" hidden="1" x14ac:dyDescent="0.3">
      <c r="A81" s="14">
        <v>43888.75</v>
      </c>
      <c r="B81" s="13" t="s">
        <v>23</v>
      </c>
      <c r="C81" s="2">
        <v>9</v>
      </c>
      <c r="D81" s="13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3" t="s">
        <v>27</v>
      </c>
      <c r="S81" s="13" t="s">
        <v>27</v>
      </c>
    </row>
    <row r="82" spans="1:19" hidden="1" x14ac:dyDescent="0.3">
      <c r="A82" s="14">
        <v>43888.75</v>
      </c>
      <c r="B82" s="13" t="s">
        <v>23</v>
      </c>
      <c r="C82" s="2">
        <v>4</v>
      </c>
      <c r="D82" s="13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3" t="s">
        <v>27</v>
      </c>
      <c r="S82" s="13" t="s">
        <v>27</v>
      </c>
    </row>
    <row r="83" spans="1:19" hidden="1" x14ac:dyDescent="0.3">
      <c r="A83" s="14">
        <v>43888.75</v>
      </c>
      <c r="B83" s="13" t="s">
        <v>23</v>
      </c>
      <c r="C83" s="2">
        <v>10</v>
      </c>
      <c r="D83" s="13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3" t="s">
        <v>27</v>
      </c>
      <c r="S83" s="13" t="s">
        <v>27</v>
      </c>
    </row>
    <row r="84" spans="1:19" hidden="1" x14ac:dyDescent="0.3">
      <c r="A84" s="14">
        <v>43888.75</v>
      </c>
      <c r="B84" s="13" t="s">
        <v>23</v>
      </c>
      <c r="C84" s="2">
        <v>2</v>
      </c>
      <c r="D84" s="13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3" t="s">
        <v>27</v>
      </c>
      <c r="S84" s="13" t="s">
        <v>27</v>
      </c>
    </row>
    <row r="85" spans="1:19" hidden="1" x14ac:dyDescent="0.3">
      <c r="A85" s="14">
        <v>43888.75</v>
      </c>
      <c r="B85" s="13" t="s">
        <v>23</v>
      </c>
      <c r="C85" s="2">
        <v>5</v>
      </c>
      <c r="D85" s="13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3" t="s">
        <v>27</v>
      </c>
      <c r="S85" s="13" t="s">
        <v>27</v>
      </c>
    </row>
    <row r="86" spans="1:19" hidden="1" x14ac:dyDescent="0.3">
      <c r="A86" s="14">
        <v>43889.75</v>
      </c>
      <c r="B86" s="13" t="s">
        <v>23</v>
      </c>
      <c r="C86" s="2">
        <v>13</v>
      </c>
      <c r="D86" s="13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3" t="s">
        <v>27</v>
      </c>
      <c r="S86" s="13" t="s">
        <v>27</v>
      </c>
    </row>
    <row r="87" spans="1:19" hidden="1" x14ac:dyDescent="0.3">
      <c r="A87" s="14">
        <v>43889.75</v>
      </c>
      <c r="B87" s="13" t="s">
        <v>23</v>
      </c>
      <c r="C87" s="2">
        <v>17</v>
      </c>
      <c r="D87" s="13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3" t="s">
        <v>27</v>
      </c>
      <c r="S87" s="13" t="s">
        <v>27</v>
      </c>
    </row>
    <row r="88" spans="1:19" hidden="1" x14ac:dyDescent="0.3">
      <c r="A88" s="14">
        <v>43889.75</v>
      </c>
      <c r="B88" s="13" t="s">
        <v>23</v>
      </c>
      <c r="C88" s="2">
        <v>4</v>
      </c>
      <c r="D88" s="13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3" t="s">
        <v>27</v>
      </c>
      <c r="S88" s="13" t="s">
        <v>27</v>
      </c>
    </row>
    <row r="89" spans="1:19" hidden="1" x14ac:dyDescent="0.3">
      <c r="A89" s="14">
        <v>43889.75</v>
      </c>
      <c r="B89" s="13" t="s">
        <v>23</v>
      </c>
      <c r="C89" s="2">
        <v>18</v>
      </c>
      <c r="D89" s="13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3" t="s">
        <v>27</v>
      </c>
      <c r="S89" s="13" t="s">
        <v>27</v>
      </c>
    </row>
    <row r="90" spans="1:19" hidden="1" x14ac:dyDescent="0.3">
      <c r="A90" s="14">
        <v>43889.75</v>
      </c>
      <c r="B90" s="13" t="s">
        <v>23</v>
      </c>
      <c r="C90" s="2">
        <v>15</v>
      </c>
      <c r="D90" s="13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3" t="s">
        <v>27</v>
      </c>
      <c r="S90" s="13" t="s">
        <v>27</v>
      </c>
    </row>
    <row r="91" spans="1:19" hidden="1" x14ac:dyDescent="0.3">
      <c r="A91" s="14">
        <v>43889.75</v>
      </c>
      <c r="B91" s="13" t="s">
        <v>23</v>
      </c>
      <c r="C91" s="2">
        <v>8</v>
      </c>
      <c r="D91" s="13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3" t="s">
        <v>27</v>
      </c>
      <c r="S91" s="13" t="s">
        <v>27</v>
      </c>
    </row>
    <row r="92" spans="1:19" hidden="1" x14ac:dyDescent="0.3">
      <c r="A92" s="14">
        <v>43889.75</v>
      </c>
      <c r="B92" s="13" t="s">
        <v>23</v>
      </c>
      <c r="C92" s="2">
        <v>6</v>
      </c>
      <c r="D92" s="13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3" t="s">
        <v>27</v>
      </c>
      <c r="S92" s="13" t="s">
        <v>27</v>
      </c>
    </row>
    <row r="93" spans="1:19" hidden="1" x14ac:dyDescent="0.3">
      <c r="A93" s="14">
        <v>43889.75</v>
      </c>
      <c r="B93" s="13" t="s">
        <v>23</v>
      </c>
      <c r="C93" s="2">
        <v>12</v>
      </c>
      <c r="D93" s="13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3" t="s">
        <v>27</v>
      </c>
      <c r="S93" s="13" t="s">
        <v>27</v>
      </c>
    </row>
    <row r="94" spans="1:19" hidden="1" x14ac:dyDescent="0.3">
      <c r="A94" s="14">
        <v>43889.75</v>
      </c>
      <c r="B94" s="13" t="s">
        <v>23</v>
      </c>
      <c r="C94" s="2">
        <v>7</v>
      </c>
      <c r="D94" s="13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3" t="s">
        <v>27</v>
      </c>
      <c r="S94" s="13" t="s">
        <v>27</v>
      </c>
    </row>
    <row r="95" spans="1:19" x14ac:dyDescent="0.3">
      <c r="A95" s="14">
        <v>43889.75</v>
      </c>
      <c r="B95" s="13" t="s">
        <v>23</v>
      </c>
      <c r="C95" s="2">
        <v>3</v>
      </c>
      <c r="D95" s="13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3" t="s">
        <v>27</v>
      </c>
      <c r="S95" s="13" t="s">
        <v>27</v>
      </c>
    </row>
    <row r="96" spans="1:19" hidden="1" x14ac:dyDescent="0.3">
      <c r="A96" s="14">
        <v>43889.75</v>
      </c>
      <c r="B96" s="13" t="s">
        <v>23</v>
      </c>
      <c r="C96" s="2">
        <v>11</v>
      </c>
      <c r="D96" s="13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3" t="s">
        <v>27</v>
      </c>
      <c r="S96" s="13" t="s">
        <v>27</v>
      </c>
    </row>
    <row r="97" spans="1:19" hidden="1" x14ac:dyDescent="0.3">
      <c r="A97" s="14">
        <v>43889.75</v>
      </c>
      <c r="B97" s="13" t="s">
        <v>23</v>
      </c>
      <c r="C97" s="2">
        <v>14</v>
      </c>
      <c r="D97" s="13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3" t="s">
        <v>27</v>
      </c>
      <c r="S97" s="13" t="s">
        <v>27</v>
      </c>
    </row>
    <row r="98" spans="1:19" hidden="1" x14ac:dyDescent="0.3">
      <c r="A98" s="14">
        <v>43889.75</v>
      </c>
      <c r="B98" s="13" t="s">
        <v>23</v>
      </c>
      <c r="C98" s="2">
        <v>1</v>
      </c>
      <c r="D98" s="13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3" t="s">
        <v>27</v>
      </c>
      <c r="S98" s="13" t="s">
        <v>27</v>
      </c>
    </row>
    <row r="99" spans="1:19" hidden="1" x14ac:dyDescent="0.3">
      <c r="A99" s="14">
        <v>43889.75</v>
      </c>
      <c r="B99" s="13" t="s">
        <v>23</v>
      </c>
      <c r="C99" s="2">
        <v>16</v>
      </c>
      <c r="D99" s="13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3" t="s">
        <v>27</v>
      </c>
      <c r="S99" s="13" t="s">
        <v>27</v>
      </c>
    </row>
    <row r="100" spans="1:19" hidden="1" x14ac:dyDescent="0.3">
      <c r="A100" s="14">
        <v>43889.75</v>
      </c>
      <c r="B100" s="13" t="s">
        <v>23</v>
      </c>
      <c r="C100" s="2">
        <v>20</v>
      </c>
      <c r="D100" s="13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3" t="s">
        <v>27</v>
      </c>
      <c r="S100" s="13" t="s">
        <v>27</v>
      </c>
    </row>
    <row r="101" spans="1:19" hidden="1" x14ac:dyDescent="0.3">
      <c r="A101" s="14">
        <v>43889.75</v>
      </c>
      <c r="B101" s="13" t="s">
        <v>23</v>
      </c>
      <c r="C101" s="2">
        <v>19</v>
      </c>
      <c r="D101" s="13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3" t="s">
        <v>27</v>
      </c>
      <c r="S101" s="13" t="s">
        <v>27</v>
      </c>
    </row>
    <row r="102" spans="1:19" hidden="1" x14ac:dyDescent="0.3">
      <c r="A102" s="14">
        <v>43889.75</v>
      </c>
      <c r="B102" s="13" t="s">
        <v>23</v>
      </c>
      <c r="C102" s="2">
        <v>9</v>
      </c>
      <c r="D102" s="13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3" t="s">
        <v>27</v>
      </c>
      <c r="S102" s="13" t="s">
        <v>27</v>
      </c>
    </row>
    <row r="103" spans="1:19" hidden="1" x14ac:dyDescent="0.3">
      <c r="A103" s="14">
        <v>43889.75</v>
      </c>
      <c r="B103" s="13" t="s">
        <v>23</v>
      </c>
      <c r="C103" s="2">
        <v>4</v>
      </c>
      <c r="D103" s="13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3" t="s">
        <v>27</v>
      </c>
      <c r="S103" s="13" t="s">
        <v>27</v>
      </c>
    </row>
    <row r="104" spans="1:19" hidden="1" x14ac:dyDescent="0.3">
      <c r="A104" s="14">
        <v>43889.75</v>
      </c>
      <c r="B104" s="13" t="s">
        <v>23</v>
      </c>
      <c r="C104" s="2">
        <v>10</v>
      </c>
      <c r="D104" s="13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3" t="s">
        <v>27</v>
      </c>
      <c r="S104" s="13" t="s">
        <v>27</v>
      </c>
    </row>
    <row r="105" spans="1:19" hidden="1" x14ac:dyDescent="0.3">
      <c r="A105" s="14">
        <v>43889.75</v>
      </c>
      <c r="B105" s="13" t="s">
        <v>23</v>
      </c>
      <c r="C105" s="2">
        <v>2</v>
      </c>
      <c r="D105" s="13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3" t="s">
        <v>27</v>
      </c>
      <c r="S105" s="13" t="s">
        <v>27</v>
      </c>
    </row>
    <row r="106" spans="1:19" hidden="1" x14ac:dyDescent="0.3">
      <c r="A106" s="14">
        <v>43889.75</v>
      </c>
      <c r="B106" s="13" t="s">
        <v>23</v>
      </c>
      <c r="C106" s="2">
        <v>5</v>
      </c>
      <c r="D106" s="13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3" t="s">
        <v>27</v>
      </c>
      <c r="S106" s="13" t="s">
        <v>27</v>
      </c>
    </row>
    <row r="107" spans="1:19" hidden="1" x14ac:dyDescent="0.3">
      <c r="A107" s="14">
        <v>43890.708333333336</v>
      </c>
      <c r="B107" s="13" t="s">
        <v>23</v>
      </c>
      <c r="C107" s="2">
        <v>13</v>
      </c>
      <c r="D107" s="13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3" t="s">
        <v>27</v>
      </c>
      <c r="S107" s="13" t="s">
        <v>27</v>
      </c>
    </row>
    <row r="108" spans="1:19" hidden="1" x14ac:dyDescent="0.3">
      <c r="A108" s="14">
        <v>43890.708333333336</v>
      </c>
      <c r="B108" s="13" t="s">
        <v>23</v>
      </c>
      <c r="C108" s="2">
        <v>17</v>
      </c>
      <c r="D108" s="13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3" t="s">
        <v>27</v>
      </c>
      <c r="S108" s="13" t="s">
        <v>27</v>
      </c>
    </row>
    <row r="109" spans="1:19" hidden="1" x14ac:dyDescent="0.3">
      <c r="A109" s="14">
        <v>43890.708333333336</v>
      </c>
      <c r="B109" s="13" t="s">
        <v>23</v>
      </c>
      <c r="C109" s="2">
        <v>4</v>
      </c>
      <c r="D109" s="13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3" t="s">
        <v>27</v>
      </c>
      <c r="S109" s="13" t="s">
        <v>27</v>
      </c>
    </row>
    <row r="110" spans="1:19" hidden="1" x14ac:dyDescent="0.3">
      <c r="A110" s="14">
        <v>43890.708333333336</v>
      </c>
      <c r="B110" s="13" t="s">
        <v>23</v>
      </c>
      <c r="C110" s="2">
        <v>18</v>
      </c>
      <c r="D110" s="13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3" t="s">
        <v>27</v>
      </c>
      <c r="S110" s="13" t="s">
        <v>27</v>
      </c>
    </row>
    <row r="111" spans="1:19" hidden="1" x14ac:dyDescent="0.3">
      <c r="A111" s="14">
        <v>43890.708333333336</v>
      </c>
      <c r="B111" s="13" t="s">
        <v>23</v>
      </c>
      <c r="C111" s="2">
        <v>15</v>
      </c>
      <c r="D111" s="13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3" t="s">
        <v>27</v>
      </c>
      <c r="S111" s="13" t="s">
        <v>27</v>
      </c>
    </row>
    <row r="112" spans="1:19" hidden="1" x14ac:dyDescent="0.3">
      <c r="A112" s="14">
        <v>43890.708333333336</v>
      </c>
      <c r="B112" s="13" t="s">
        <v>23</v>
      </c>
      <c r="C112" s="2">
        <v>8</v>
      </c>
      <c r="D112" s="13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3" t="s">
        <v>27</v>
      </c>
      <c r="S112" s="13" t="s">
        <v>27</v>
      </c>
    </row>
    <row r="113" spans="1:19" hidden="1" x14ac:dyDescent="0.3">
      <c r="A113" s="14">
        <v>43890.708333333336</v>
      </c>
      <c r="B113" s="13" t="s">
        <v>23</v>
      </c>
      <c r="C113" s="2">
        <v>6</v>
      </c>
      <c r="D113" s="13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3" t="s">
        <v>27</v>
      </c>
      <c r="S113" s="13" t="s">
        <v>27</v>
      </c>
    </row>
    <row r="114" spans="1:19" hidden="1" x14ac:dyDescent="0.3">
      <c r="A114" s="14">
        <v>43890.708333333336</v>
      </c>
      <c r="B114" s="13" t="s">
        <v>23</v>
      </c>
      <c r="C114" s="2">
        <v>12</v>
      </c>
      <c r="D114" s="13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3" t="s">
        <v>27</v>
      </c>
      <c r="S114" s="13" t="s">
        <v>27</v>
      </c>
    </row>
    <row r="115" spans="1:19" hidden="1" x14ac:dyDescent="0.3">
      <c r="A115" s="14">
        <v>43890.708333333336</v>
      </c>
      <c r="B115" s="13" t="s">
        <v>23</v>
      </c>
      <c r="C115" s="2">
        <v>7</v>
      </c>
      <c r="D115" s="13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3" t="s">
        <v>27</v>
      </c>
      <c r="S115" s="13" t="s">
        <v>27</v>
      </c>
    </row>
    <row r="116" spans="1:19" x14ac:dyDescent="0.3">
      <c r="A116" s="14">
        <v>43890.708333333336</v>
      </c>
      <c r="B116" s="13" t="s">
        <v>23</v>
      </c>
      <c r="C116" s="2">
        <v>3</v>
      </c>
      <c r="D116" s="13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3" t="s">
        <v>27</v>
      </c>
      <c r="S116" s="13" t="s">
        <v>27</v>
      </c>
    </row>
    <row r="117" spans="1:19" hidden="1" x14ac:dyDescent="0.3">
      <c r="A117" s="14">
        <v>43890.708333333336</v>
      </c>
      <c r="B117" s="13" t="s">
        <v>23</v>
      </c>
      <c r="C117" s="2">
        <v>11</v>
      </c>
      <c r="D117" s="13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3" t="s">
        <v>27</v>
      </c>
      <c r="S117" s="13" t="s">
        <v>27</v>
      </c>
    </row>
    <row r="118" spans="1:19" hidden="1" x14ac:dyDescent="0.3">
      <c r="A118" s="14">
        <v>43890.708333333336</v>
      </c>
      <c r="B118" s="13" t="s">
        <v>23</v>
      </c>
      <c r="C118" s="2">
        <v>14</v>
      </c>
      <c r="D118" s="13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3" t="s">
        <v>27</v>
      </c>
      <c r="S118" s="13" t="s">
        <v>27</v>
      </c>
    </row>
    <row r="119" spans="1:19" hidden="1" x14ac:dyDescent="0.3">
      <c r="A119" s="14">
        <v>43890.708333333336</v>
      </c>
      <c r="B119" s="13" t="s">
        <v>23</v>
      </c>
      <c r="C119" s="2">
        <v>1</v>
      </c>
      <c r="D119" s="13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3" t="s">
        <v>27</v>
      </c>
      <c r="S119" s="13" t="s">
        <v>27</v>
      </c>
    </row>
    <row r="120" spans="1:19" hidden="1" x14ac:dyDescent="0.3">
      <c r="A120" s="14">
        <v>43890.708333333336</v>
      </c>
      <c r="B120" s="13" t="s">
        <v>23</v>
      </c>
      <c r="C120" s="2">
        <v>16</v>
      </c>
      <c r="D120" s="13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3" t="s">
        <v>27</v>
      </c>
      <c r="S120" s="13" t="s">
        <v>27</v>
      </c>
    </row>
    <row r="121" spans="1:19" hidden="1" x14ac:dyDescent="0.3">
      <c r="A121" s="14">
        <v>43890.708333333336</v>
      </c>
      <c r="B121" s="13" t="s">
        <v>23</v>
      </c>
      <c r="C121" s="2">
        <v>20</v>
      </c>
      <c r="D121" s="13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3" t="s">
        <v>27</v>
      </c>
      <c r="S121" s="13" t="s">
        <v>27</v>
      </c>
    </row>
    <row r="122" spans="1:19" hidden="1" x14ac:dyDescent="0.3">
      <c r="A122" s="14">
        <v>43890.708333333336</v>
      </c>
      <c r="B122" s="13" t="s">
        <v>23</v>
      </c>
      <c r="C122" s="2">
        <v>19</v>
      </c>
      <c r="D122" s="13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3" t="s">
        <v>27</v>
      </c>
      <c r="S122" s="13" t="s">
        <v>27</v>
      </c>
    </row>
    <row r="123" spans="1:19" hidden="1" x14ac:dyDescent="0.3">
      <c r="A123" s="14">
        <v>43890.708333333336</v>
      </c>
      <c r="B123" s="13" t="s">
        <v>23</v>
      </c>
      <c r="C123" s="2">
        <v>9</v>
      </c>
      <c r="D123" s="13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3" t="s">
        <v>27</v>
      </c>
      <c r="S123" s="13" t="s">
        <v>27</v>
      </c>
    </row>
    <row r="124" spans="1:19" hidden="1" x14ac:dyDescent="0.3">
      <c r="A124" s="14">
        <v>43890.708333333336</v>
      </c>
      <c r="B124" s="13" t="s">
        <v>23</v>
      </c>
      <c r="C124" s="2">
        <v>4</v>
      </c>
      <c r="D124" s="13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3" t="s">
        <v>27</v>
      </c>
      <c r="S124" s="13" t="s">
        <v>27</v>
      </c>
    </row>
    <row r="125" spans="1:19" hidden="1" x14ac:dyDescent="0.3">
      <c r="A125" s="14">
        <v>43890.708333333336</v>
      </c>
      <c r="B125" s="13" t="s">
        <v>23</v>
      </c>
      <c r="C125" s="2">
        <v>10</v>
      </c>
      <c r="D125" s="13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3" t="s">
        <v>27</v>
      </c>
      <c r="S125" s="13" t="s">
        <v>27</v>
      </c>
    </row>
    <row r="126" spans="1:19" hidden="1" x14ac:dyDescent="0.3">
      <c r="A126" s="14">
        <v>43890.708333333336</v>
      </c>
      <c r="B126" s="13" t="s">
        <v>23</v>
      </c>
      <c r="C126" s="2">
        <v>2</v>
      </c>
      <c r="D126" s="13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3" t="s">
        <v>27</v>
      </c>
      <c r="S126" s="13" t="s">
        <v>27</v>
      </c>
    </row>
    <row r="127" spans="1:19" hidden="1" x14ac:dyDescent="0.3">
      <c r="A127" s="14">
        <v>43890.708333333336</v>
      </c>
      <c r="B127" s="13" t="s">
        <v>23</v>
      </c>
      <c r="C127" s="2">
        <v>5</v>
      </c>
      <c r="D127" s="13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3" t="s">
        <v>27</v>
      </c>
      <c r="S127" s="13" t="s">
        <v>27</v>
      </c>
    </row>
    <row r="128" spans="1:19" hidden="1" x14ac:dyDescent="0.3">
      <c r="A128" s="14">
        <v>43891.708333333336</v>
      </c>
      <c r="B128" s="13" t="s">
        <v>23</v>
      </c>
      <c r="C128" s="2">
        <v>13</v>
      </c>
      <c r="D128" s="13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3" t="s">
        <v>27</v>
      </c>
      <c r="S128" s="13" t="s">
        <v>27</v>
      </c>
    </row>
    <row r="129" spans="1:19" hidden="1" x14ac:dyDescent="0.3">
      <c r="A129" s="14">
        <v>43891.708333333336</v>
      </c>
      <c r="B129" s="13" t="s">
        <v>23</v>
      </c>
      <c r="C129" s="2">
        <v>17</v>
      </c>
      <c r="D129" s="13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3" t="s">
        <v>27</v>
      </c>
      <c r="S129" s="13" t="s">
        <v>27</v>
      </c>
    </row>
    <row r="130" spans="1:19" hidden="1" x14ac:dyDescent="0.3">
      <c r="A130" s="14">
        <v>43891.708333333336</v>
      </c>
      <c r="B130" s="13" t="s">
        <v>23</v>
      </c>
      <c r="C130" s="2">
        <v>4</v>
      </c>
      <c r="D130" s="13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3" t="s">
        <v>27</v>
      </c>
      <c r="S130" s="13" t="s">
        <v>27</v>
      </c>
    </row>
    <row r="131" spans="1:19" hidden="1" x14ac:dyDescent="0.3">
      <c r="A131" s="14">
        <v>43891.708333333336</v>
      </c>
      <c r="B131" s="13" t="s">
        <v>23</v>
      </c>
      <c r="C131" s="2">
        <v>18</v>
      </c>
      <c r="D131" s="13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3" t="s">
        <v>27</v>
      </c>
      <c r="S131" s="13" t="s">
        <v>27</v>
      </c>
    </row>
    <row r="132" spans="1:19" hidden="1" x14ac:dyDescent="0.3">
      <c r="A132" s="14">
        <v>43891.708333333336</v>
      </c>
      <c r="B132" s="13" t="s">
        <v>23</v>
      </c>
      <c r="C132" s="2">
        <v>15</v>
      </c>
      <c r="D132" s="13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3" t="s">
        <v>27</v>
      </c>
      <c r="S132" s="13" t="s">
        <v>27</v>
      </c>
    </row>
    <row r="133" spans="1:19" hidden="1" x14ac:dyDescent="0.3">
      <c r="A133" s="14">
        <v>43891.708333333336</v>
      </c>
      <c r="B133" s="13" t="s">
        <v>23</v>
      </c>
      <c r="C133" s="2">
        <v>8</v>
      </c>
      <c r="D133" s="13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3" t="s">
        <v>27</v>
      </c>
      <c r="S133" s="13" t="s">
        <v>27</v>
      </c>
    </row>
    <row r="134" spans="1:19" hidden="1" x14ac:dyDescent="0.3">
      <c r="A134" s="14">
        <v>43891.708333333336</v>
      </c>
      <c r="B134" s="13" t="s">
        <v>23</v>
      </c>
      <c r="C134" s="2">
        <v>6</v>
      </c>
      <c r="D134" s="13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3" t="s">
        <v>27</v>
      </c>
      <c r="S134" s="13" t="s">
        <v>27</v>
      </c>
    </row>
    <row r="135" spans="1:19" hidden="1" x14ac:dyDescent="0.3">
      <c r="A135" s="14">
        <v>43891.708333333336</v>
      </c>
      <c r="B135" s="13" t="s">
        <v>23</v>
      </c>
      <c r="C135" s="2">
        <v>12</v>
      </c>
      <c r="D135" s="13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3" t="s">
        <v>27</v>
      </c>
      <c r="S135" s="13" t="s">
        <v>27</v>
      </c>
    </row>
    <row r="136" spans="1:19" hidden="1" x14ac:dyDescent="0.3">
      <c r="A136" s="14">
        <v>43891.708333333336</v>
      </c>
      <c r="B136" s="13" t="s">
        <v>23</v>
      </c>
      <c r="C136" s="2">
        <v>7</v>
      </c>
      <c r="D136" s="13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3" t="s">
        <v>27</v>
      </c>
      <c r="S136" s="13" t="s">
        <v>27</v>
      </c>
    </row>
    <row r="137" spans="1:19" x14ac:dyDescent="0.3">
      <c r="A137" s="14">
        <v>43891.708333333336</v>
      </c>
      <c r="B137" s="13" t="s">
        <v>23</v>
      </c>
      <c r="C137" s="2">
        <v>3</v>
      </c>
      <c r="D137" s="13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3" t="s">
        <v>27</v>
      </c>
      <c r="S137" s="13" t="s">
        <v>27</v>
      </c>
    </row>
    <row r="138" spans="1:19" hidden="1" x14ac:dyDescent="0.3">
      <c r="A138" s="14">
        <v>43891.708333333336</v>
      </c>
      <c r="B138" s="13" t="s">
        <v>23</v>
      </c>
      <c r="C138" s="2">
        <v>11</v>
      </c>
      <c r="D138" s="13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3" t="s">
        <v>27</v>
      </c>
      <c r="S138" s="13" t="s">
        <v>27</v>
      </c>
    </row>
    <row r="139" spans="1:19" hidden="1" x14ac:dyDescent="0.3">
      <c r="A139" s="14">
        <v>43891.708333333336</v>
      </c>
      <c r="B139" s="13" t="s">
        <v>23</v>
      </c>
      <c r="C139" s="2">
        <v>14</v>
      </c>
      <c r="D139" s="13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3" t="s">
        <v>27</v>
      </c>
      <c r="S139" s="13" t="s">
        <v>27</v>
      </c>
    </row>
    <row r="140" spans="1:19" hidden="1" x14ac:dyDescent="0.3">
      <c r="A140" s="14">
        <v>43891.708333333336</v>
      </c>
      <c r="B140" s="13" t="s">
        <v>23</v>
      </c>
      <c r="C140" s="2">
        <v>1</v>
      </c>
      <c r="D140" s="13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3" t="s">
        <v>27</v>
      </c>
      <c r="S140" s="13" t="s">
        <v>27</v>
      </c>
    </row>
    <row r="141" spans="1:19" hidden="1" x14ac:dyDescent="0.3">
      <c r="A141" s="14">
        <v>43891.708333333336</v>
      </c>
      <c r="B141" s="13" t="s">
        <v>23</v>
      </c>
      <c r="C141" s="2">
        <v>16</v>
      </c>
      <c r="D141" s="13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3" t="s">
        <v>27</v>
      </c>
      <c r="S141" s="13" t="s">
        <v>27</v>
      </c>
    </row>
    <row r="142" spans="1:19" hidden="1" x14ac:dyDescent="0.3">
      <c r="A142" s="14">
        <v>43891.708333333336</v>
      </c>
      <c r="B142" s="13" t="s">
        <v>23</v>
      </c>
      <c r="C142" s="2">
        <v>20</v>
      </c>
      <c r="D142" s="13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3" t="s">
        <v>27</v>
      </c>
      <c r="S142" s="13" t="s">
        <v>27</v>
      </c>
    </row>
    <row r="143" spans="1:19" hidden="1" x14ac:dyDescent="0.3">
      <c r="A143" s="14">
        <v>43891.708333333336</v>
      </c>
      <c r="B143" s="13" t="s">
        <v>23</v>
      </c>
      <c r="C143" s="2">
        <v>19</v>
      </c>
      <c r="D143" s="13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3" t="s">
        <v>27</v>
      </c>
      <c r="S143" s="13" t="s">
        <v>27</v>
      </c>
    </row>
    <row r="144" spans="1:19" hidden="1" x14ac:dyDescent="0.3">
      <c r="A144" s="14">
        <v>43891.708333333336</v>
      </c>
      <c r="B144" s="13" t="s">
        <v>23</v>
      </c>
      <c r="C144" s="2">
        <v>9</v>
      </c>
      <c r="D144" s="13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3" t="s">
        <v>27</v>
      </c>
      <c r="S144" s="13" t="s">
        <v>27</v>
      </c>
    </row>
    <row r="145" spans="1:19" hidden="1" x14ac:dyDescent="0.3">
      <c r="A145" s="14">
        <v>43891.708333333336</v>
      </c>
      <c r="B145" s="13" t="s">
        <v>23</v>
      </c>
      <c r="C145" s="2">
        <v>4</v>
      </c>
      <c r="D145" s="13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3" t="s">
        <v>27</v>
      </c>
      <c r="S145" s="13" t="s">
        <v>27</v>
      </c>
    </row>
    <row r="146" spans="1:19" hidden="1" x14ac:dyDescent="0.3">
      <c r="A146" s="14">
        <v>43891.708333333336</v>
      </c>
      <c r="B146" s="13" t="s">
        <v>23</v>
      </c>
      <c r="C146" s="2">
        <v>10</v>
      </c>
      <c r="D146" s="13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3" t="s">
        <v>27</v>
      </c>
      <c r="S146" s="13" t="s">
        <v>27</v>
      </c>
    </row>
    <row r="147" spans="1:19" hidden="1" x14ac:dyDescent="0.3">
      <c r="A147" s="14">
        <v>43891.708333333336</v>
      </c>
      <c r="B147" s="13" t="s">
        <v>23</v>
      </c>
      <c r="C147" s="2">
        <v>2</v>
      </c>
      <c r="D147" s="13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3" t="s">
        <v>27</v>
      </c>
      <c r="S147" s="13" t="s">
        <v>27</v>
      </c>
    </row>
    <row r="148" spans="1:19" hidden="1" x14ac:dyDescent="0.3">
      <c r="A148" s="14">
        <v>43891.708333333336</v>
      </c>
      <c r="B148" s="13" t="s">
        <v>23</v>
      </c>
      <c r="C148" s="2">
        <v>5</v>
      </c>
      <c r="D148" s="13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3" t="s">
        <v>27</v>
      </c>
      <c r="S148" s="13" t="s">
        <v>27</v>
      </c>
    </row>
    <row r="149" spans="1:19" hidden="1" x14ac:dyDescent="0.3">
      <c r="A149" s="14">
        <v>43892.75</v>
      </c>
      <c r="B149" s="13" t="s">
        <v>23</v>
      </c>
      <c r="C149" s="2">
        <v>13</v>
      </c>
      <c r="D149" s="13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3" t="s">
        <v>27</v>
      </c>
      <c r="S149" s="13" t="s">
        <v>27</v>
      </c>
    </row>
    <row r="150" spans="1:19" hidden="1" x14ac:dyDescent="0.3">
      <c r="A150" s="14">
        <v>43892.75</v>
      </c>
      <c r="B150" s="13" t="s">
        <v>23</v>
      </c>
      <c r="C150" s="2">
        <v>17</v>
      </c>
      <c r="D150" s="13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3" t="s">
        <v>27</v>
      </c>
      <c r="S150" s="13" t="s">
        <v>27</v>
      </c>
    </row>
    <row r="151" spans="1:19" hidden="1" x14ac:dyDescent="0.3">
      <c r="A151" s="14">
        <v>43892.75</v>
      </c>
      <c r="B151" s="13" t="s">
        <v>23</v>
      </c>
      <c r="C151" s="2">
        <v>4</v>
      </c>
      <c r="D151" s="13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3" t="s">
        <v>27</v>
      </c>
      <c r="S151" s="13" t="s">
        <v>27</v>
      </c>
    </row>
    <row r="152" spans="1:19" hidden="1" x14ac:dyDescent="0.3">
      <c r="A152" s="14">
        <v>43892.75</v>
      </c>
      <c r="B152" s="13" t="s">
        <v>23</v>
      </c>
      <c r="C152" s="2">
        <v>18</v>
      </c>
      <c r="D152" s="13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3" t="s">
        <v>27</v>
      </c>
      <c r="S152" s="13" t="s">
        <v>27</v>
      </c>
    </row>
    <row r="153" spans="1:19" hidden="1" x14ac:dyDescent="0.3">
      <c r="A153" s="14">
        <v>43892.75</v>
      </c>
      <c r="B153" s="13" t="s">
        <v>23</v>
      </c>
      <c r="C153" s="2">
        <v>15</v>
      </c>
      <c r="D153" s="13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3" t="s">
        <v>27</v>
      </c>
      <c r="S153" s="13" t="s">
        <v>27</v>
      </c>
    </row>
    <row r="154" spans="1:19" hidden="1" x14ac:dyDescent="0.3">
      <c r="A154" s="14">
        <v>43892.75</v>
      </c>
      <c r="B154" s="13" t="s">
        <v>23</v>
      </c>
      <c r="C154" s="2">
        <v>8</v>
      </c>
      <c r="D154" s="13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3" t="s">
        <v>27</v>
      </c>
      <c r="S154" s="13" t="s">
        <v>27</v>
      </c>
    </row>
    <row r="155" spans="1:19" hidden="1" x14ac:dyDescent="0.3">
      <c r="A155" s="14">
        <v>43892.75</v>
      </c>
      <c r="B155" s="13" t="s">
        <v>23</v>
      </c>
      <c r="C155" s="2">
        <v>6</v>
      </c>
      <c r="D155" s="13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3" t="s">
        <v>27</v>
      </c>
      <c r="S155" s="13" t="s">
        <v>27</v>
      </c>
    </row>
    <row r="156" spans="1:19" hidden="1" x14ac:dyDescent="0.3">
      <c r="A156" s="14">
        <v>43892.75</v>
      </c>
      <c r="B156" s="13" t="s">
        <v>23</v>
      </c>
      <c r="C156" s="2">
        <v>12</v>
      </c>
      <c r="D156" s="13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3" t="s">
        <v>27</v>
      </c>
      <c r="S156" s="13" t="s">
        <v>27</v>
      </c>
    </row>
    <row r="157" spans="1:19" hidden="1" x14ac:dyDescent="0.3">
      <c r="A157" s="14">
        <v>43892.75</v>
      </c>
      <c r="B157" s="13" t="s">
        <v>23</v>
      </c>
      <c r="C157" s="2">
        <v>7</v>
      </c>
      <c r="D157" s="13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3" t="s">
        <v>27</v>
      </c>
      <c r="S157" s="13" t="s">
        <v>27</v>
      </c>
    </row>
    <row r="158" spans="1:19" x14ac:dyDescent="0.3">
      <c r="A158" s="14">
        <v>43892.75</v>
      </c>
      <c r="B158" s="13" t="s">
        <v>23</v>
      </c>
      <c r="C158" s="2">
        <v>3</v>
      </c>
      <c r="D158" s="13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3" t="s">
        <v>27</v>
      </c>
      <c r="S158" s="13" t="s">
        <v>27</v>
      </c>
    </row>
    <row r="159" spans="1:19" hidden="1" x14ac:dyDescent="0.3">
      <c r="A159" s="14">
        <v>43892.75</v>
      </c>
      <c r="B159" s="13" t="s">
        <v>23</v>
      </c>
      <c r="C159" s="2">
        <v>11</v>
      </c>
      <c r="D159" s="13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3" t="s">
        <v>27</v>
      </c>
      <c r="S159" s="13" t="s">
        <v>27</v>
      </c>
    </row>
    <row r="160" spans="1:19" hidden="1" x14ac:dyDescent="0.3">
      <c r="A160" s="14">
        <v>43892.75</v>
      </c>
      <c r="B160" s="13" t="s">
        <v>23</v>
      </c>
      <c r="C160" s="2">
        <v>14</v>
      </c>
      <c r="D160" s="13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3" t="s">
        <v>27</v>
      </c>
      <c r="S160" s="13" t="s">
        <v>27</v>
      </c>
    </row>
    <row r="161" spans="1:19" hidden="1" x14ac:dyDescent="0.3">
      <c r="A161" s="14">
        <v>43892.75</v>
      </c>
      <c r="B161" s="13" t="s">
        <v>23</v>
      </c>
      <c r="C161" s="2">
        <v>1</v>
      </c>
      <c r="D161" s="13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3" t="s">
        <v>27</v>
      </c>
      <c r="S161" s="13" t="s">
        <v>27</v>
      </c>
    </row>
    <row r="162" spans="1:19" hidden="1" x14ac:dyDescent="0.3">
      <c r="A162" s="14">
        <v>43892.75</v>
      </c>
      <c r="B162" s="13" t="s">
        <v>23</v>
      </c>
      <c r="C162" s="2">
        <v>16</v>
      </c>
      <c r="D162" s="13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3" t="s">
        <v>27</v>
      </c>
      <c r="S162" s="13" t="s">
        <v>27</v>
      </c>
    </row>
    <row r="163" spans="1:19" hidden="1" x14ac:dyDescent="0.3">
      <c r="A163" s="14">
        <v>43892.75</v>
      </c>
      <c r="B163" s="13" t="s">
        <v>23</v>
      </c>
      <c r="C163" s="2">
        <v>20</v>
      </c>
      <c r="D163" s="13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3" t="s">
        <v>27</v>
      </c>
      <c r="S163" s="13" t="s">
        <v>27</v>
      </c>
    </row>
    <row r="164" spans="1:19" hidden="1" x14ac:dyDescent="0.3">
      <c r="A164" s="14">
        <v>43892.75</v>
      </c>
      <c r="B164" s="13" t="s">
        <v>23</v>
      </c>
      <c r="C164" s="2">
        <v>19</v>
      </c>
      <c r="D164" s="13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3" t="s">
        <v>27</v>
      </c>
      <c r="S164" s="13" t="s">
        <v>27</v>
      </c>
    </row>
    <row r="165" spans="1:19" hidden="1" x14ac:dyDescent="0.3">
      <c r="A165" s="14">
        <v>43892.75</v>
      </c>
      <c r="B165" s="13" t="s">
        <v>23</v>
      </c>
      <c r="C165" s="2">
        <v>9</v>
      </c>
      <c r="D165" s="13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3" t="s">
        <v>27</v>
      </c>
      <c r="S165" s="13" t="s">
        <v>27</v>
      </c>
    </row>
    <row r="166" spans="1:19" hidden="1" x14ac:dyDescent="0.3">
      <c r="A166" s="14">
        <v>43892.75</v>
      </c>
      <c r="B166" s="13" t="s">
        <v>23</v>
      </c>
      <c r="C166" s="2">
        <v>4</v>
      </c>
      <c r="D166" s="13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3" t="s">
        <v>27</v>
      </c>
      <c r="S166" s="13" t="s">
        <v>27</v>
      </c>
    </row>
    <row r="167" spans="1:19" hidden="1" x14ac:dyDescent="0.3">
      <c r="A167" s="14">
        <v>43892.75</v>
      </c>
      <c r="B167" s="13" t="s">
        <v>23</v>
      </c>
      <c r="C167" s="2">
        <v>10</v>
      </c>
      <c r="D167" s="13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3" t="s">
        <v>27</v>
      </c>
      <c r="S167" s="13" t="s">
        <v>27</v>
      </c>
    </row>
    <row r="168" spans="1:19" hidden="1" x14ac:dyDescent="0.3">
      <c r="A168" s="14">
        <v>43892.75</v>
      </c>
      <c r="B168" s="13" t="s">
        <v>23</v>
      </c>
      <c r="C168" s="2">
        <v>2</v>
      </c>
      <c r="D168" s="13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3" t="s">
        <v>27</v>
      </c>
      <c r="S168" s="13" t="s">
        <v>27</v>
      </c>
    </row>
    <row r="169" spans="1:19" hidden="1" x14ac:dyDescent="0.3">
      <c r="A169" s="14">
        <v>43892.75</v>
      </c>
      <c r="B169" s="13" t="s">
        <v>23</v>
      </c>
      <c r="C169" s="2">
        <v>5</v>
      </c>
      <c r="D169" s="13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3" t="s">
        <v>27</v>
      </c>
      <c r="S169" s="13" t="s">
        <v>27</v>
      </c>
    </row>
    <row r="170" spans="1:19" hidden="1" x14ac:dyDescent="0.3">
      <c r="A170" s="14">
        <v>43893.75</v>
      </c>
      <c r="B170" s="13" t="s">
        <v>23</v>
      </c>
      <c r="C170" s="2">
        <v>13</v>
      </c>
      <c r="D170" s="13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3" t="s">
        <v>27</v>
      </c>
      <c r="S170" s="13" t="s">
        <v>27</v>
      </c>
    </row>
    <row r="171" spans="1:19" hidden="1" x14ac:dyDescent="0.3">
      <c r="A171" s="14">
        <v>43893.75</v>
      </c>
      <c r="B171" s="13" t="s">
        <v>23</v>
      </c>
      <c r="C171" s="2">
        <v>17</v>
      </c>
      <c r="D171" s="13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3" t="s">
        <v>27</v>
      </c>
      <c r="S171" s="13" t="s">
        <v>27</v>
      </c>
    </row>
    <row r="172" spans="1:19" hidden="1" x14ac:dyDescent="0.3">
      <c r="A172" s="14">
        <v>43893.75</v>
      </c>
      <c r="B172" s="13" t="s">
        <v>23</v>
      </c>
      <c r="C172" s="2">
        <v>4</v>
      </c>
      <c r="D172" s="13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3" t="s">
        <v>27</v>
      </c>
      <c r="S172" s="13" t="s">
        <v>27</v>
      </c>
    </row>
    <row r="173" spans="1:19" hidden="1" x14ac:dyDescent="0.3">
      <c r="A173" s="14">
        <v>43893.75</v>
      </c>
      <c r="B173" s="13" t="s">
        <v>23</v>
      </c>
      <c r="C173" s="2">
        <v>18</v>
      </c>
      <c r="D173" s="13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3" t="s">
        <v>27</v>
      </c>
      <c r="S173" s="13" t="s">
        <v>27</v>
      </c>
    </row>
    <row r="174" spans="1:19" hidden="1" x14ac:dyDescent="0.3">
      <c r="A174" s="14">
        <v>43893.75</v>
      </c>
      <c r="B174" s="13" t="s">
        <v>23</v>
      </c>
      <c r="C174" s="2">
        <v>15</v>
      </c>
      <c r="D174" s="13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3" t="s">
        <v>27</v>
      </c>
      <c r="S174" s="13" t="s">
        <v>27</v>
      </c>
    </row>
    <row r="175" spans="1:19" hidden="1" x14ac:dyDescent="0.3">
      <c r="A175" s="14">
        <v>43893.75</v>
      </c>
      <c r="B175" s="13" t="s">
        <v>23</v>
      </c>
      <c r="C175" s="2">
        <v>8</v>
      </c>
      <c r="D175" s="13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3" t="s">
        <v>27</v>
      </c>
      <c r="S175" s="13" t="s">
        <v>27</v>
      </c>
    </row>
    <row r="176" spans="1:19" hidden="1" x14ac:dyDescent="0.3">
      <c r="A176" s="14">
        <v>43893.75</v>
      </c>
      <c r="B176" s="13" t="s">
        <v>23</v>
      </c>
      <c r="C176" s="2">
        <v>6</v>
      </c>
      <c r="D176" s="13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3" t="s">
        <v>27</v>
      </c>
      <c r="S176" s="13" t="s">
        <v>27</v>
      </c>
    </row>
    <row r="177" spans="1:19" hidden="1" x14ac:dyDescent="0.3">
      <c r="A177" s="14">
        <v>43893.75</v>
      </c>
      <c r="B177" s="13" t="s">
        <v>23</v>
      </c>
      <c r="C177" s="2">
        <v>12</v>
      </c>
      <c r="D177" s="13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3" t="s">
        <v>27</v>
      </c>
      <c r="S177" s="13" t="s">
        <v>27</v>
      </c>
    </row>
    <row r="178" spans="1:19" hidden="1" x14ac:dyDescent="0.3">
      <c r="A178" s="14">
        <v>43893.75</v>
      </c>
      <c r="B178" s="13" t="s">
        <v>23</v>
      </c>
      <c r="C178" s="2">
        <v>7</v>
      </c>
      <c r="D178" s="13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3" t="s">
        <v>27</v>
      </c>
      <c r="S178" s="13" t="s">
        <v>27</v>
      </c>
    </row>
    <row r="179" spans="1:19" x14ac:dyDescent="0.3">
      <c r="A179" s="14">
        <v>43893.75</v>
      </c>
      <c r="B179" s="13" t="s">
        <v>23</v>
      </c>
      <c r="C179" s="2">
        <v>3</v>
      </c>
      <c r="D179" s="13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3" t="s">
        <v>27</v>
      </c>
      <c r="S179" s="13" t="s">
        <v>27</v>
      </c>
    </row>
    <row r="180" spans="1:19" hidden="1" x14ac:dyDescent="0.3">
      <c r="A180" s="14">
        <v>43893.75</v>
      </c>
      <c r="B180" s="13" t="s">
        <v>23</v>
      </c>
      <c r="C180" s="2">
        <v>11</v>
      </c>
      <c r="D180" s="13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3" t="s">
        <v>27</v>
      </c>
      <c r="S180" s="13" t="s">
        <v>27</v>
      </c>
    </row>
    <row r="181" spans="1:19" hidden="1" x14ac:dyDescent="0.3">
      <c r="A181" s="14">
        <v>43893.75</v>
      </c>
      <c r="B181" s="13" t="s">
        <v>23</v>
      </c>
      <c r="C181" s="2">
        <v>14</v>
      </c>
      <c r="D181" s="13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3" t="s">
        <v>27</v>
      </c>
      <c r="S181" s="13" t="s">
        <v>27</v>
      </c>
    </row>
    <row r="182" spans="1:19" hidden="1" x14ac:dyDescent="0.3">
      <c r="A182" s="14">
        <v>43893.75</v>
      </c>
      <c r="B182" s="13" t="s">
        <v>23</v>
      </c>
      <c r="C182" s="2">
        <v>1</v>
      </c>
      <c r="D182" s="13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3" t="s">
        <v>27</v>
      </c>
      <c r="S182" s="13" t="s">
        <v>27</v>
      </c>
    </row>
    <row r="183" spans="1:19" hidden="1" x14ac:dyDescent="0.3">
      <c r="A183" s="14">
        <v>43893.75</v>
      </c>
      <c r="B183" s="13" t="s">
        <v>23</v>
      </c>
      <c r="C183" s="2">
        <v>16</v>
      </c>
      <c r="D183" s="13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3" t="s">
        <v>27</v>
      </c>
      <c r="S183" s="13" t="s">
        <v>27</v>
      </c>
    </row>
    <row r="184" spans="1:19" hidden="1" x14ac:dyDescent="0.3">
      <c r="A184" s="14">
        <v>43893.75</v>
      </c>
      <c r="B184" s="13" t="s">
        <v>23</v>
      </c>
      <c r="C184" s="2">
        <v>20</v>
      </c>
      <c r="D184" s="13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3" t="s">
        <v>27</v>
      </c>
      <c r="S184" s="13" t="s">
        <v>27</v>
      </c>
    </row>
    <row r="185" spans="1:19" hidden="1" x14ac:dyDescent="0.3">
      <c r="A185" s="14">
        <v>43893.75</v>
      </c>
      <c r="B185" s="13" t="s">
        <v>23</v>
      </c>
      <c r="C185" s="2">
        <v>19</v>
      </c>
      <c r="D185" s="13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3" t="s">
        <v>27</v>
      </c>
      <c r="S185" s="13" t="s">
        <v>27</v>
      </c>
    </row>
    <row r="186" spans="1:19" hidden="1" x14ac:dyDescent="0.3">
      <c r="A186" s="14">
        <v>43893.75</v>
      </c>
      <c r="B186" s="13" t="s">
        <v>23</v>
      </c>
      <c r="C186" s="2">
        <v>9</v>
      </c>
      <c r="D186" s="13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3" t="s">
        <v>27</v>
      </c>
      <c r="S186" s="13" t="s">
        <v>27</v>
      </c>
    </row>
    <row r="187" spans="1:19" hidden="1" x14ac:dyDescent="0.3">
      <c r="A187" s="14">
        <v>43893.75</v>
      </c>
      <c r="B187" s="13" t="s">
        <v>23</v>
      </c>
      <c r="C187" s="2">
        <v>4</v>
      </c>
      <c r="D187" s="13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3" t="s">
        <v>27</v>
      </c>
      <c r="S187" s="13" t="s">
        <v>27</v>
      </c>
    </row>
    <row r="188" spans="1:19" hidden="1" x14ac:dyDescent="0.3">
      <c r="A188" s="14">
        <v>43893.75</v>
      </c>
      <c r="B188" s="13" t="s">
        <v>23</v>
      </c>
      <c r="C188" s="2">
        <v>10</v>
      </c>
      <c r="D188" s="13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3" t="s">
        <v>27</v>
      </c>
      <c r="S188" s="13" t="s">
        <v>27</v>
      </c>
    </row>
    <row r="189" spans="1:19" hidden="1" x14ac:dyDescent="0.3">
      <c r="A189" s="14">
        <v>43893.75</v>
      </c>
      <c r="B189" s="13" t="s">
        <v>23</v>
      </c>
      <c r="C189" s="2">
        <v>2</v>
      </c>
      <c r="D189" s="13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3" t="s">
        <v>27</v>
      </c>
      <c r="S189" s="13" t="s">
        <v>27</v>
      </c>
    </row>
    <row r="190" spans="1:19" hidden="1" x14ac:dyDescent="0.3">
      <c r="A190" s="14">
        <v>43893.75</v>
      </c>
      <c r="B190" s="13" t="s">
        <v>23</v>
      </c>
      <c r="C190" s="2">
        <v>5</v>
      </c>
      <c r="D190" s="13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3" t="s">
        <v>27</v>
      </c>
      <c r="S190" s="13" t="s">
        <v>27</v>
      </c>
    </row>
    <row r="191" spans="1:19" hidden="1" x14ac:dyDescent="0.3">
      <c r="A191" s="14">
        <v>43894.708333333336</v>
      </c>
      <c r="B191" s="13" t="s">
        <v>23</v>
      </c>
      <c r="C191" s="2">
        <v>13</v>
      </c>
      <c r="D191" s="13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3" t="s">
        <v>27</v>
      </c>
      <c r="S191" s="13" t="s">
        <v>27</v>
      </c>
    </row>
    <row r="192" spans="1:19" hidden="1" x14ac:dyDescent="0.3">
      <c r="A192" s="14">
        <v>43894.708333333336</v>
      </c>
      <c r="B192" s="13" t="s">
        <v>23</v>
      </c>
      <c r="C192" s="2">
        <v>17</v>
      </c>
      <c r="D192" s="13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3" t="s">
        <v>27</v>
      </c>
      <c r="S192" s="13" t="s">
        <v>27</v>
      </c>
    </row>
    <row r="193" spans="1:19" hidden="1" x14ac:dyDescent="0.3">
      <c r="A193" s="14">
        <v>43894.708333333336</v>
      </c>
      <c r="B193" s="13" t="s">
        <v>23</v>
      </c>
      <c r="C193" s="2">
        <v>4</v>
      </c>
      <c r="D193" s="13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3" t="s">
        <v>27</v>
      </c>
      <c r="S193" s="13" t="s">
        <v>27</v>
      </c>
    </row>
    <row r="194" spans="1:19" hidden="1" x14ac:dyDescent="0.3">
      <c r="A194" s="14">
        <v>43894.708333333336</v>
      </c>
      <c r="B194" s="13" t="s">
        <v>23</v>
      </c>
      <c r="C194" s="2">
        <v>18</v>
      </c>
      <c r="D194" s="13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3" t="s">
        <v>27</v>
      </c>
      <c r="S194" s="13" t="s">
        <v>27</v>
      </c>
    </row>
    <row r="195" spans="1:19" hidden="1" x14ac:dyDescent="0.3">
      <c r="A195" s="14">
        <v>43894.708333333336</v>
      </c>
      <c r="B195" s="13" t="s">
        <v>23</v>
      </c>
      <c r="C195" s="2">
        <v>15</v>
      </c>
      <c r="D195" s="13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3" t="s">
        <v>27</v>
      </c>
      <c r="S195" s="13" t="s">
        <v>27</v>
      </c>
    </row>
    <row r="196" spans="1:19" hidden="1" x14ac:dyDescent="0.3">
      <c r="A196" s="14">
        <v>43894.708333333336</v>
      </c>
      <c r="B196" s="13" t="s">
        <v>23</v>
      </c>
      <c r="C196" s="2">
        <v>8</v>
      </c>
      <c r="D196" s="13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3" t="s">
        <v>27</v>
      </c>
      <c r="S196" s="13" t="s">
        <v>27</v>
      </c>
    </row>
    <row r="197" spans="1:19" hidden="1" x14ac:dyDescent="0.3">
      <c r="A197" s="14">
        <v>43894.708333333336</v>
      </c>
      <c r="B197" s="13" t="s">
        <v>23</v>
      </c>
      <c r="C197" s="2">
        <v>6</v>
      </c>
      <c r="D197" s="13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3" t="s">
        <v>27</v>
      </c>
      <c r="S197" s="13" t="s">
        <v>27</v>
      </c>
    </row>
    <row r="198" spans="1:19" hidden="1" x14ac:dyDescent="0.3">
      <c r="A198" s="14">
        <v>43894.708333333336</v>
      </c>
      <c r="B198" s="13" t="s">
        <v>23</v>
      </c>
      <c r="C198" s="2">
        <v>12</v>
      </c>
      <c r="D198" s="13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3" t="s">
        <v>27</v>
      </c>
      <c r="S198" s="13" t="s">
        <v>27</v>
      </c>
    </row>
    <row r="199" spans="1:19" hidden="1" x14ac:dyDescent="0.3">
      <c r="A199" s="14">
        <v>43894.708333333336</v>
      </c>
      <c r="B199" s="13" t="s">
        <v>23</v>
      </c>
      <c r="C199" s="2">
        <v>7</v>
      </c>
      <c r="D199" s="13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3" t="s">
        <v>27</v>
      </c>
      <c r="S199" s="13" t="s">
        <v>27</v>
      </c>
    </row>
    <row r="200" spans="1:19" x14ac:dyDescent="0.3">
      <c r="A200" s="14">
        <v>43894.708333333336</v>
      </c>
      <c r="B200" s="13" t="s">
        <v>23</v>
      </c>
      <c r="C200" s="2">
        <v>3</v>
      </c>
      <c r="D200" s="13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3" t="s">
        <v>27</v>
      </c>
      <c r="S200" s="13" t="s">
        <v>27</v>
      </c>
    </row>
    <row r="201" spans="1:19" hidden="1" x14ac:dyDescent="0.3">
      <c r="A201" s="14">
        <v>43894.708333333336</v>
      </c>
      <c r="B201" s="13" t="s">
        <v>23</v>
      </c>
      <c r="C201" s="2">
        <v>11</v>
      </c>
      <c r="D201" s="13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3" t="s">
        <v>27</v>
      </c>
      <c r="S201" s="13" t="s">
        <v>27</v>
      </c>
    </row>
    <row r="202" spans="1:19" hidden="1" x14ac:dyDescent="0.3">
      <c r="A202" s="14">
        <v>43894.708333333336</v>
      </c>
      <c r="B202" s="13" t="s">
        <v>23</v>
      </c>
      <c r="C202" s="2">
        <v>14</v>
      </c>
      <c r="D202" s="13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3" t="s">
        <v>27</v>
      </c>
      <c r="S202" s="13" t="s">
        <v>27</v>
      </c>
    </row>
    <row r="203" spans="1:19" hidden="1" x14ac:dyDescent="0.3">
      <c r="A203" s="14">
        <v>43894.708333333336</v>
      </c>
      <c r="B203" s="13" t="s">
        <v>23</v>
      </c>
      <c r="C203" s="2">
        <v>1</v>
      </c>
      <c r="D203" s="13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3" t="s">
        <v>27</v>
      </c>
      <c r="S203" s="13" t="s">
        <v>27</v>
      </c>
    </row>
    <row r="204" spans="1:19" hidden="1" x14ac:dyDescent="0.3">
      <c r="A204" s="14">
        <v>43894.708333333336</v>
      </c>
      <c r="B204" s="13" t="s">
        <v>23</v>
      </c>
      <c r="C204" s="2">
        <v>16</v>
      </c>
      <c r="D204" s="13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3" t="s">
        <v>27</v>
      </c>
      <c r="S204" s="13" t="s">
        <v>27</v>
      </c>
    </row>
    <row r="205" spans="1:19" hidden="1" x14ac:dyDescent="0.3">
      <c r="A205" s="14">
        <v>43894.708333333336</v>
      </c>
      <c r="B205" s="13" t="s">
        <v>23</v>
      </c>
      <c r="C205" s="2">
        <v>20</v>
      </c>
      <c r="D205" s="13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3" t="s">
        <v>27</v>
      </c>
      <c r="S205" s="13" t="s">
        <v>27</v>
      </c>
    </row>
    <row r="206" spans="1:19" hidden="1" x14ac:dyDescent="0.3">
      <c r="A206" s="14">
        <v>43894.708333333336</v>
      </c>
      <c r="B206" s="13" t="s">
        <v>23</v>
      </c>
      <c r="C206" s="2">
        <v>19</v>
      </c>
      <c r="D206" s="13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3" t="s">
        <v>27</v>
      </c>
      <c r="S206" s="13" t="s">
        <v>27</v>
      </c>
    </row>
    <row r="207" spans="1:19" hidden="1" x14ac:dyDescent="0.3">
      <c r="A207" s="14">
        <v>43894.708333333336</v>
      </c>
      <c r="B207" s="13" t="s">
        <v>23</v>
      </c>
      <c r="C207" s="2">
        <v>9</v>
      </c>
      <c r="D207" s="13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3" t="s">
        <v>27</v>
      </c>
      <c r="S207" s="13" t="s">
        <v>27</v>
      </c>
    </row>
    <row r="208" spans="1:19" hidden="1" x14ac:dyDescent="0.3">
      <c r="A208" s="14">
        <v>43894.708333333336</v>
      </c>
      <c r="B208" s="13" t="s">
        <v>23</v>
      </c>
      <c r="C208" s="2">
        <v>4</v>
      </c>
      <c r="D208" s="13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3" t="s">
        <v>27</v>
      </c>
      <c r="S208" s="13" t="s">
        <v>27</v>
      </c>
    </row>
    <row r="209" spans="1:19" hidden="1" x14ac:dyDescent="0.3">
      <c r="A209" s="14">
        <v>43894.708333333336</v>
      </c>
      <c r="B209" s="13" t="s">
        <v>23</v>
      </c>
      <c r="C209" s="2">
        <v>10</v>
      </c>
      <c r="D209" s="13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3" t="s">
        <v>27</v>
      </c>
      <c r="S209" s="13" t="s">
        <v>27</v>
      </c>
    </row>
    <row r="210" spans="1:19" hidden="1" x14ac:dyDescent="0.3">
      <c r="A210" s="14">
        <v>43894.708333333336</v>
      </c>
      <c r="B210" s="13" t="s">
        <v>23</v>
      </c>
      <c r="C210" s="2">
        <v>2</v>
      </c>
      <c r="D210" s="13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3" t="s">
        <v>27</v>
      </c>
      <c r="S210" s="13" t="s">
        <v>27</v>
      </c>
    </row>
    <row r="211" spans="1:19" hidden="1" x14ac:dyDescent="0.3">
      <c r="A211" s="14">
        <v>43894.708333333336</v>
      </c>
      <c r="B211" s="13" t="s">
        <v>23</v>
      </c>
      <c r="C211" s="2">
        <v>5</v>
      </c>
      <c r="D211" s="13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3" t="s">
        <v>27</v>
      </c>
      <c r="S211" s="13" t="s">
        <v>27</v>
      </c>
    </row>
    <row r="212" spans="1:19" hidden="1" x14ac:dyDescent="0.3">
      <c r="A212" s="14">
        <v>43895.708333333336</v>
      </c>
      <c r="B212" s="13" t="s">
        <v>23</v>
      </c>
      <c r="C212" s="2">
        <v>13</v>
      </c>
      <c r="D212" s="13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3" t="s">
        <v>27</v>
      </c>
      <c r="S212" s="13" t="s">
        <v>27</v>
      </c>
    </row>
    <row r="213" spans="1:19" hidden="1" x14ac:dyDescent="0.3">
      <c r="A213" s="14">
        <v>43895.708333333336</v>
      </c>
      <c r="B213" s="13" t="s">
        <v>23</v>
      </c>
      <c r="C213" s="2">
        <v>17</v>
      </c>
      <c r="D213" s="13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3" t="s">
        <v>27</v>
      </c>
      <c r="S213" s="13" t="s">
        <v>27</v>
      </c>
    </row>
    <row r="214" spans="1:19" hidden="1" x14ac:dyDescent="0.3">
      <c r="A214" s="14">
        <v>43895.708333333336</v>
      </c>
      <c r="B214" s="13" t="s">
        <v>23</v>
      </c>
      <c r="C214" s="2">
        <v>4</v>
      </c>
      <c r="D214" s="13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3" t="s">
        <v>27</v>
      </c>
      <c r="S214" s="13" t="s">
        <v>27</v>
      </c>
    </row>
    <row r="215" spans="1:19" hidden="1" x14ac:dyDescent="0.3">
      <c r="A215" s="14">
        <v>43895.708333333336</v>
      </c>
      <c r="B215" s="13" t="s">
        <v>23</v>
      </c>
      <c r="C215" s="2">
        <v>18</v>
      </c>
      <c r="D215" s="13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3" t="s">
        <v>27</v>
      </c>
      <c r="S215" s="13" t="s">
        <v>27</v>
      </c>
    </row>
    <row r="216" spans="1:19" hidden="1" x14ac:dyDescent="0.3">
      <c r="A216" s="14">
        <v>43895.708333333336</v>
      </c>
      <c r="B216" s="13" t="s">
        <v>23</v>
      </c>
      <c r="C216" s="2">
        <v>15</v>
      </c>
      <c r="D216" s="13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3" t="s">
        <v>27</v>
      </c>
      <c r="S216" s="13" t="s">
        <v>27</v>
      </c>
    </row>
    <row r="217" spans="1:19" hidden="1" x14ac:dyDescent="0.3">
      <c r="A217" s="14">
        <v>43895.708333333336</v>
      </c>
      <c r="B217" s="13" t="s">
        <v>23</v>
      </c>
      <c r="C217" s="2">
        <v>8</v>
      </c>
      <c r="D217" s="13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3" t="s">
        <v>27</v>
      </c>
      <c r="S217" s="13" t="s">
        <v>27</v>
      </c>
    </row>
    <row r="218" spans="1:19" hidden="1" x14ac:dyDescent="0.3">
      <c r="A218" s="14">
        <v>43895.708333333336</v>
      </c>
      <c r="B218" s="13" t="s">
        <v>23</v>
      </c>
      <c r="C218" s="2">
        <v>6</v>
      </c>
      <c r="D218" s="13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3" t="s">
        <v>27</v>
      </c>
      <c r="S218" s="13" t="s">
        <v>27</v>
      </c>
    </row>
    <row r="219" spans="1:19" hidden="1" x14ac:dyDescent="0.3">
      <c r="A219" s="14">
        <v>43895.708333333336</v>
      </c>
      <c r="B219" s="13" t="s">
        <v>23</v>
      </c>
      <c r="C219" s="2">
        <v>12</v>
      </c>
      <c r="D219" s="13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3" t="s">
        <v>27</v>
      </c>
      <c r="S219" s="13" t="s">
        <v>27</v>
      </c>
    </row>
    <row r="220" spans="1:19" hidden="1" x14ac:dyDescent="0.3">
      <c r="A220" s="14">
        <v>43895.708333333336</v>
      </c>
      <c r="B220" s="13" t="s">
        <v>23</v>
      </c>
      <c r="C220" s="2">
        <v>7</v>
      </c>
      <c r="D220" s="13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3" t="s">
        <v>27</v>
      </c>
      <c r="S220" s="13" t="s">
        <v>27</v>
      </c>
    </row>
    <row r="221" spans="1:19" x14ac:dyDescent="0.3">
      <c r="A221" s="14">
        <v>43895.708333333336</v>
      </c>
      <c r="B221" s="13" t="s">
        <v>23</v>
      </c>
      <c r="C221" s="2">
        <v>3</v>
      </c>
      <c r="D221" s="13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3" t="s">
        <v>27</v>
      </c>
      <c r="S221" s="13" t="s">
        <v>27</v>
      </c>
    </row>
    <row r="222" spans="1:19" hidden="1" x14ac:dyDescent="0.3">
      <c r="A222" s="14">
        <v>43895.708333333336</v>
      </c>
      <c r="B222" s="13" t="s">
        <v>23</v>
      </c>
      <c r="C222" s="2">
        <v>11</v>
      </c>
      <c r="D222" s="13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3" t="s">
        <v>27</v>
      </c>
      <c r="S222" s="13" t="s">
        <v>27</v>
      </c>
    </row>
    <row r="223" spans="1:19" hidden="1" x14ac:dyDescent="0.3">
      <c r="A223" s="14">
        <v>43895.708333333336</v>
      </c>
      <c r="B223" s="13" t="s">
        <v>23</v>
      </c>
      <c r="C223" s="2">
        <v>14</v>
      </c>
      <c r="D223" s="13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3" t="s">
        <v>27</v>
      </c>
      <c r="S223" s="13" t="s">
        <v>27</v>
      </c>
    </row>
    <row r="224" spans="1:19" hidden="1" x14ac:dyDescent="0.3">
      <c r="A224" s="14">
        <v>43895.708333333336</v>
      </c>
      <c r="B224" s="13" t="s">
        <v>23</v>
      </c>
      <c r="C224" s="2">
        <v>1</v>
      </c>
      <c r="D224" s="13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3" t="s">
        <v>27</v>
      </c>
      <c r="S224" s="13" t="s">
        <v>27</v>
      </c>
    </row>
    <row r="225" spans="1:19" hidden="1" x14ac:dyDescent="0.3">
      <c r="A225" s="14">
        <v>43895.708333333336</v>
      </c>
      <c r="B225" s="13" t="s">
        <v>23</v>
      </c>
      <c r="C225" s="2">
        <v>16</v>
      </c>
      <c r="D225" s="13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3" t="s">
        <v>27</v>
      </c>
      <c r="S225" s="13" t="s">
        <v>27</v>
      </c>
    </row>
    <row r="226" spans="1:19" hidden="1" x14ac:dyDescent="0.3">
      <c r="A226" s="14">
        <v>43895.708333333336</v>
      </c>
      <c r="B226" s="13" t="s">
        <v>23</v>
      </c>
      <c r="C226" s="2">
        <v>20</v>
      </c>
      <c r="D226" s="13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3" t="s">
        <v>27</v>
      </c>
      <c r="S226" s="13" t="s">
        <v>27</v>
      </c>
    </row>
    <row r="227" spans="1:19" hidden="1" x14ac:dyDescent="0.3">
      <c r="A227" s="14">
        <v>43895.708333333336</v>
      </c>
      <c r="B227" s="13" t="s">
        <v>23</v>
      </c>
      <c r="C227" s="2">
        <v>19</v>
      </c>
      <c r="D227" s="13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3" t="s">
        <v>27</v>
      </c>
      <c r="S227" s="13" t="s">
        <v>27</v>
      </c>
    </row>
    <row r="228" spans="1:19" hidden="1" x14ac:dyDescent="0.3">
      <c r="A228" s="14">
        <v>43895.708333333336</v>
      </c>
      <c r="B228" s="13" t="s">
        <v>23</v>
      </c>
      <c r="C228" s="2">
        <v>9</v>
      </c>
      <c r="D228" s="13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3" t="s">
        <v>27</v>
      </c>
      <c r="S228" s="13" t="s">
        <v>27</v>
      </c>
    </row>
    <row r="229" spans="1:19" hidden="1" x14ac:dyDescent="0.3">
      <c r="A229" s="14">
        <v>43895.708333333336</v>
      </c>
      <c r="B229" s="13" t="s">
        <v>23</v>
      </c>
      <c r="C229" s="2">
        <v>4</v>
      </c>
      <c r="D229" s="13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3" t="s">
        <v>27</v>
      </c>
      <c r="S229" s="13" t="s">
        <v>27</v>
      </c>
    </row>
    <row r="230" spans="1:19" hidden="1" x14ac:dyDescent="0.3">
      <c r="A230" s="14">
        <v>43895.708333333336</v>
      </c>
      <c r="B230" s="13" t="s">
        <v>23</v>
      </c>
      <c r="C230" s="2">
        <v>10</v>
      </c>
      <c r="D230" s="13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3" t="s">
        <v>27</v>
      </c>
      <c r="S230" s="13" t="s">
        <v>27</v>
      </c>
    </row>
    <row r="231" spans="1:19" hidden="1" x14ac:dyDescent="0.3">
      <c r="A231" s="14">
        <v>43895.708333333336</v>
      </c>
      <c r="B231" s="13" t="s">
        <v>23</v>
      </c>
      <c r="C231" s="2">
        <v>2</v>
      </c>
      <c r="D231" s="13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3" t="s">
        <v>27</v>
      </c>
      <c r="S231" s="13" t="s">
        <v>27</v>
      </c>
    </row>
    <row r="232" spans="1:19" hidden="1" x14ac:dyDescent="0.3">
      <c r="A232" s="14">
        <v>43895.708333333336</v>
      </c>
      <c r="B232" s="13" t="s">
        <v>23</v>
      </c>
      <c r="C232" s="2">
        <v>5</v>
      </c>
      <c r="D232" s="13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3" t="s">
        <v>27</v>
      </c>
      <c r="S232" s="13" t="s">
        <v>27</v>
      </c>
    </row>
    <row r="233" spans="1:19" hidden="1" x14ac:dyDescent="0.3">
      <c r="A233" s="14">
        <v>43896.708333333336</v>
      </c>
      <c r="B233" s="13" t="s">
        <v>23</v>
      </c>
      <c r="C233" s="2">
        <v>13</v>
      </c>
      <c r="D233" s="13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3" t="s">
        <v>27</v>
      </c>
      <c r="S233" s="13" t="s">
        <v>27</v>
      </c>
    </row>
    <row r="234" spans="1:19" hidden="1" x14ac:dyDescent="0.3">
      <c r="A234" s="14">
        <v>43896.708333333336</v>
      </c>
      <c r="B234" s="13" t="s">
        <v>23</v>
      </c>
      <c r="C234" s="2">
        <v>17</v>
      </c>
      <c r="D234" s="13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3" t="s">
        <v>27</v>
      </c>
      <c r="S234" s="13" t="s">
        <v>27</v>
      </c>
    </row>
    <row r="235" spans="1:19" hidden="1" x14ac:dyDescent="0.3">
      <c r="A235" s="14">
        <v>43896.708333333336</v>
      </c>
      <c r="B235" s="13" t="s">
        <v>23</v>
      </c>
      <c r="C235" s="2">
        <v>4</v>
      </c>
      <c r="D235" s="13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3" t="s">
        <v>27</v>
      </c>
      <c r="S235" s="13" t="s">
        <v>27</v>
      </c>
    </row>
    <row r="236" spans="1:19" hidden="1" x14ac:dyDescent="0.3">
      <c r="A236" s="14">
        <v>43896.708333333336</v>
      </c>
      <c r="B236" s="13" t="s">
        <v>23</v>
      </c>
      <c r="C236" s="2">
        <v>18</v>
      </c>
      <c r="D236" s="13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3" t="s">
        <v>27</v>
      </c>
      <c r="S236" s="13" t="s">
        <v>27</v>
      </c>
    </row>
    <row r="237" spans="1:19" hidden="1" x14ac:dyDescent="0.3">
      <c r="A237" s="14">
        <v>43896.708333333336</v>
      </c>
      <c r="B237" s="13" t="s">
        <v>23</v>
      </c>
      <c r="C237" s="2">
        <v>15</v>
      </c>
      <c r="D237" s="13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3" t="s">
        <v>27</v>
      </c>
      <c r="S237" s="13" t="s">
        <v>27</v>
      </c>
    </row>
    <row r="238" spans="1:19" hidden="1" x14ac:dyDescent="0.3">
      <c r="A238" s="14">
        <v>43896.708333333336</v>
      </c>
      <c r="B238" s="13" t="s">
        <v>23</v>
      </c>
      <c r="C238" s="2">
        <v>8</v>
      </c>
      <c r="D238" s="13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3" t="s">
        <v>27</v>
      </c>
      <c r="S238" s="13" t="s">
        <v>27</v>
      </c>
    </row>
    <row r="239" spans="1:19" hidden="1" x14ac:dyDescent="0.3">
      <c r="A239" s="14">
        <v>43896.708333333336</v>
      </c>
      <c r="B239" s="13" t="s">
        <v>23</v>
      </c>
      <c r="C239" s="2">
        <v>6</v>
      </c>
      <c r="D239" s="13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3" t="s">
        <v>27</v>
      </c>
      <c r="S239" s="13" t="s">
        <v>27</v>
      </c>
    </row>
    <row r="240" spans="1:19" hidden="1" x14ac:dyDescent="0.3">
      <c r="A240" s="14">
        <v>43896.708333333336</v>
      </c>
      <c r="B240" s="13" t="s">
        <v>23</v>
      </c>
      <c r="C240" s="2">
        <v>12</v>
      </c>
      <c r="D240" s="13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3" t="s">
        <v>27</v>
      </c>
      <c r="S240" s="13" t="s">
        <v>27</v>
      </c>
    </row>
    <row r="241" spans="1:19" hidden="1" x14ac:dyDescent="0.3">
      <c r="A241" s="14">
        <v>43896.708333333336</v>
      </c>
      <c r="B241" s="13" t="s">
        <v>23</v>
      </c>
      <c r="C241" s="2">
        <v>7</v>
      </c>
      <c r="D241" s="13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3" t="s">
        <v>27</v>
      </c>
      <c r="S241" s="13" t="s">
        <v>27</v>
      </c>
    </row>
    <row r="242" spans="1:19" x14ac:dyDescent="0.3">
      <c r="A242" s="14">
        <v>43896.708333333336</v>
      </c>
      <c r="B242" s="13" t="s">
        <v>23</v>
      </c>
      <c r="C242" s="2">
        <v>3</v>
      </c>
      <c r="D242" s="13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3" t="s">
        <v>27</v>
      </c>
      <c r="S242" s="13" t="s">
        <v>27</v>
      </c>
    </row>
    <row r="243" spans="1:19" hidden="1" x14ac:dyDescent="0.3">
      <c r="A243" s="14">
        <v>43896.708333333336</v>
      </c>
      <c r="B243" s="13" t="s">
        <v>23</v>
      </c>
      <c r="C243" s="2">
        <v>11</v>
      </c>
      <c r="D243" s="13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3" t="s">
        <v>27</v>
      </c>
      <c r="S243" s="13" t="s">
        <v>27</v>
      </c>
    </row>
    <row r="244" spans="1:19" hidden="1" x14ac:dyDescent="0.3">
      <c r="A244" s="14">
        <v>43896.708333333336</v>
      </c>
      <c r="B244" s="13" t="s">
        <v>23</v>
      </c>
      <c r="C244" s="2">
        <v>14</v>
      </c>
      <c r="D244" s="13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3" t="s">
        <v>27</v>
      </c>
      <c r="S244" s="13" t="s">
        <v>27</v>
      </c>
    </row>
    <row r="245" spans="1:19" hidden="1" x14ac:dyDescent="0.3">
      <c r="A245" s="14">
        <v>43896.708333333336</v>
      </c>
      <c r="B245" s="13" t="s">
        <v>23</v>
      </c>
      <c r="C245" s="2">
        <v>1</v>
      </c>
      <c r="D245" s="13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3" t="s">
        <v>27</v>
      </c>
      <c r="S245" s="13" t="s">
        <v>27</v>
      </c>
    </row>
    <row r="246" spans="1:19" hidden="1" x14ac:dyDescent="0.3">
      <c r="A246" s="14">
        <v>43896.708333333336</v>
      </c>
      <c r="B246" s="13" t="s">
        <v>23</v>
      </c>
      <c r="C246" s="2">
        <v>16</v>
      </c>
      <c r="D246" s="13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3" t="s">
        <v>27</v>
      </c>
      <c r="S246" s="13" t="s">
        <v>27</v>
      </c>
    </row>
    <row r="247" spans="1:19" hidden="1" x14ac:dyDescent="0.3">
      <c r="A247" s="14">
        <v>43896.708333333336</v>
      </c>
      <c r="B247" s="13" t="s">
        <v>23</v>
      </c>
      <c r="C247" s="2">
        <v>20</v>
      </c>
      <c r="D247" s="13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3" t="s">
        <v>27</v>
      </c>
      <c r="S247" s="13" t="s">
        <v>27</v>
      </c>
    </row>
    <row r="248" spans="1:19" hidden="1" x14ac:dyDescent="0.3">
      <c r="A248" s="14">
        <v>43896.708333333336</v>
      </c>
      <c r="B248" s="13" t="s">
        <v>23</v>
      </c>
      <c r="C248" s="2">
        <v>19</v>
      </c>
      <c r="D248" s="13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3" t="s">
        <v>27</v>
      </c>
      <c r="S248" s="13" t="s">
        <v>27</v>
      </c>
    </row>
    <row r="249" spans="1:19" hidden="1" x14ac:dyDescent="0.3">
      <c r="A249" s="14">
        <v>43896.708333333336</v>
      </c>
      <c r="B249" s="13" t="s">
        <v>23</v>
      </c>
      <c r="C249" s="2">
        <v>9</v>
      </c>
      <c r="D249" s="13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3" t="s">
        <v>27</v>
      </c>
      <c r="S249" s="13" t="s">
        <v>27</v>
      </c>
    </row>
    <row r="250" spans="1:19" hidden="1" x14ac:dyDescent="0.3">
      <c r="A250" s="14">
        <v>43896.708333333336</v>
      </c>
      <c r="B250" s="13" t="s">
        <v>23</v>
      </c>
      <c r="C250" s="2">
        <v>4</v>
      </c>
      <c r="D250" s="13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3" t="s">
        <v>27</v>
      </c>
      <c r="S250" s="13" t="s">
        <v>27</v>
      </c>
    </row>
    <row r="251" spans="1:19" hidden="1" x14ac:dyDescent="0.3">
      <c r="A251" s="14">
        <v>43896.708333333336</v>
      </c>
      <c r="B251" s="13" t="s">
        <v>23</v>
      </c>
      <c r="C251" s="2">
        <v>10</v>
      </c>
      <c r="D251" s="13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3" t="s">
        <v>27</v>
      </c>
      <c r="S251" s="13" t="s">
        <v>27</v>
      </c>
    </row>
    <row r="252" spans="1:19" hidden="1" x14ac:dyDescent="0.3">
      <c r="A252" s="14">
        <v>43896.708333333336</v>
      </c>
      <c r="B252" s="13" t="s">
        <v>23</v>
      </c>
      <c r="C252" s="2">
        <v>2</v>
      </c>
      <c r="D252" s="13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3" t="s">
        <v>27</v>
      </c>
      <c r="S252" s="13" t="s">
        <v>27</v>
      </c>
    </row>
    <row r="253" spans="1:19" hidden="1" x14ac:dyDescent="0.3">
      <c r="A253" s="14">
        <v>43896.708333333336</v>
      </c>
      <c r="B253" s="13" t="s">
        <v>23</v>
      </c>
      <c r="C253" s="2">
        <v>5</v>
      </c>
      <c r="D253" s="13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3" t="s">
        <v>27</v>
      </c>
      <c r="S253" s="13" t="s">
        <v>27</v>
      </c>
    </row>
    <row r="254" spans="1:19" hidden="1" x14ac:dyDescent="0.3">
      <c r="A254" s="14">
        <v>43897.75</v>
      </c>
      <c r="B254" s="13" t="s">
        <v>23</v>
      </c>
      <c r="C254" s="2">
        <v>13</v>
      </c>
      <c r="D254" s="13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3" t="s">
        <v>27</v>
      </c>
      <c r="S254" s="13" t="s">
        <v>27</v>
      </c>
    </row>
    <row r="255" spans="1:19" hidden="1" x14ac:dyDescent="0.3">
      <c r="A255" s="14">
        <v>43897.75</v>
      </c>
      <c r="B255" s="13" t="s">
        <v>23</v>
      </c>
      <c r="C255" s="2">
        <v>17</v>
      </c>
      <c r="D255" s="13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3" t="s">
        <v>27</v>
      </c>
      <c r="S255" s="13" t="s">
        <v>27</v>
      </c>
    </row>
    <row r="256" spans="1:19" hidden="1" x14ac:dyDescent="0.3">
      <c r="A256" s="14">
        <v>43897.75</v>
      </c>
      <c r="B256" s="13" t="s">
        <v>23</v>
      </c>
      <c r="C256" s="2">
        <v>4</v>
      </c>
      <c r="D256" s="13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3" t="s">
        <v>27</v>
      </c>
      <c r="S256" s="13" t="s">
        <v>27</v>
      </c>
    </row>
    <row r="257" spans="1:19" hidden="1" x14ac:dyDescent="0.3">
      <c r="A257" s="14">
        <v>43897.75</v>
      </c>
      <c r="B257" s="13" t="s">
        <v>23</v>
      </c>
      <c r="C257" s="2">
        <v>18</v>
      </c>
      <c r="D257" s="13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3" t="s">
        <v>27</v>
      </c>
      <c r="S257" s="13" t="s">
        <v>27</v>
      </c>
    </row>
    <row r="258" spans="1:19" hidden="1" x14ac:dyDescent="0.3">
      <c r="A258" s="14">
        <v>43897.75</v>
      </c>
      <c r="B258" s="13" t="s">
        <v>23</v>
      </c>
      <c r="C258" s="2">
        <v>15</v>
      </c>
      <c r="D258" s="13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3" t="s">
        <v>27</v>
      </c>
      <c r="S258" s="13" t="s">
        <v>27</v>
      </c>
    </row>
    <row r="259" spans="1:19" hidden="1" x14ac:dyDescent="0.3">
      <c r="A259" s="14">
        <v>43897.75</v>
      </c>
      <c r="B259" s="13" t="s">
        <v>23</v>
      </c>
      <c r="C259" s="2">
        <v>8</v>
      </c>
      <c r="D259" s="13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3" t="s">
        <v>27</v>
      </c>
      <c r="S259" s="13" t="s">
        <v>27</v>
      </c>
    </row>
    <row r="260" spans="1:19" hidden="1" x14ac:dyDescent="0.3">
      <c r="A260" s="14">
        <v>43897.75</v>
      </c>
      <c r="B260" s="13" t="s">
        <v>23</v>
      </c>
      <c r="C260" s="2">
        <v>6</v>
      </c>
      <c r="D260" s="13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3" t="s">
        <v>27</v>
      </c>
      <c r="S260" s="13" t="s">
        <v>27</v>
      </c>
    </row>
    <row r="261" spans="1:19" hidden="1" x14ac:dyDescent="0.3">
      <c r="A261" s="14">
        <v>43897.75</v>
      </c>
      <c r="B261" s="13" t="s">
        <v>23</v>
      </c>
      <c r="C261" s="2">
        <v>12</v>
      </c>
      <c r="D261" s="13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3" t="s">
        <v>27</v>
      </c>
      <c r="S261" s="13" t="s">
        <v>27</v>
      </c>
    </row>
    <row r="262" spans="1:19" hidden="1" x14ac:dyDescent="0.3">
      <c r="A262" s="14">
        <v>43897.75</v>
      </c>
      <c r="B262" s="13" t="s">
        <v>23</v>
      </c>
      <c r="C262" s="2">
        <v>7</v>
      </c>
      <c r="D262" s="13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3" t="s">
        <v>27</v>
      </c>
      <c r="S262" s="13" t="s">
        <v>27</v>
      </c>
    </row>
    <row r="263" spans="1:19" x14ac:dyDescent="0.3">
      <c r="A263" s="14">
        <v>43897.75</v>
      </c>
      <c r="B263" s="13" t="s">
        <v>23</v>
      </c>
      <c r="C263" s="2">
        <v>3</v>
      </c>
      <c r="D263" s="13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3" t="s">
        <v>64</v>
      </c>
      <c r="S263" s="13" t="s">
        <v>65</v>
      </c>
    </row>
    <row r="264" spans="1:19" hidden="1" x14ac:dyDescent="0.3">
      <c r="A264" s="14">
        <v>43897.75</v>
      </c>
      <c r="B264" s="13" t="s">
        <v>23</v>
      </c>
      <c r="C264" s="2">
        <v>11</v>
      </c>
      <c r="D264" s="13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3" t="s">
        <v>27</v>
      </c>
      <c r="S264" s="13" t="s">
        <v>27</v>
      </c>
    </row>
    <row r="265" spans="1:19" hidden="1" x14ac:dyDescent="0.3">
      <c r="A265" s="14">
        <v>43897.75</v>
      </c>
      <c r="B265" s="13" t="s">
        <v>23</v>
      </c>
      <c r="C265" s="2">
        <v>14</v>
      </c>
      <c r="D265" s="13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3" t="s">
        <v>27</v>
      </c>
      <c r="S265" s="13" t="s">
        <v>27</v>
      </c>
    </row>
    <row r="266" spans="1:19" hidden="1" x14ac:dyDescent="0.3">
      <c r="A266" s="14">
        <v>43897.75</v>
      </c>
      <c r="B266" s="13" t="s">
        <v>23</v>
      </c>
      <c r="C266" s="2">
        <v>1</v>
      </c>
      <c r="D266" s="13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3" t="s">
        <v>27</v>
      </c>
      <c r="S266" s="13" t="s">
        <v>27</v>
      </c>
    </row>
    <row r="267" spans="1:19" hidden="1" x14ac:dyDescent="0.3">
      <c r="A267" s="14">
        <v>43897.75</v>
      </c>
      <c r="B267" s="13" t="s">
        <v>23</v>
      </c>
      <c r="C267" s="2">
        <v>16</v>
      </c>
      <c r="D267" s="13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3" t="s">
        <v>27</v>
      </c>
      <c r="S267" s="13" t="s">
        <v>27</v>
      </c>
    </row>
    <row r="268" spans="1:19" hidden="1" x14ac:dyDescent="0.3">
      <c r="A268" s="14">
        <v>43897.75</v>
      </c>
      <c r="B268" s="13" t="s">
        <v>23</v>
      </c>
      <c r="C268" s="2">
        <v>20</v>
      </c>
      <c r="D268" s="13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3" t="s">
        <v>27</v>
      </c>
      <c r="S268" s="13" t="s">
        <v>27</v>
      </c>
    </row>
    <row r="269" spans="1:19" hidden="1" x14ac:dyDescent="0.3">
      <c r="A269" s="14">
        <v>43897.75</v>
      </c>
      <c r="B269" s="13" t="s">
        <v>23</v>
      </c>
      <c r="C269" s="2">
        <v>19</v>
      </c>
      <c r="D269" s="13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3" t="s">
        <v>27</v>
      </c>
      <c r="S269" s="13" t="s">
        <v>27</v>
      </c>
    </row>
    <row r="270" spans="1:19" hidden="1" x14ac:dyDescent="0.3">
      <c r="A270" s="14">
        <v>43897.75</v>
      </c>
      <c r="B270" s="13" t="s">
        <v>23</v>
      </c>
      <c r="C270" s="2">
        <v>9</v>
      </c>
      <c r="D270" s="13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3" t="s">
        <v>27</v>
      </c>
      <c r="S270" s="13" t="s">
        <v>27</v>
      </c>
    </row>
    <row r="271" spans="1:19" hidden="1" x14ac:dyDescent="0.3">
      <c r="A271" s="14">
        <v>43897.75</v>
      </c>
      <c r="B271" s="13" t="s">
        <v>23</v>
      </c>
      <c r="C271" s="2">
        <v>4</v>
      </c>
      <c r="D271" s="13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3" t="s">
        <v>27</v>
      </c>
      <c r="S271" s="13" t="s">
        <v>27</v>
      </c>
    </row>
    <row r="272" spans="1:19" hidden="1" x14ac:dyDescent="0.3">
      <c r="A272" s="14">
        <v>43897.75</v>
      </c>
      <c r="B272" s="13" t="s">
        <v>23</v>
      </c>
      <c r="C272" s="2">
        <v>10</v>
      </c>
      <c r="D272" s="13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3" t="s">
        <v>27</v>
      </c>
      <c r="S272" s="13" t="s">
        <v>27</v>
      </c>
    </row>
    <row r="273" spans="1:19" hidden="1" x14ac:dyDescent="0.3">
      <c r="A273" s="14">
        <v>43897.75</v>
      </c>
      <c r="B273" s="13" t="s">
        <v>23</v>
      </c>
      <c r="C273" s="2">
        <v>2</v>
      </c>
      <c r="D273" s="13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3" t="s">
        <v>27</v>
      </c>
      <c r="S273" s="13" t="s">
        <v>27</v>
      </c>
    </row>
    <row r="274" spans="1:19" hidden="1" x14ac:dyDescent="0.3">
      <c r="A274" s="14">
        <v>43897.75</v>
      </c>
      <c r="B274" s="13" t="s">
        <v>23</v>
      </c>
      <c r="C274" s="2">
        <v>5</v>
      </c>
      <c r="D274" s="13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3" t="s">
        <v>27</v>
      </c>
      <c r="S274" s="13" t="s">
        <v>27</v>
      </c>
    </row>
    <row r="275" spans="1:19" hidden="1" x14ac:dyDescent="0.3">
      <c r="A275" s="14">
        <v>43898.75</v>
      </c>
      <c r="B275" s="13" t="s">
        <v>23</v>
      </c>
      <c r="C275" s="2">
        <v>13</v>
      </c>
      <c r="D275" s="13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3" t="s">
        <v>27</v>
      </c>
      <c r="S275" s="13" t="s">
        <v>27</v>
      </c>
    </row>
    <row r="276" spans="1:19" hidden="1" x14ac:dyDescent="0.3">
      <c r="A276" s="14">
        <v>43898.75</v>
      </c>
      <c r="B276" s="13" t="s">
        <v>23</v>
      </c>
      <c r="C276" s="2">
        <v>17</v>
      </c>
      <c r="D276" s="13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3" t="s">
        <v>27</v>
      </c>
      <c r="S276" s="13" t="s">
        <v>27</v>
      </c>
    </row>
    <row r="277" spans="1:19" hidden="1" x14ac:dyDescent="0.3">
      <c r="A277" s="14">
        <v>43898.75</v>
      </c>
      <c r="B277" s="13" t="s">
        <v>23</v>
      </c>
      <c r="C277" s="2">
        <v>4</v>
      </c>
      <c r="D277" s="13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3" t="s">
        <v>27</v>
      </c>
      <c r="S277" s="13" t="s">
        <v>27</v>
      </c>
    </row>
    <row r="278" spans="1:19" hidden="1" x14ac:dyDescent="0.3">
      <c r="A278" s="14">
        <v>43898.75</v>
      </c>
      <c r="B278" s="13" t="s">
        <v>23</v>
      </c>
      <c r="C278" s="2">
        <v>18</v>
      </c>
      <c r="D278" s="13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3" t="s">
        <v>27</v>
      </c>
      <c r="S278" s="13" t="s">
        <v>27</v>
      </c>
    </row>
    <row r="279" spans="1:19" hidden="1" x14ac:dyDescent="0.3">
      <c r="A279" s="14">
        <v>43898.75</v>
      </c>
      <c r="B279" s="13" t="s">
        <v>23</v>
      </c>
      <c r="C279" s="2">
        <v>15</v>
      </c>
      <c r="D279" s="13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3" t="s">
        <v>27</v>
      </c>
      <c r="S279" s="13" t="s">
        <v>27</v>
      </c>
    </row>
    <row r="280" spans="1:19" hidden="1" x14ac:dyDescent="0.3">
      <c r="A280" s="14">
        <v>43898.75</v>
      </c>
      <c r="B280" s="13" t="s">
        <v>23</v>
      </c>
      <c r="C280" s="2">
        <v>8</v>
      </c>
      <c r="D280" s="13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3" t="s">
        <v>27</v>
      </c>
      <c r="S280" s="13" t="s">
        <v>27</v>
      </c>
    </row>
    <row r="281" spans="1:19" hidden="1" x14ac:dyDescent="0.3">
      <c r="A281" s="14">
        <v>43898.75</v>
      </c>
      <c r="B281" s="13" t="s">
        <v>23</v>
      </c>
      <c r="C281" s="2">
        <v>6</v>
      </c>
      <c r="D281" s="13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3" t="s">
        <v>27</v>
      </c>
      <c r="S281" s="13" t="s">
        <v>27</v>
      </c>
    </row>
    <row r="282" spans="1:19" hidden="1" x14ac:dyDescent="0.3">
      <c r="A282" s="14">
        <v>43898.75</v>
      </c>
      <c r="B282" s="13" t="s">
        <v>23</v>
      </c>
      <c r="C282" s="2">
        <v>12</v>
      </c>
      <c r="D282" s="13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3" t="s">
        <v>27</v>
      </c>
      <c r="S282" s="13" t="s">
        <v>27</v>
      </c>
    </row>
    <row r="283" spans="1:19" hidden="1" x14ac:dyDescent="0.3">
      <c r="A283" s="14">
        <v>43898.75</v>
      </c>
      <c r="B283" s="13" t="s">
        <v>23</v>
      </c>
      <c r="C283" s="2">
        <v>7</v>
      </c>
      <c r="D283" s="13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3" t="s">
        <v>27</v>
      </c>
      <c r="S283" s="13" t="s">
        <v>27</v>
      </c>
    </row>
    <row r="284" spans="1:19" x14ac:dyDescent="0.3">
      <c r="A284" s="14">
        <v>43898.75</v>
      </c>
      <c r="B284" s="13" t="s">
        <v>23</v>
      </c>
      <c r="C284" s="2">
        <v>3</v>
      </c>
      <c r="D284" s="13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3" t="s">
        <v>27</v>
      </c>
      <c r="S284" s="13" t="s">
        <v>27</v>
      </c>
    </row>
    <row r="285" spans="1:19" hidden="1" x14ac:dyDescent="0.3">
      <c r="A285" s="14">
        <v>43898.75</v>
      </c>
      <c r="B285" s="13" t="s">
        <v>23</v>
      </c>
      <c r="C285" s="2">
        <v>11</v>
      </c>
      <c r="D285" s="13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3" t="s">
        <v>27</v>
      </c>
      <c r="S285" s="13" t="s">
        <v>27</v>
      </c>
    </row>
    <row r="286" spans="1:19" hidden="1" x14ac:dyDescent="0.3">
      <c r="A286" s="14">
        <v>43898.75</v>
      </c>
      <c r="B286" s="13" t="s">
        <v>23</v>
      </c>
      <c r="C286" s="2">
        <v>14</v>
      </c>
      <c r="D286" s="13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3" t="s">
        <v>27</v>
      </c>
      <c r="S286" s="13" t="s">
        <v>27</v>
      </c>
    </row>
    <row r="287" spans="1:19" hidden="1" x14ac:dyDescent="0.3">
      <c r="A287" s="14">
        <v>43898.75</v>
      </c>
      <c r="B287" s="13" t="s">
        <v>23</v>
      </c>
      <c r="C287" s="2">
        <v>1</v>
      </c>
      <c r="D287" s="13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3" t="s">
        <v>27</v>
      </c>
      <c r="S287" s="13" t="s">
        <v>27</v>
      </c>
    </row>
    <row r="288" spans="1:19" hidden="1" x14ac:dyDescent="0.3">
      <c r="A288" s="14">
        <v>43898.75</v>
      </c>
      <c r="B288" s="13" t="s">
        <v>23</v>
      </c>
      <c r="C288" s="2">
        <v>16</v>
      </c>
      <c r="D288" s="13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3" t="s">
        <v>27</v>
      </c>
      <c r="S288" s="13" t="s">
        <v>27</v>
      </c>
    </row>
    <row r="289" spans="1:19" hidden="1" x14ac:dyDescent="0.3">
      <c r="A289" s="14">
        <v>43898.75</v>
      </c>
      <c r="B289" s="13" t="s">
        <v>23</v>
      </c>
      <c r="C289" s="2">
        <v>20</v>
      </c>
      <c r="D289" s="13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3" t="s">
        <v>27</v>
      </c>
      <c r="S289" s="13" t="s">
        <v>27</v>
      </c>
    </row>
    <row r="290" spans="1:19" hidden="1" x14ac:dyDescent="0.3">
      <c r="A290" s="14">
        <v>43898.75</v>
      </c>
      <c r="B290" s="13" t="s">
        <v>23</v>
      </c>
      <c r="C290" s="2">
        <v>19</v>
      </c>
      <c r="D290" s="13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3" t="s">
        <v>27</v>
      </c>
      <c r="S290" s="13" t="s">
        <v>27</v>
      </c>
    </row>
    <row r="291" spans="1:19" hidden="1" x14ac:dyDescent="0.3">
      <c r="A291" s="14">
        <v>43898.75</v>
      </c>
      <c r="B291" s="13" t="s">
        <v>23</v>
      </c>
      <c r="C291" s="2">
        <v>9</v>
      </c>
      <c r="D291" s="13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3" t="s">
        <v>27</v>
      </c>
      <c r="S291" s="13" t="s">
        <v>27</v>
      </c>
    </row>
    <row r="292" spans="1:19" hidden="1" x14ac:dyDescent="0.3">
      <c r="A292" s="14">
        <v>43898.75</v>
      </c>
      <c r="B292" s="13" t="s">
        <v>23</v>
      </c>
      <c r="C292" s="2">
        <v>4</v>
      </c>
      <c r="D292" s="13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3" t="s">
        <v>27</v>
      </c>
      <c r="S292" s="13" t="s">
        <v>27</v>
      </c>
    </row>
    <row r="293" spans="1:19" hidden="1" x14ac:dyDescent="0.3">
      <c r="A293" s="14">
        <v>43898.75</v>
      </c>
      <c r="B293" s="13" t="s">
        <v>23</v>
      </c>
      <c r="C293" s="2">
        <v>10</v>
      </c>
      <c r="D293" s="13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3" t="s">
        <v>27</v>
      </c>
      <c r="S293" s="13" t="s">
        <v>27</v>
      </c>
    </row>
    <row r="294" spans="1:19" hidden="1" x14ac:dyDescent="0.3">
      <c r="A294" s="14">
        <v>43898.75</v>
      </c>
      <c r="B294" s="13" t="s">
        <v>23</v>
      </c>
      <c r="C294" s="2">
        <v>2</v>
      </c>
      <c r="D294" s="13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3" t="s">
        <v>27</v>
      </c>
      <c r="S294" s="13" t="s">
        <v>27</v>
      </c>
    </row>
    <row r="295" spans="1:19" hidden="1" x14ac:dyDescent="0.3">
      <c r="A295" s="14">
        <v>43898.75</v>
      </c>
      <c r="B295" s="13" t="s">
        <v>23</v>
      </c>
      <c r="C295" s="2">
        <v>5</v>
      </c>
      <c r="D295" s="13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3" t="s">
        <v>27</v>
      </c>
      <c r="S295" s="13" t="s">
        <v>27</v>
      </c>
    </row>
    <row r="296" spans="1:19" hidden="1" x14ac:dyDescent="0.3">
      <c r="A296" s="14">
        <v>43899.75</v>
      </c>
      <c r="B296" s="13" t="s">
        <v>23</v>
      </c>
      <c r="C296" s="2">
        <v>13</v>
      </c>
      <c r="D296" s="13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3" t="s">
        <v>27</v>
      </c>
      <c r="S296" s="13" t="s">
        <v>27</v>
      </c>
    </row>
    <row r="297" spans="1:19" hidden="1" x14ac:dyDescent="0.3">
      <c r="A297" s="14">
        <v>43899.75</v>
      </c>
      <c r="B297" s="13" t="s">
        <v>23</v>
      </c>
      <c r="C297" s="2">
        <v>17</v>
      </c>
      <c r="D297" s="13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3" t="s">
        <v>27</v>
      </c>
      <c r="S297" s="13" t="s">
        <v>27</v>
      </c>
    </row>
    <row r="298" spans="1:19" hidden="1" x14ac:dyDescent="0.3">
      <c r="A298" s="14">
        <v>43899.75</v>
      </c>
      <c r="B298" s="13" t="s">
        <v>23</v>
      </c>
      <c r="C298" s="2">
        <v>4</v>
      </c>
      <c r="D298" s="13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3" t="s">
        <v>27</v>
      </c>
      <c r="S298" s="13" t="s">
        <v>27</v>
      </c>
    </row>
    <row r="299" spans="1:19" hidden="1" x14ac:dyDescent="0.3">
      <c r="A299" s="14">
        <v>43899.75</v>
      </c>
      <c r="B299" s="13" t="s">
        <v>23</v>
      </c>
      <c r="C299" s="2">
        <v>18</v>
      </c>
      <c r="D299" s="13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3" t="s">
        <v>27</v>
      </c>
      <c r="S299" s="13" t="s">
        <v>27</v>
      </c>
    </row>
    <row r="300" spans="1:19" hidden="1" x14ac:dyDescent="0.3">
      <c r="A300" s="14">
        <v>43899.75</v>
      </c>
      <c r="B300" s="13" t="s">
        <v>23</v>
      </c>
      <c r="C300" s="2">
        <v>15</v>
      </c>
      <c r="D300" s="13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3" t="s">
        <v>27</v>
      </c>
      <c r="S300" s="13" t="s">
        <v>27</v>
      </c>
    </row>
    <row r="301" spans="1:19" hidden="1" x14ac:dyDescent="0.3">
      <c r="A301" s="14">
        <v>43899.75</v>
      </c>
      <c r="B301" s="13" t="s">
        <v>23</v>
      </c>
      <c r="C301" s="2">
        <v>8</v>
      </c>
      <c r="D301" s="13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3" t="s">
        <v>27</v>
      </c>
      <c r="S301" s="13" t="s">
        <v>27</v>
      </c>
    </row>
    <row r="302" spans="1:19" hidden="1" x14ac:dyDescent="0.3">
      <c r="A302" s="14">
        <v>43899.75</v>
      </c>
      <c r="B302" s="13" t="s">
        <v>23</v>
      </c>
      <c r="C302" s="2">
        <v>6</v>
      </c>
      <c r="D302" s="13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3" t="s">
        <v>27</v>
      </c>
      <c r="S302" s="13" t="s">
        <v>27</v>
      </c>
    </row>
    <row r="303" spans="1:19" hidden="1" x14ac:dyDescent="0.3">
      <c r="A303" s="14">
        <v>43899.75</v>
      </c>
      <c r="B303" s="13" t="s">
        <v>23</v>
      </c>
      <c r="C303" s="2">
        <v>12</v>
      </c>
      <c r="D303" s="13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3" t="s">
        <v>27</v>
      </c>
      <c r="S303" s="13" t="s">
        <v>27</v>
      </c>
    </row>
    <row r="304" spans="1:19" hidden="1" x14ac:dyDescent="0.3">
      <c r="A304" s="14">
        <v>43899.75</v>
      </c>
      <c r="B304" s="13" t="s">
        <v>23</v>
      </c>
      <c r="C304" s="2">
        <v>7</v>
      </c>
      <c r="D304" s="13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3" t="s">
        <v>27</v>
      </c>
      <c r="S304" s="13" t="s">
        <v>27</v>
      </c>
    </row>
    <row r="305" spans="1:19" x14ac:dyDescent="0.3">
      <c r="A305" s="14">
        <v>43899.75</v>
      </c>
      <c r="B305" s="13" t="s">
        <v>23</v>
      </c>
      <c r="C305" s="2">
        <v>3</v>
      </c>
      <c r="D305" s="13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3" t="s">
        <v>27</v>
      </c>
      <c r="S305" s="13" t="s">
        <v>27</v>
      </c>
    </row>
    <row r="306" spans="1:19" hidden="1" x14ac:dyDescent="0.3">
      <c r="A306" s="14">
        <v>43899.75</v>
      </c>
      <c r="B306" s="13" t="s">
        <v>23</v>
      </c>
      <c r="C306" s="2">
        <v>11</v>
      </c>
      <c r="D306" s="13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3" t="s">
        <v>27</v>
      </c>
      <c r="S306" s="13" t="s">
        <v>27</v>
      </c>
    </row>
    <row r="307" spans="1:19" hidden="1" x14ac:dyDescent="0.3">
      <c r="A307" s="14">
        <v>43899.75</v>
      </c>
      <c r="B307" s="13" t="s">
        <v>23</v>
      </c>
      <c r="C307" s="2">
        <v>14</v>
      </c>
      <c r="D307" s="13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3" t="s">
        <v>27</v>
      </c>
      <c r="S307" s="13" t="s">
        <v>27</v>
      </c>
    </row>
    <row r="308" spans="1:19" hidden="1" x14ac:dyDescent="0.3">
      <c r="A308" s="14">
        <v>43899.75</v>
      </c>
      <c r="B308" s="13" t="s">
        <v>23</v>
      </c>
      <c r="C308" s="2">
        <v>1</v>
      </c>
      <c r="D308" s="13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3" t="s">
        <v>27</v>
      </c>
      <c r="S308" s="13" t="s">
        <v>27</v>
      </c>
    </row>
    <row r="309" spans="1:19" hidden="1" x14ac:dyDescent="0.3">
      <c r="A309" s="14">
        <v>43899.75</v>
      </c>
      <c r="B309" s="13" t="s">
        <v>23</v>
      </c>
      <c r="C309" s="2">
        <v>16</v>
      </c>
      <c r="D309" s="13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3" t="s">
        <v>27</v>
      </c>
      <c r="S309" s="13" t="s">
        <v>27</v>
      </c>
    </row>
    <row r="310" spans="1:19" hidden="1" x14ac:dyDescent="0.3">
      <c r="A310" s="14">
        <v>43899.75</v>
      </c>
      <c r="B310" s="13" t="s">
        <v>23</v>
      </c>
      <c r="C310" s="2">
        <v>20</v>
      </c>
      <c r="D310" s="13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3" t="s">
        <v>27</v>
      </c>
      <c r="S310" s="13" t="s">
        <v>27</v>
      </c>
    </row>
    <row r="311" spans="1:19" hidden="1" x14ac:dyDescent="0.3">
      <c r="A311" s="14">
        <v>43899.75</v>
      </c>
      <c r="B311" s="13" t="s">
        <v>23</v>
      </c>
      <c r="C311" s="2">
        <v>19</v>
      </c>
      <c r="D311" s="13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3" t="s">
        <v>27</v>
      </c>
      <c r="S311" s="13" t="s">
        <v>27</v>
      </c>
    </row>
    <row r="312" spans="1:19" hidden="1" x14ac:dyDescent="0.3">
      <c r="A312" s="14">
        <v>43899.75</v>
      </c>
      <c r="B312" s="13" t="s">
        <v>23</v>
      </c>
      <c r="C312" s="2">
        <v>9</v>
      </c>
      <c r="D312" s="13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3" t="s">
        <v>27</v>
      </c>
      <c r="S312" s="13" t="s">
        <v>27</v>
      </c>
    </row>
    <row r="313" spans="1:19" hidden="1" x14ac:dyDescent="0.3">
      <c r="A313" s="14">
        <v>43899.75</v>
      </c>
      <c r="B313" s="13" t="s">
        <v>23</v>
      </c>
      <c r="C313" s="2">
        <v>4</v>
      </c>
      <c r="D313" s="13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3" t="s">
        <v>27</v>
      </c>
      <c r="S313" s="13" t="s">
        <v>27</v>
      </c>
    </row>
    <row r="314" spans="1:19" hidden="1" x14ac:dyDescent="0.3">
      <c r="A314" s="14">
        <v>43899.75</v>
      </c>
      <c r="B314" s="13" t="s">
        <v>23</v>
      </c>
      <c r="C314" s="2">
        <v>10</v>
      </c>
      <c r="D314" s="13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3" t="s">
        <v>27</v>
      </c>
      <c r="S314" s="13" t="s">
        <v>27</v>
      </c>
    </row>
    <row r="315" spans="1:19" hidden="1" x14ac:dyDescent="0.3">
      <c r="A315" s="14">
        <v>43899.75</v>
      </c>
      <c r="B315" s="13" t="s">
        <v>23</v>
      </c>
      <c r="C315" s="2">
        <v>2</v>
      </c>
      <c r="D315" s="13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3" t="s">
        <v>27</v>
      </c>
      <c r="S315" s="13" t="s">
        <v>27</v>
      </c>
    </row>
    <row r="316" spans="1:19" hidden="1" x14ac:dyDescent="0.3">
      <c r="A316" s="14">
        <v>43899.75</v>
      </c>
      <c r="B316" s="13" t="s">
        <v>23</v>
      </c>
      <c r="C316" s="2">
        <v>5</v>
      </c>
      <c r="D316" s="13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3" t="s">
        <v>27</v>
      </c>
      <c r="S316" s="13" t="s">
        <v>27</v>
      </c>
    </row>
    <row r="317" spans="1:19" hidden="1" x14ac:dyDescent="0.3">
      <c r="A317" s="14">
        <v>43900.75</v>
      </c>
      <c r="B317" s="13" t="s">
        <v>23</v>
      </c>
      <c r="C317" s="2">
        <v>13</v>
      </c>
      <c r="D317" s="13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3" t="s">
        <v>27</v>
      </c>
      <c r="S317" s="13" t="s">
        <v>27</v>
      </c>
    </row>
    <row r="318" spans="1:19" hidden="1" x14ac:dyDescent="0.3">
      <c r="A318" s="14">
        <v>43900.75</v>
      </c>
      <c r="B318" s="13" t="s">
        <v>23</v>
      </c>
      <c r="C318" s="2">
        <v>17</v>
      </c>
      <c r="D318" s="13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3" t="s">
        <v>27</v>
      </c>
      <c r="S318" s="13" t="s">
        <v>27</v>
      </c>
    </row>
    <row r="319" spans="1:19" hidden="1" x14ac:dyDescent="0.3">
      <c r="A319" s="14">
        <v>43900.75</v>
      </c>
      <c r="B319" s="13" t="s">
        <v>23</v>
      </c>
      <c r="C319" s="2">
        <v>4</v>
      </c>
      <c r="D319" s="13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3" t="s">
        <v>27</v>
      </c>
      <c r="S319" s="13" t="s">
        <v>27</v>
      </c>
    </row>
    <row r="320" spans="1:19" hidden="1" x14ac:dyDescent="0.3">
      <c r="A320" s="14">
        <v>43900.75</v>
      </c>
      <c r="B320" s="13" t="s">
        <v>23</v>
      </c>
      <c r="C320" s="2">
        <v>18</v>
      </c>
      <c r="D320" s="13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3" t="s">
        <v>27</v>
      </c>
      <c r="S320" s="13" t="s">
        <v>27</v>
      </c>
    </row>
    <row r="321" spans="1:19" hidden="1" x14ac:dyDescent="0.3">
      <c r="A321" s="14">
        <v>43900.75</v>
      </c>
      <c r="B321" s="13" t="s">
        <v>23</v>
      </c>
      <c r="C321" s="2">
        <v>15</v>
      </c>
      <c r="D321" s="13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3" t="s">
        <v>27</v>
      </c>
      <c r="S321" s="13" t="s">
        <v>27</v>
      </c>
    </row>
    <row r="322" spans="1:19" hidden="1" x14ac:dyDescent="0.3">
      <c r="A322" s="14">
        <v>43900.75</v>
      </c>
      <c r="B322" s="13" t="s">
        <v>23</v>
      </c>
      <c r="C322" s="2">
        <v>8</v>
      </c>
      <c r="D322" s="13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3" t="s">
        <v>27</v>
      </c>
      <c r="S322" s="13" t="s">
        <v>27</v>
      </c>
    </row>
    <row r="323" spans="1:19" hidden="1" x14ac:dyDescent="0.3">
      <c r="A323" s="14">
        <v>43900.75</v>
      </c>
      <c r="B323" s="13" t="s">
        <v>23</v>
      </c>
      <c r="C323" s="2">
        <v>6</v>
      </c>
      <c r="D323" s="13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3" t="s">
        <v>27</v>
      </c>
      <c r="S323" s="13" t="s">
        <v>27</v>
      </c>
    </row>
    <row r="324" spans="1:19" hidden="1" x14ac:dyDescent="0.3">
      <c r="A324" s="14">
        <v>43900.75</v>
      </c>
      <c r="B324" s="13" t="s">
        <v>23</v>
      </c>
      <c r="C324" s="2">
        <v>12</v>
      </c>
      <c r="D324" s="13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3" t="s">
        <v>27</v>
      </c>
      <c r="S324" s="13" t="s">
        <v>27</v>
      </c>
    </row>
    <row r="325" spans="1:19" hidden="1" x14ac:dyDescent="0.3">
      <c r="A325" s="14">
        <v>43900.75</v>
      </c>
      <c r="B325" s="13" t="s">
        <v>23</v>
      </c>
      <c r="C325" s="2">
        <v>7</v>
      </c>
      <c r="D325" s="13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3" t="s">
        <v>27</v>
      </c>
      <c r="S325" s="13" t="s">
        <v>27</v>
      </c>
    </row>
    <row r="326" spans="1:19" x14ac:dyDescent="0.3">
      <c r="A326" s="14">
        <v>43900.75</v>
      </c>
      <c r="B326" s="13" t="s">
        <v>23</v>
      </c>
      <c r="C326" s="2">
        <v>3</v>
      </c>
      <c r="D326" s="13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3" t="s">
        <v>66</v>
      </c>
      <c r="S326" s="13" t="s">
        <v>67</v>
      </c>
    </row>
    <row r="327" spans="1:19" hidden="1" x14ac:dyDescent="0.3">
      <c r="A327" s="14">
        <v>43900.75</v>
      </c>
      <c r="B327" s="13" t="s">
        <v>23</v>
      </c>
      <c r="C327" s="2">
        <v>11</v>
      </c>
      <c r="D327" s="13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3" t="s">
        <v>27</v>
      </c>
      <c r="S327" s="13" t="s">
        <v>27</v>
      </c>
    </row>
    <row r="328" spans="1:19" hidden="1" x14ac:dyDescent="0.3">
      <c r="A328" s="14">
        <v>43900.75</v>
      </c>
      <c r="B328" s="13" t="s">
        <v>23</v>
      </c>
      <c r="C328" s="2">
        <v>14</v>
      </c>
      <c r="D328" s="13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3" t="s">
        <v>27</v>
      </c>
      <c r="S328" s="13" t="s">
        <v>27</v>
      </c>
    </row>
    <row r="329" spans="1:19" hidden="1" x14ac:dyDescent="0.3">
      <c r="A329" s="14">
        <v>43900.75</v>
      </c>
      <c r="B329" s="13" t="s">
        <v>23</v>
      </c>
      <c r="C329" s="2">
        <v>1</v>
      </c>
      <c r="D329" s="13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3" t="s">
        <v>27</v>
      </c>
      <c r="S329" s="13" t="s">
        <v>27</v>
      </c>
    </row>
    <row r="330" spans="1:19" hidden="1" x14ac:dyDescent="0.3">
      <c r="A330" s="14">
        <v>43900.75</v>
      </c>
      <c r="B330" s="13" t="s">
        <v>23</v>
      </c>
      <c r="C330" s="2">
        <v>16</v>
      </c>
      <c r="D330" s="13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3" t="s">
        <v>27</v>
      </c>
      <c r="S330" s="13" t="s">
        <v>27</v>
      </c>
    </row>
    <row r="331" spans="1:19" hidden="1" x14ac:dyDescent="0.3">
      <c r="A331" s="14">
        <v>43900.75</v>
      </c>
      <c r="B331" s="13" t="s">
        <v>23</v>
      </c>
      <c r="C331" s="2">
        <v>20</v>
      </c>
      <c r="D331" s="13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3" t="s">
        <v>27</v>
      </c>
      <c r="S331" s="13" t="s">
        <v>27</v>
      </c>
    </row>
    <row r="332" spans="1:19" hidden="1" x14ac:dyDescent="0.3">
      <c r="A332" s="14">
        <v>43900.75</v>
      </c>
      <c r="B332" s="13" t="s">
        <v>23</v>
      </c>
      <c r="C332" s="2">
        <v>19</v>
      </c>
      <c r="D332" s="13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3" t="s">
        <v>27</v>
      </c>
      <c r="S332" s="13" t="s">
        <v>27</v>
      </c>
    </row>
    <row r="333" spans="1:19" hidden="1" x14ac:dyDescent="0.3">
      <c r="A333" s="14">
        <v>43900.75</v>
      </c>
      <c r="B333" s="13" t="s">
        <v>23</v>
      </c>
      <c r="C333" s="2">
        <v>9</v>
      </c>
      <c r="D333" s="13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3" t="s">
        <v>27</v>
      </c>
      <c r="S333" s="13" t="s">
        <v>27</v>
      </c>
    </row>
    <row r="334" spans="1:19" hidden="1" x14ac:dyDescent="0.3">
      <c r="A334" s="14">
        <v>43900.75</v>
      </c>
      <c r="B334" s="13" t="s">
        <v>23</v>
      </c>
      <c r="C334" s="2">
        <v>4</v>
      </c>
      <c r="D334" s="13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3" t="s">
        <v>27</v>
      </c>
      <c r="S334" s="13" t="s">
        <v>27</v>
      </c>
    </row>
    <row r="335" spans="1:19" hidden="1" x14ac:dyDescent="0.3">
      <c r="A335" s="14">
        <v>43900.75</v>
      </c>
      <c r="B335" s="13" t="s">
        <v>23</v>
      </c>
      <c r="C335" s="2">
        <v>10</v>
      </c>
      <c r="D335" s="13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3" t="s">
        <v>27</v>
      </c>
      <c r="S335" s="13" t="s">
        <v>27</v>
      </c>
    </row>
    <row r="336" spans="1:19" hidden="1" x14ac:dyDescent="0.3">
      <c r="A336" s="14">
        <v>43900.75</v>
      </c>
      <c r="B336" s="13" t="s">
        <v>23</v>
      </c>
      <c r="C336" s="2">
        <v>2</v>
      </c>
      <c r="D336" s="13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3" t="s">
        <v>27</v>
      </c>
      <c r="S336" s="13" t="s">
        <v>27</v>
      </c>
    </row>
    <row r="337" spans="1:19" hidden="1" x14ac:dyDescent="0.3">
      <c r="A337" s="14">
        <v>43900.75</v>
      </c>
      <c r="B337" s="13" t="s">
        <v>23</v>
      </c>
      <c r="C337" s="2">
        <v>5</v>
      </c>
      <c r="D337" s="13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3" t="s">
        <v>27</v>
      </c>
      <c r="S337" s="13" t="s">
        <v>27</v>
      </c>
    </row>
    <row r="338" spans="1:19" hidden="1" x14ac:dyDescent="0.3">
      <c r="A338" s="14">
        <v>43901.708333333336</v>
      </c>
      <c r="B338" s="13" t="s">
        <v>23</v>
      </c>
      <c r="C338" s="2">
        <v>13</v>
      </c>
      <c r="D338" s="13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3" t="s">
        <v>68</v>
      </c>
      <c r="S338" s="13" t="s">
        <v>69</v>
      </c>
    </row>
    <row r="339" spans="1:19" hidden="1" x14ac:dyDescent="0.3">
      <c r="A339" s="14">
        <v>43901.708333333336</v>
      </c>
      <c r="B339" s="13" t="s">
        <v>23</v>
      </c>
      <c r="C339" s="2">
        <v>17</v>
      </c>
      <c r="D339" s="13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3" t="s">
        <v>27</v>
      </c>
      <c r="S339" s="13" t="s">
        <v>27</v>
      </c>
    </row>
    <row r="340" spans="1:19" hidden="1" x14ac:dyDescent="0.3">
      <c r="A340" s="14">
        <v>43901.708333333336</v>
      </c>
      <c r="B340" s="13" t="s">
        <v>23</v>
      </c>
      <c r="C340" s="2">
        <v>4</v>
      </c>
      <c r="D340" s="13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3" t="s">
        <v>27</v>
      </c>
      <c r="S340" s="13" t="s">
        <v>27</v>
      </c>
    </row>
    <row r="341" spans="1:19" hidden="1" x14ac:dyDescent="0.3">
      <c r="A341" s="14">
        <v>43901.708333333336</v>
      </c>
      <c r="B341" s="13" t="s">
        <v>23</v>
      </c>
      <c r="C341" s="2">
        <v>18</v>
      </c>
      <c r="D341" s="13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3" t="s">
        <v>27</v>
      </c>
      <c r="S341" s="13" t="s">
        <v>27</v>
      </c>
    </row>
    <row r="342" spans="1:19" hidden="1" x14ac:dyDescent="0.3">
      <c r="A342" s="14">
        <v>43901.708333333336</v>
      </c>
      <c r="B342" s="13" t="s">
        <v>23</v>
      </c>
      <c r="C342" s="2">
        <v>15</v>
      </c>
      <c r="D342" s="13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3" t="s">
        <v>27</v>
      </c>
      <c r="S342" s="13" t="s">
        <v>27</v>
      </c>
    </row>
    <row r="343" spans="1:19" hidden="1" x14ac:dyDescent="0.3">
      <c r="A343" s="14">
        <v>43901.708333333336</v>
      </c>
      <c r="B343" s="13" t="s">
        <v>23</v>
      </c>
      <c r="C343" s="2">
        <v>8</v>
      </c>
      <c r="D343" s="13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3" t="s">
        <v>27</v>
      </c>
      <c r="S343" s="13" t="s">
        <v>27</v>
      </c>
    </row>
    <row r="344" spans="1:19" hidden="1" x14ac:dyDescent="0.3">
      <c r="A344" s="14">
        <v>43901.708333333336</v>
      </c>
      <c r="B344" s="13" t="s">
        <v>23</v>
      </c>
      <c r="C344" s="2">
        <v>6</v>
      </c>
      <c r="D344" s="13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3" t="s">
        <v>27</v>
      </c>
      <c r="S344" s="13" t="s">
        <v>27</v>
      </c>
    </row>
    <row r="345" spans="1:19" hidden="1" x14ac:dyDescent="0.3">
      <c r="A345" s="14">
        <v>43901.708333333336</v>
      </c>
      <c r="B345" s="13" t="s">
        <v>23</v>
      </c>
      <c r="C345" s="2">
        <v>12</v>
      </c>
      <c r="D345" s="13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3" t="s">
        <v>27</v>
      </c>
      <c r="S345" s="13" t="s">
        <v>27</v>
      </c>
    </row>
    <row r="346" spans="1:19" hidden="1" x14ac:dyDescent="0.3">
      <c r="A346" s="14">
        <v>43901.708333333336</v>
      </c>
      <c r="B346" s="13" t="s">
        <v>23</v>
      </c>
      <c r="C346" s="2">
        <v>7</v>
      </c>
      <c r="D346" s="13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3" t="s">
        <v>27</v>
      </c>
      <c r="S346" s="13" t="s">
        <v>27</v>
      </c>
    </row>
    <row r="347" spans="1:19" x14ac:dyDescent="0.3">
      <c r="A347" s="14">
        <v>43901.708333333336</v>
      </c>
      <c r="B347" s="13" t="s">
        <v>23</v>
      </c>
      <c r="C347" s="2">
        <v>3</v>
      </c>
      <c r="D347" s="13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3" t="s">
        <v>27</v>
      </c>
      <c r="S347" s="13" t="s">
        <v>27</v>
      </c>
    </row>
    <row r="348" spans="1:19" hidden="1" x14ac:dyDescent="0.3">
      <c r="A348" s="14">
        <v>43901.708333333336</v>
      </c>
      <c r="B348" s="13" t="s">
        <v>23</v>
      </c>
      <c r="C348" s="2">
        <v>11</v>
      </c>
      <c r="D348" s="13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3" t="s">
        <v>27</v>
      </c>
      <c r="S348" s="13" t="s">
        <v>27</v>
      </c>
    </row>
    <row r="349" spans="1:19" hidden="1" x14ac:dyDescent="0.3">
      <c r="A349" s="14">
        <v>43901.708333333336</v>
      </c>
      <c r="B349" s="13" t="s">
        <v>23</v>
      </c>
      <c r="C349" s="2">
        <v>14</v>
      </c>
      <c r="D349" s="13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3" t="s">
        <v>27</v>
      </c>
      <c r="S349" s="13" t="s">
        <v>27</v>
      </c>
    </row>
    <row r="350" spans="1:19" hidden="1" x14ac:dyDescent="0.3">
      <c r="A350" s="14">
        <v>43901.708333333336</v>
      </c>
      <c r="B350" s="13" t="s">
        <v>23</v>
      </c>
      <c r="C350" s="2">
        <v>1</v>
      </c>
      <c r="D350" s="13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3" t="s">
        <v>27</v>
      </c>
      <c r="S350" s="13" t="s">
        <v>27</v>
      </c>
    </row>
    <row r="351" spans="1:19" hidden="1" x14ac:dyDescent="0.3">
      <c r="A351" s="14">
        <v>43901.708333333336</v>
      </c>
      <c r="B351" s="13" t="s">
        <v>23</v>
      </c>
      <c r="C351" s="2">
        <v>16</v>
      </c>
      <c r="D351" s="13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3" t="s">
        <v>27</v>
      </c>
      <c r="S351" s="13" t="s">
        <v>27</v>
      </c>
    </row>
    <row r="352" spans="1:19" hidden="1" x14ac:dyDescent="0.3">
      <c r="A352" s="14">
        <v>43901.708333333336</v>
      </c>
      <c r="B352" s="13" t="s">
        <v>23</v>
      </c>
      <c r="C352" s="2">
        <v>20</v>
      </c>
      <c r="D352" s="13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3" t="s">
        <v>27</v>
      </c>
      <c r="S352" s="13" t="s">
        <v>27</v>
      </c>
    </row>
    <row r="353" spans="1:19" hidden="1" x14ac:dyDescent="0.3">
      <c r="A353" s="14">
        <v>43901.708333333336</v>
      </c>
      <c r="B353" s="13" t="s">
        <v>23</v>
      </c>
      <c r="C353" s="2">
        <v>19</v>
      </c>
      <c r="D353" s="13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3" t="s">
        <v>27</v>
      </c>
      <c r="S353" s="13" t="s">
        <v>27</v>
      </c>
    </row>
    <row r="354" spans="1:19" hidden="1" x14ac:dyDescent="0.3">
      <c r="A354" s="14">
        <v>43901.708333333336</v>
      </c>
      <c r="B354" s="13" t="s">
        <v>23</v>
      </c>
      <c r="C354" s="2">
        <v>9</v>
      </c>
      <c r="D354" s="13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3" t="s">
        <v>27</v>
      </c>
      <c r="S354" s="13" t="s">
        <v>27</v>
      </c>
    </row>
    <row r="355" spans="1:19" hidden="1" x14ac:dyDescent="0.3">
      <c r="A355" s="14">
        <v>43901.708333333336</v>
      </c>
      <c r="B355" s="13" t="s">
        <v>23</v>
      </c>
      <c r="C355" s="2">
        <v>4</v>
      </c>
      <c r="D355" s="13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3" t="s">
        <v>27</v>
      </c>
      <c r="S355" s="13" t="s">
        <v>27</v>
      </c>
    </row>
    <row r="356" spans="1:19" hidden="1" x14ac:dyDescent="0.3">
      <c r="A356" s="14">
        <v>43901.708333333336</v>
      </c>
      <c r="B356" s="13" t="s">
        <v>23</v>
      </c>
      <c r="C356" s="2">
        <v>10</v>
      </c>
      <c r="D356" s="13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3" t="s">
        <v>27</v>
      </c>
      <c r="S356" s="13" t="s">
        <v>27</v>
      </c>
    </row>
    <row r="357" spans="1:19" hidden="1" x14ac:dyDescent="0.3">
      <c r="A357" s="14">
        <v>43901.708333333336</v>
      </c>
      <c r="B357" s="13" t="s">
        <v>23</v>
      </c>
      <c r="C357" s="2">
        <v>2</v>
      </c>
      <c r="D357" s="13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3" t="s">
        <v>27</v>
      </c>
      <c r="S357" s="13" t="s">
        <v>27</v>
      </c>
    </row>
    <row r="358" spans="1:19" hidden="1" x14ac:dyDescent="0.3">
      <c r="A358" s="14">
        <v>43901.708333333336</v>
      </c>
      <c r="B358" s="13" t="s">
        <v>23</v>
      </c>
      <c r="C358" s="2">
        <v>5</v>
      </c>
      <c r="D358" s="13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3" t="s">
        <v>27</v>
      </c>
      <c r="S358" s="13" t="s">
        <v>27</v>
      </c>
    </row>
    <row r="359" spans="1:19" hidden="1" x14ac:dyDescent="0.3">
      <c r="A359" s="14">
        <v>43902.708333333336</v>
      </c>
      <c r="B359" s="13" t="s">
        <v>23</v>
      </c>
      <c r="C359" s="2">
        <v>13</v>
      </c>
      <c r="D359" s="13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3" t="s">
        <v>27</v>
      </c>
      <c r="S359" s="13" t="s">
        <v>27</v>
      </c>
    </row>
    <row r="360" spans="1:19" hidden="1" x14ac:dyDescent="0.3">
      <c r="A360" s="14">
        <v>43902.708333333336</v>
      </c>
      <c r="B360" s="13" t="s">
        <v>23</v>
      </c>
      <c r="C360" s="2">
        <v>17</v>
      </c>
      <c r="D360" s="13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3" t="s">
        <v>27</v>
      </c>
      <c r="S360" s="13" t="s">
        <v>27</v>
      </c>
    </row>
    <row r="361" spans="1:19" hidden="1" x14ac:dyDescent="0.3">
      <c r="A361" s="14">
        <v>43902.708333333336</v>
      </c>
      <c r="B361" s="13" t="s">
        <v>23</v>
      </c>
      <c r="C361" s="2">
        <v>4</v>
      </c>
      <c r="D361" s="13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3" t="s">
        <v>27</v>
      </c>
      <c r="S361" s="13" t="s">
        <v>27</v>
      </c>
    </row>
    <row r="362" spans="1:19" hidden="1" x14ac:dyDescent="0.3">
      <c r="A362" s="14">
        <v>43902.708333333336</v>
      </c>
      <c r="B362" s="13" t="s">
        <v>23</v>
      </c>
      <c r="C362" s="2">
        <v>18</v>
      </c>
      <c r="D362" s="13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3" t="s">
        <v>27</v>
      </c>
      <c r="S362" s="13" t="s">
        <v>27</v>
      </c>
    </row>
    <row r="363" spans="1:19" hidden="1" x14ac:dyDescent="0.3">
      <c r="A363" s="14">
        <v>43902.708333333336</v>
      </c>
      <c r="B363" s="13" t="s">
        <v>23</v>
      </c>
      <c r="C363" s="2">
        <v>15</v>
      </c>
      <c r="D363" s="13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3" t="s">
        <v>27</v>
      </c>
      <c r="S363" s="13" t="s">
        <v>27</v>
      </c>
    </row>
    <row r="364" spans="1:19" hidden="1" x14ac:dyDescent="0.3">
      <c r="A364" s="14">
        <v>43902.708333333336</v>
      </c>
      <c r="B364" s="13" t="s">
        <v>23</v>
      </c>
      <c r="C364" s="2">
        <v>8</v>
      </c>
      <c r="D364" s="13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3" t="s">
        <v>27</v>
      </c>
      <c r="S364" s="13" t="s">
        <v>27</v>
      </c>
    </row>
    <row r="365" spans="1:19" hidden="1" x14ac:dyDescent="0.3">
      <c r="A365" s="14">
        <v>43902.708333333336</v>
      </c>
      <c r="B365" s="13" t="s">
        <v>23</v>
      </c>
      <c r="C365" s="2">
        <v>6</v>
      </c>
      <c r="D365" s="13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3" t="s">
        <v>27</v>
      </c>
      <c r="S365" s="13" t="s">
        <v>27</v>
      </c>
    </row>
    <row r="366" spans="1:19" hidden="1" x14ac:dyDescent="0.3">
      <c r="A366" s="14">
        <v>43902.708333333336</v>
      </c>
      <c r="B366" s="13" t="s">
        <v>23</v>
      </c>
      <c r="C366" s="2">
        <v>12</v>
      </c>
      <c r="D366" s="13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3" t="s">
        <v>27</v>
      </c>
      <c r="S366" s="13" t="s">
        <v>27</v>
      </c>
    </row>
    <row r="367" spans="1:19" hidden="1" x14ac:dyDescent="0.3">
      <c r="A367" s="14">
        <v>43902.708333333336</v>
      </c>
      <c r="B367" s="13" t="s">
        <v>23</v>
      </c>
      <c r="C367" s="2">
        <v>7</v>
      </c>
      <c r="D367" s="13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3" t="s">
        <v>27</v>
      </c>
      <c r="S367" s="13" t="s">
        <v>27</v>
      </c>
    </row>
    <row r="368" spans="1:19" x14ac:dyDescent="0.3">
      <c r="A368" s="14">
        <v>43902.708333333336</v>
      </c>
      <c r="B368" s="13" t="s">
        <v>23</v>
      </c>
      <c r="C368" s="2">
        <v>3</v>
      </c>
      <c r="D368" s="13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3" t="s">
        <v>27</v>
      </c>
      <c r="S368" s="13" t="s">
        <v>27</v>
      </c>
    </row>
    <row r="369" spans="1:19" hidden="1" x14ac:dyDescent="0.3">
      <c r="A369" s="14">
        <v>43902.708333333336</v>
      </c>
      <c r="B369" s="13" t="s">
        <v>23</v>
      </c>
      <c r="C369" s="2">
        <v>11</v>
      </c>
      <c r="D369" s="13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3" t="s">
        <v>27</v>
      </c>
      <c r="S369" s="13" t="s">
        <v>27</v>
      </c>
    </row>
    <row r="370" spans="1:19" hidden="1" x14ac:dyDescent="0.3">
      <c r="A370" s="14">
        <v>43902.708333333336</v>
      </c>
      <c r="B370" s="13" t="s">
        <v>23</v>
      </c>
      <c r="C370" s="2">
        <v>14</v>
      </c>
      <c r="D370" s="13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3" t="s">
        <v>27</v>
      </c>
      <c r="S370" s="13" t="s">
        <v>27</v>
      </c>
    </row>
    <row r="371" spans="1:19" hidden="1" x14ac:dyDescent="0.3">
      <c r="A371" s="14">
        <v>43902.708333333336</v>
      </c>
      <c r="B371" s="13" t="s">
        <v>23</v>
      </c>
      <c r="C371" s="2">
        <v>1</v>
      </c>
      <c r="D371" s="13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3" t="s">
        <v>27</v>
      </c>
      <c r="S371" s="13" t="s">
        <v>27</v>
      </c>
    </row>
    <row r="372" spans="1:19" hidden="1" x14ac:dyDescent="0.3">
      <c r="A372" s="14">
        <v>43902.708333333336</v>
      </c>
      <c r="B372" s="13" t="s">
        <v>23</v>
      </c>
      <c r="C372" s="2">
        <v>16</v>
      </c>
      <c r="D372" s="13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3" t="s">
        <v>27</v>
      </c>
      <c r="S372" s="13" t="s">
        <v>27</v>
      </c>
    </row>
    <row r="373" spans="1:19" hidden="1" x14ac:dyDescent="0.3">
      <c r="A373" s="14">
        <v>43902.708333333336</v>
      </c>
      <c r="B373" s="13" t="s">
        <v>23</v>
      </c>
      <c r="C373" s="2">
        <v>20</v>
      </c>
      <c r="D373" s="13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3" t="s">
        <v>27</v>
      </c>
      <c r="S373" s="13" t="s">
        <v>27</v>
      </c>
    </row>
    <row r="374" spans="1:19" hidden="1" x14ac:dyDescent="0.3">
      <c r="A374" s="14">
        <v>43902.708333333336</v>
      </c>
      <c r="B374" s="13" t="s">
        <v>23</v>
      </c>
      <c r="C374" s="2">
        <v>19</v>
      </c>
      <c r="D374" s="13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3" t="s">
        <v>27</v>
      </c>
      <c r="S374" s="13" t="s">
        <v>27</v>
      </c>
    </row>
    <row r="375" spans="1:19" hidden="1" x14ac:dyDescent="0.3">
      <c r="A375" s="14">
        <v>43902.708333333336</v>
      </c>
      <c r="B375" s="13" t="s">
        <v>23</v>
      </c>
      <c r="C375" s="2">
        <v>9</v>
      </c>
      <c r="D375" s="13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3" t="s">
        <v>27</v>
      </c>
      <c r="S375" s="13" t="s">
        <v>27</v>
      </c>
    </row>
    <row r="376" spans="1:19" hidden="1" x14ac:dyDescent="0.3">
      <c r="A376" s="14">
        <v>43902.708333333336</v>
      </c>
      <c r="B376" s="13" t="s">
        <v>23</v>
      </c>
      <c r="C376" s="2">
        <v>4</v>
      </c>
      <c r="D376" s="13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3" t="s">
        <v>27</v>
      </c>
      <c r="S376" s="13" t="s">
        <v>27</v>
      </c>
    </row>
    <row r="377" spans="1:19" hidden="1" x14ac:dyDescent="0.3">
      <c r="A377" s="14">
        <v>43902.708333333336</v>
      </c>
      <c r="B377" s="13" t="s">
        <v>23</v>
      </c>
      <c r="C377" s="2">
        <v>10</v>
      </c>
      <c r="D377" s="13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3" t="s">
        <v>27</v>
      </c>
      <c r="S377" s="13" t="s">
        <v>27</v>
      </c>
    </row>
    <row r="378" spans="1:19" hidden="1" x14ac:dyDescent="0.3">
      <c r="A378" s="14">
        <v>43902.708333333336</v>
      </c>
      <c r="B378" s="13" t="s">
        <v>23</v>
      </c>
      <c r="C378" s="2">
        <v>2</v>
      </c>
      <c r="D378" s="13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3" t="s">
        <v>27</v>
      </c>
      <c r="S378" s="13" t="s">
        <v>27</v>
      </c>
    </row>
    <row r="379" spans="1:19" hidden="1" x14ac:dyDescent="0.3">
      <c r="A379" s="14">
        <v>43902.708333333336</v>
      </c>
      <c r="B379" s="13" t="s">
        <v>23</v>
      </c>
      <c r="C379" s="2">
        <v>5</v>
      </c>
      <c r="D379" s="13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3" t="s">
        <v>27</v>
      </c>
      <c r="S379" s="13" t="s">
        <v>27</v>
      </c>
    </row>
    <row r="380" spans="1:19" hidden="1" x14ac:dyDescent="0.3">
      <c r="A380" s="14">
        <v>43903.708333333336</v>
      </c>
      <c r="B380" s="13" t="s">
        <v>23</v>
      </c>
      <c r="C380" s="2">
        <v>13</v>
      </c>
      <c r="D380" s="13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3" t="s">
        <v>27</v>
      </c>
      <c r="S380" s="13" t="s">
        <v>27</v>
      </c>
    </row>
    <row r="381" spans="1:19" hidden="1" x14ac:dyDescent="0.3">
      <c r="A381" s="14">
        <v>43903.708333333336</v>
      </c>
      <c r="B381" s="13" t="s">
        <v>23</v>
      </c>
      <c r="C381" s="2">
        <v>17</v>
      </c>
      <c r="D381" s="13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3" t="s">
        <v>27</v>
      </c>
      <c r="S381" s="13" t="s">
        <v>27</v>
      </c>
    </row>
    <row r="382" spans="1:19" hidden="1" x14ac:dyDescent="0.3">
      <c r="A382" s="14">
        <v>43903.708333333336</v>
      </c>
      <c r="B382" s="13" t="s">
        <v>23</v>
      </c>
      <c r="C382" s="2">
        <v>4</v>
      </c>
      <c r="D382" s="13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3" t="s">
        <v>27</v>
      </c>
      <c r="S382" s="13" t="s">
        <v>27</v>
      </c>
    </row>
    <row r="383" spans="1:19" hidden="1" x14ac:dyDescent="0.3">
      <c r="A383" s="14">
        <v>43903.708333333336</v>
      </c>
      <c r="B383" s="13" t="s">
        <v>23</v>
      </c>
      <c r="C383" s="2">
        <v>18</v>
      </c>
      <c r="D383" s="13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3" t="s">
        <v>27</v>
      </c>
      <c r="S383" s="13" t="s">
        <v>27</v>
      </c>
    </row>
    <row r="384" spans="1:19" hidden="1" x14ac:dyDescent="0.3">
      <c r="A384" s="14">
        <v>43903.708333333336</v>
      </c>
      <c r="B384" s="13" t="s">
        <v>23</v>
      </c>
      <c r="C384" s="2">
        <v>15</v>
      </c>
      <c r="D384" s="13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3" t="s">
        <v>27</v>
      </c>
      <c r="S384" s="13" t="s">
        <v>27</v>
      </c>
    </row>
    <row r="385" spans="1:19" hidden="1" x14ac:dyDescent="0.3">
      <c r="A385" s="14">
        <v>43903.708333333336</v>
      </c>
      <c r="B385" s="13" t="s">
        <v>23</v>
      </c>
      <c r="C385" s="2">
        <v>8</v>
      </c>
      <c r="D385" s="13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3" t="s">
        <v>27</v>
      </c>
      <c r="S385" s="13" t="s">
        <v>27</v>
      </c>
    </row>
    <row r="386" spans="1:19" hidden="1" x14ac:dyDescent="0.3">
      <c r="A386" s="14">
        <v>43903.708333333336</v>
      </c>
      <c r="B386" s="13" t="s">
        <v>23</v>
      </c>
      <c r="C386" s="2">
        <v>6</v>
      </c>
      <c r="D386" s="13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3" t="s">
        <v>27</v>
      </c>
      <c r="S386" s="13" t="s">
        <v>27</v>
      </c>
    </row>
    <row r="387" spans="1:19" hidden="1" x14ac:dyDescent="0.3">
      <c r="A387" s="14">
        <v>43903.708333333336</v>
      </c>
      <c r="B387" s="13" t="s">
        <v>23</v>
      </c>
      <c r="C387" s="2">
        <v>12</v>
      </c>
      <c r="D387" s="13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3" t="s">
        <v>27</v>
      </c>
      <c r="S387" s="13" t="s">
        <v>27</v>
      </c>
    </row>
    <row r="388" spans="1:19" hidden="1" x14ac:dyDescent="0.3">
      <c r="A388" s="14">
        <v>43903.708333333336</v>
      </c>
      <c r="B388" s="13" t="s">
        <v>23</v>
      </c>
      <c r="C388" s="2">
        <v>7</v>
      </c>
      <c r="D388" s="13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3" t="s">
        <v>27</v>
      </c>
      <c r="S388" s="13" t="s">
        <v>27</v>
      </c>
    </row>
    <row r="389" spans="1:19" x14ac:dyDescent="0.3">
      <c r="A389" s="14">
        <v>43903.708333333336</v>
      </c>
      <c r="B389" s="13" t="s">
        <v>23</v>
      </c>
      <c r="C389" s="2">
        <v>3</v>
      </c>
      <c r="D389" s="13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3" t="s">
        <v>27</v>
      </c>
      <c r="S389" s="13" t="s">
        <v>27</v>
      </c>
    </row>
    <row r="390" spans="1:19" hidden="1" x14ac:dyDescent="0.3">
      <c r="A390" s="14">
        <v>43903.708333333336</v>
      </c>
      <c r="B390" s="13" t="s">
        <v>23</v>
      </c>
      <c r="C390" s="2">
        <v>11</v>
      </c>
      <c r="D390" s="13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3" t="s">
        <v>27</v>
      </c>
      <c r="S390" s="13" t="s">
        <v>27</v>
      </c>
    </row>
    <row r="391" spans="1:19" hidden="1" x14ac:dyDescent="0.3">
      <c r="A391" s="14">
        <v>43903.708333333336</v>
      </c>
      <c r="B391" s="13" t="s">
        <v>23</v>
      </c>
      <c r="C391" s="2">
        <v>14</v>
      </c>
      <c r="D391" s="13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3" t="s">
        <v>27</v>
      </c>
      <c r="S391" s="13" t="s">
        <v>27</v>
      </c>
    </row>
    <row r="392" spans="1:19" hidden="1" x14ac:dyDescent="0.3">
      <c r="A392" s="14">
        <v>43903.708333333336</v>
      </c>
      <c r="B392" s="13" t="s">
        <v>23</v>
      </c>
      <c r="C392" s="2">
        <v>1</v>
      </c>
      <c r="D392" s="13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3" t="s">
        <v>27</v>
      </c>
      <c r="S392" s="13" t="s">
        <v>27</v>
      </c>
    </row>
    <row r="393" spans="1:19" hidden="1" x14ac:dyDescent="0.3">
      <c r="A393" s="14">
        <v>43903.708333333336</v>
      </c>
      <c r="B393" s="13" t="s">
        <v>23</v>
      </c>
      <c r="C393" s="2">
        <v>16</v>
      </c>
      <c r="D393" s="13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3" t="s">
        <v>27</v>
      </c>
      <c r="S393" s="13" t="s">
        <v>27</v>
      </c>
    </row>
    <row r="394" spans="1:19" hidden="1" x14ac:dyDescent="0.3">
      <c r="A394" s="14">
        <v>43903.708333333336</v>
      </c>
      <c r="B394" s="13" t="s">
        <v>23</v>
      </c>
      <c r="C394" s="2">
        <v>20</v>
      </c>
      <c r="D394" s="13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3" t="s">
        <v>27</v>
      </c>
      <c r="S394" s="13" t="s">
        <v>27</v>
      </c>
    </row>
    <row r="395" spans="1:19" hidden="1" x14ac:dyDescent="0.3">
      <c r="A395" s="14">
        <v>43903.708333333336</v>
      </c>
      <c r="B395" s="13" t="s">
        <v>23</v>
      </c>
      <c r="C395" s="2">
        <v>19</v>
      </c>
      <c r="D395" s="13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3" t="s">
        <v>27</v>
      </c>
      <c r="S395" s="13" t="s">
        <v>27</v>
      </c>
    </row>
    <row r="396" spans="1:19" hidden="1" x14ac:dyDescent="0.3">
      <c r="A396" s="14">
        <v>43903.708333333336</v>
      </c>
      <c r="B396" s="13" t="s">
        <v>23</v>
      </c>
      <c r="C396" s="2">
        <v>9</v>
      </c>
      <c r="D396" s="13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3" t="s">
        <v>27</v>
      </c>
      <c r="S396" s="13" t="s">
        <v>27</v>
      </c>
    </row>
    <row r="397" spans="1:19" hidden="1" x14ac:dyDescent="0.3">
      <c r="A397" s="14">
        <v>43903.708333333336</v>
      </c>
      <c r="B397" s="13" t="s">
        <v>23</v>
      </c>
      <c r="C397" s="2">
        <v>4</v>
      </c>
      <c r="D397" s="13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3" t="s">
        <v>27</v>
      </c>
      <c r="S397" s="13" t="s">
        <v>27</v>
      </c>
    </row>
    <row r="398" spans="1:19" hidden="1" x14ac:dyDescent="0.3">
      <c r="A398" s="14">
        <v>43903.708333333336</v>
      </c>
      <c r="B398" s="13" t="s">
        <v>23</v>
      </c>
      <c r="C398" s="2">
        <v>10</v>
      </c>
      <c r="D398" s="13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3" t="s">
        <v>27</v>
      </c>
      <c r="S398" s="13" t="s">
        <v>27</v>
      </c>
    </row>
    <row r="399" spans="1:19" hidden="1" x14ac:dyDescent="0.3">
      <c r="A399" s="14">
        <v>43903.708333333336</v>
      </c>
      <c r="B399" s="13" t="s">
        <v>23</v>
      </c>
      <c r="C399" s="2">
        <v>2</v>
      </c>
      <c r="D399" s="13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3" t="s">
        <v>27</v>
      </c>
      <c r="S399" s="13" t="s">
        <v>27</v>
      </c>
    </row>
    <row r="400" spans="1:19" hidden="1" x14ac:dyDescent="0.3">
      <c r="A400" s="14">
        <v>43903.708333333336</v>
      </c>
      <c r="B400" s="13" t="s">
        <v>23</v>
      </c>
      <c r="C400" s="2">
        <v>5</v>
      </c>
      <c r="D400" s="13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3" t="s">
        <v>27</v>
      </c>
      <c r="S400" s="13" t="s">
        <v>27</v>
      </c>
    </row>
    <row r="401" spans="1:19" hidden="1" x14ac:dyDescent="0.3">
      <c r="A401" s="14">
        <v>43904.708333333336</v>
      </c>
      <c r="B401" s="13" t="s">
        <v>23</v>
      </c>
      <c r="C401" s="2">
        <v>13</v>
      </c>
      <c r="D401" s="13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3" t="s">
        <v>27</v>
      </c>
      <c r="S401" s="13" t="s">
        <v>27</v>
      </c>
    </row>
    <row r="402" spans="1:19" hidden="1" x14ac:dyDescent="0.3">
      <c r="A402" s="14">
        <v>43904.708333333336</v>
      </c>
      <c r="B402" s="13" t="s">
        <v>23</v>
      </c>
      <c r="C402" s="2">
        <v>17</v>
      </c>
      <c r="D402" s="13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3" t="s">
        <v>27</v>
      </c>
      <c r="S402" s="13" t="s">
        <v>27</v>
      </c>
    </row>
    <row r="403" spans="1:19" hidden="1" x14ac:dyDescent="0.3">
      <c r="A403" s="14">
        <v>43904.708333333336</v>
      </c>
      <c r="B403" s="13" t="s">
        <v>23</v>
      </c>
      <c r="C403" s="2">
        <v>4</v>
      </c>
      <c r="D403" s="13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3" t="s">
        <v>27</v>
      </c>
      <c r="S403" s="13" t="s">
        <v>27</v>
      </c>
    </row>
    <row r="404" spans="1:19" hidden="1" x14ac:dyDescent="0.3">
      <c r="A404" s="14">
        <v>43904.708333333336</v>
      </c>
      <c r="B404" s="13" t="s">
        <v>23</v>
      </c>
      <c r="C404" s="2">
        <v>18</v>
      </c>
      <c r="D404" s="13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3" t="s">
        <v>27</v>
      </c>
      <c r="S404" s="13" t="s">
        <v>27</v>
      </c>
    </row>
    <row r="405" spans="1:19" hidden="1" x14ac:dyDescent="0.3">
      <c r="A405" s="14">
        <v>43904.708333333336</v>
      </c>
      <c r="B405" s="13" t="s">
        <v>23</v>
      </c>
      <c r="C405" s="2">
        <v>15</v>
      </c>
      <c r="D405" s="13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3" t="s">
        <v>27</v>
      </c>
      <c r="S405" s="13" t="s">
        <v>27</v>
      </c>
    </row>
    <row r="406" spans="1:19" hidden="1" x14ac:dyDescent="0.3">
      <c r="A406" s="14">
        <v>43904.708333333336</v>
      </c>
      <c r="B406" s="13" t="s">
        <v>23</v>
      </c>
      <c r="C406" s="2">
        <v>8</v>
      </c>
      <c r="D406" s="13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3" t="s">
        <v>27</v>
      </c>
      <c r="S406" s="13" t="s">
        <v>27</v>
      </c>
    </row>
    <row r="407" spans="1:19" hidden="1" x14ac:dyDescent="0.3">
      <c r="A407" s="14">
        <v>43904.708333333336</v>
      </c>
      <c r="B407" s="13" t="s">
        <v>23</v>
      </c>
      <c r="C407" s="2">
        <v>6</v>
      </c>
      <c r="D407" s="13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3" t="s">
        <v>27</v>
      </c>
      <c r="S407" s="13" t="s">
        <v>27</v>
      </c>
    </row>
    <row r="408" spans="1:19" hidden="1" x14ac:dyDescent="0.3">
      <c r="A408" s="14">
        <v>43904.708333333336</v>
      </c>
      <c r="B408" s="13" t="s">
        <v>23</v>
      </c>
      <c r="C408" s="2">
        <v>12</v>
      </c>
      <c r="D408" s="13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3" t="s">
        <v>27</v>
      </c>
      <c r="S408" s="13" t="s">
        <v>27</v>
      </c>
    </row>
    <row r="409" spans="1:19" hidden="1" x14ac:dyDescent="0.3">
      <c r="A409" s="14">
        <v>43904.708333333336</v>
      </c>
      <c r="B409" s="13" t="s">
        <v>23</v>
      </c>
      <c r="C409" s="2">
        <v>7</v>
      </c>
      <c r="D409" s="13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3" t="s">
        <v>27</v>
      </c>
      <c r="S409" s="13" t="s">
        <v>27</v>
      </c>
    </row>
    <row r="410" spans="1:19" x14ac:dyDescent="0.3">
      <c r="A410" s="14">
        <v>43904.708333333336</v>
      </c>
      <c r="B410" s="13" t="s">
        <v>23</v>
      </c>
      <c r="C410" s="2">
        <v>3</v>
      </c>
      <c r="D410" s="13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3" t="s">
        <v>27</v>
      </c>
      <c r="S410" s="13" t="s">
        <v>27</v>
      </c>
    </row>
    <row r="411" spans="1:19" hidden="1" x14ac:dyDescent="0.3">
      <c r="A411" s="14">
        <v>43904.708333333336</v>
      </c>
      <c r="B411" s="13" t="s">
        <v>23</v>
      </c>
      <c r="C411" s="2">
        <v>11</v>
      </c>
      <c r="D411" s="13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3" t="s">
        <v>27</v>
      </c>
      <c r="S411" s="13" t="s">
        <v>27</v>
      </c>
    </row>
    <row r="412" spans="1:19" hidden="1" x14ac:dyDescent="0.3">
      <c r="A412" s="14">
        <v>43904.708333333336</v>
      </c>
      <c r="B412" s="13" t="s">
        <v>23</v>
      </c>
      <c r="C412" s="2">
        <v>14</v>
      </c>
      <c r="D412" s="13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3" t="s">
        <v>27</v>
      </c>
      <c r="S412" s="13" t="s">
        <v>27</v>
      </c>
    </row>
    <row r="413" spans="1:19" hidden="1" x14ac:dyDescent="0.3">
      <c r="A413" s="14">
        <v>43904.708333333336</v>
      </c>
      <c r="B413" s="13" t="s">
        <v>23</v>
      </c>
      <c r="C413" s="2">
        <v>1</v>
      </c>
      <c r="D413" s="13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3" t="s">
        <v>27</v>
      </c>
      <c r="S413" s="13" t="s">
        <v>27</v>
      </c>
    </row>
    <row r="414" spans="1:19" hidden="1" x14ac:dyDescent="0.3">
      <c r="A414" s="14">
        <v>43904.708333333336</v>
      </c>
      <c r="B414" s="13" t="s">
        <v>23</v>
      </c>
      <c r="C414" s="2">
        <v>16</v>
      </c>
      <c r="D414" s="13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3" t="s">
        <v>27</v>
      </c>
      <c r="S414" s="13" t="s">
        <v>27</v>
      </c>
    </row>
    <row r="415" spans="1:19" hidden="1" x14ac:dyDescent="0.3">
      <c r="A415" s="14">
        <v>43904.708333333336</v>
      </c>
      <c r="B415" s="13" t="s">
        <v>23</v>
      </c>
      <c r="C415" s="2">
        <v>20</v>
      </c>
      <c r="D415" s="13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3" t="s">
        <v>27</v>
      </c>
      <c r="S415" s="13" t="s">
        <v>27</v>
      </c>
    </row>
    <row r="416" spans="1:19" hidden="1" x14ac:dyDescent="0.3">
      <c r="A416" s="14">
        <v>43904.708333333336</v>
      </c>
      <c r="B416" s="13" t="s">
        <v>23</v>
      </c>
      <c r="C416" s="2">
        <v>19</v>
      </c>
      <c r="D416" s="13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3" t="s">
        <v>27</v>
      </c>
      <c r="S416" s="13" t="s">
        <v>27</v>
      </c>
    </row>
    <row r="417" spans="1:19" hidden="1" x14ac:dyDescent="0.3">
      <c r="A417" s="14">
        <v>43904.708333333336</v>
      </c>
      <c r="B417" s="13" t="s">
        <v>23</v>
      </c>
      <c r="C417" s="2">
        <v>9</v>
      </c>
      <c r="D417" s="13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3" t="s">
        <v>27</v>
      </c>
      <c r="S417" s="13" t="s">
        <v>27</v>
      </c>
    </row>
    <row r="418" spans="1:19" hidden="1" x14ac:dyDescent="0.3">
      <c r="A418" s="14">
        <v>43904.708333333336</v>
      </c>
      <c r="B418" s="13" t="s">
        <v>23</v>
      </c>
      <c r="C418" s="2">
        <v>4</v>
      </c>
      <c r="D418" s="13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3" t="s">
        <v>27</v>
      </c>
      <c r="S418" s="13" t="s">
        <v>27</v>
      </c>
    </row>
    <row r="419" spans="1:19" hidden="1" x14ac:dyDescent="0.3">
      <c r="A419" s="14">
        <v>43904.708333333336</v>
      </c>
      <c r="B419" s="13" t="s">
        <v>23</v>
      </c>
      <c r="C419" s="2">
        <v>10</v>
      </c>
      <c r="D419" s="13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3" t="s">
        <v>27</v>
      </c>
      <c r="S419" s="13" t="s">
        <v>27</v>
      </c>
    </row>
    <row r="420" spans="1:19" hidden="1" x14ac:dyDescent="0.3">
      <c r="A420" s="14">
        <v>43904.708333333336</v>
      </c>
      <c r="B420" s="13" t="s">
        <v>23</v>
      </c>
      <c r="C420" s="2">
        <v>2</v>
      </c>
      <c r="D420" s="13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3" t="s">
        <v>27</v>
      </c>
      <c r="S420" s="13" t="s">
        <v>27</v>
      </c>
    </row>
    <row r="421" spans="1:19" hidden="1" x14ac:dyDescent="0.3">
      <c r="A421" s="14">
        <v>43904.708333333336</v>
      </c>
      <c r="B421" s="13" t="s">
        <v>23</v>
      </c>
      <c r="C421" s="2">
        <v>5</v>
      </c>
      <c r="D421" s="13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3" t="s">
        <v>27</v>
      </c>
      <c r="S421" s="13" t="s">
        <v>27</v>
      </c>
    </row>
    <row r="422" spans="1:19" hidden="1" x14ac:dyDescent="0.3">
      <c r="A422" s="14">
        <v>43905.708333333336</v>
      </c>
      <c r="B422" s="13" t="s">
        <v>23</v>
      </c>
      <c r="C422" s="2">
        <v>13</v>
      </c>
      <c r="D422" s="13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3" t="s">
        <v>27</v>
      </c>
      <c r="S422" s="13" t="s">
        <v>27</v>
      </c>
    </row>
    <row r="423" spans="1:19" hidden="1" x14ac:dyDescent="0.3">
      <c r="A423" s="14">
        <v>43905.708333333336</v>
      </c>
      <c r="B423" s="13" t="s">
        <v>23</v>
      </c>
      <c r="C423" s="2">
        <v>17</v>
      </c>
      <c r="D423" s="13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3" t="s">
        <v>27</v>
      </c>
      <c r="S423" s="13" t="s">
        <v>27</v>
      </c>
    </row>
    <row r="424" spans="1:19" hidden="1" x14ac:dyDescent="0.3">
      <c r="A424" s="14">
        <v>43905.708333333336</v>
      </c>
      <c r="B424" s="13" t="s">
        <v>23</v>
      </c>
      <c r="C424" s="2">
        <v>4</v>
      </c>
      <c r="D424" s="13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3" t="s">
        <v>27</v>
      </c>
      <c r="S424" s="13" t="s">
        <v>27</v>
      </c>
    </row>
    <row r="425" spans="1:19" hidden="1" x14ac:dyDescent="0.3">
      <c r="A425" s="14">
        <v>43905.708333333336</v>
      </c>
      <c r="B425" s="13" t="s">
        <v>23</v>
      </c>
      <c r="C425" s="2">
        <v>18</v>
      </c>
      <c r="D425" s="13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3" t="s">
        <v>27</v>
      </c>
      <c r="S425" s="13" t="s">
        <v>27</v>
      </c>
    </row>
    <row r="426" spans="1:19" hidden="1" x14ac:dyDescent="0.3">
      <c r="A426" s="14">
        <v>43905.708333333336</v>
      </c>
      <c r="B426" s="13" t="s">
        <v>23</v>
      </c>
      <c r="C426" s="2">
        <v>15</v>
      </c>
      <c r="D426" s="13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3" t="s">
        <v>27</v>
      </c>
      <c r="S426" s="13" t="s">
        <v>27</v>
      </c>
    </row>
    <row r="427" spans="1:19" hidden="1" x14ac:dyDescent="0.3">
      <c r="A427" s="14">
        <v>43905.708333333336</v>
      </c>
      <c r="B427" s="13" t="s">
        <v>23</v>
      </c>
      <c r="C427" s="2">
        <v>8</v>
      </c>
      <c r="D427" s="13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3" t="s">
        <v>27</v>
      </c>
      <c r="S427" s="13" t="s">
        <v>27</v>
      </c>
    </row>
    <row r="428" spans="1:19" hidden="1" x14ac:dyDescent="0.3">
      <c r="A428" s="14">
        <v>43905.708333333336</v>
      </c>
      <c r="B428" s="13" t="s">
        <v>23</v>
      </c>
      <c r="C428" s="2">
        <v>6</v>
      </c>
      <c r="D428" s="13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3" t="s">
        <v>27</v>
      </c>
      <c r="S428" s="13" t="s">
        <v>27</v>
      </c>
    </row>
    <row r="429" spans="1:19" hidden="1" x14ac:dyDescent="0.3">
      <c r="A429" s="14">
        <v>43905.708333333336</v>
      </c>
      <c r="B429" s="13" t="s">
        <v>23</v>
      </c>
      <c r="C429" s="2">
        <v>12</v>
      </c>
      <c r="D429" s="13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3" t="s">
        <v>27</v>
      </c>
      <c r="S429" s="13" t="s">
        <v>27</v>
      </c>
    </row>
    <row r="430" spans="1:19" hidden="1" x14ac:dyDescent="0.3">
      <c r="A430" s="14">
        <v>43905.708333333336</v>
      </c>
      <c r="B430" s="13" t="s">
        <v>23</v>
      </c>
      <c r="C430" s="2">
        <v>7</v>
      </c>
      <c r="D430" s="13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3" t="s">
        <v>27</v>
      </c>
      <c r="S430" s="13" t="s">
        <v>27</v>
      </c>
    </row>
    <row r="431" spans="1:19" x14ac:dyDescent="0.3">
      <c r="A431" s="14">
        <v>43905.708333333336</v>
      </c>
      <c r="B431" s="13" t="s">
        <v>23</v>
      </c>
      <c r="C431" s="2">
        <v>3</v>
      </c>
      <c r="D431" s="13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3" t="s">
        <v>27</v>
      </c>
      <c r="S431" s="13" t="s">
        <v>27</v>
      </c>
    </row>
    <row r="432" spans="1:19" hidden="1" x14ac:dyDescent="0.3">
      <c r="A432" s="14">
        <v>43905.708333333336</v>
      </c>
      <c r="B432" s="13" t="s">
        <v>23</v>
      </c>
      <c r="C432" s="2">
        <v>11</v>
      </c>
      <c r="D432" s="13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3" t="s">
        <v>27</v>
      </c>
      <c r="S432" s="13" t="s">
        <v>27</v>
      </c>
    </row>
    <row r="433" spans="1:19" hidden="1" x14ac:dyDescent="0.3">
      <c r="A433" s="14">
        <v>43905.708333333336</v>
      </c>
      <c r="B433" s="13" t="s">
        <v>23</v>
      </c>
      <c r="C433" s="2">
        <v>14</v>
      </c>
      <c r="D433" s="13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3" t="s">
        <v>27</v>
      </c>
      <c r="S433" s="13" t="s">
        <v>27</v>
      </c>
    </row>
    <row r="434" spans="1:19" hidden="1" x14ac:dyDescent="0.3">
      <c r="A434" s="14">
        <v>43905.708333333336</v>
      </c>
      <c r="B434" s="13" t="s">
        <v>23</v>
      </c>
      <c r="C434" s="2">
        <v>1</v>
      </c>
      <c r="D434" s="13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3" t="s">
        <v>27</v>
      </c>
      <c r="S434" s="13" t="s">
        <v>27</v>
      </c>
    </row>
    <row r="435" spans="1:19" hidden="1" x14ac:dyDescent="0.3">
      <c r="A435" s="14">
        <v>43905.708333333336</v>
      </c>
      <c r="B435" s="13" t="s">
        <v>23</v>
      </c>
      <c r="C435" s="2">
        <v>16</v>
      </c>
      <c r="D435" s="13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3" t="s">
        <v>27</v>
      </c>
      <c r="S435" s="13" t="s">
        <v>27</v>
      </c>
    </row>
    <row r="436" spans="1:19" hidden="1" x14ac:dyDescent="0.3">
      <c r="A436" s="14">
        <v>43905.708333333336</v>
      </c>
      <c r="B436" s="13" t="s">
        <v>23</v>
      </c>
      <c r="C436" s="2">
        <v>20</v>
      </c>
      <c r="D436" s="13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3" t="s">
        <v>27</v>
      </c>
      <c r="S436" s="13" t="s">
        <v>27</v>
      </c>
    </row>
    <row r="437" spans="1:19" hidden="1" x14ac:dyDescent="0.3">
      <c r="A437" s="14">
        <v>43905.708333333336</v>
      </c>
      <c r="B437" s="13" t="s">
        <v>23</v>
      </c>
      <c r="C437" s="2">
        <v>19</v>
      </c>
      <c r="D437" s="13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3" t="s">
        <v>27</v>
      </c>
      <c r="S437" s="13" t="s">
        <v>27</v>
      </c>
    </row>
    <row r="438" spans="1:19" hidden="1" x14ac:dyDescent="0.3">
      <c r="A438" s="14">
        <v>43905.708333333336</v>
      </c>
      <c r="B438" s="13" t="s">
        <v>23</v>
      </c>
      <c r="C438" s="2">
        <v>9</v>
      </c>
      <c r="D438" s="13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3" t="s">
        <v>27</v>
      </c>
      <c r="S438" s="13" t="s">
        <v>27</v>
      </c>
    </row>
    <row r="439" spans="1:19" hidden="1" x14ac:dyDescent="0.3">
      <c r="A439" s="14">
        <v>43905.708333333336</v>
      </c>
      <c r="B439" s="13" t="s">
        <v>23</v>
      </c>
      <c r="C439" s="2">
        <v>4</v>
      </c>
      <c r="D439" s="13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3" t="s">
        <v>27</v>
      </c>
      <c r="S439" s="13" t="s">
        <v>27</v>
      </c>
    </row>
    <row r="440" spans="1:19" hidden="1" x14ac:dyDescent="0.3">
      <c r="A440" s="14">
        <v>43905.708333333336</v>
      </c>
      <c r="B440" s="13" t="s">
        <v>23</v>
      </c>
      <c r="C440" s="2">
        <v>10</v>
      </c>
      <c r="D440" s="13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3" t="s">
        <v>27</v>
      </c>
      <c r="S440" s="13" t="s">
        <v>27</v>
      </c>
    </row>
    <row r="441" spans="1:19" hidden="1" x14ac:dyDescent="0.3">
      <c r="A441" s="14">
        <v>43905.708333333336</v>
      </c>
      <c r="B441" s="13" t="s">
        <v>23</v>
      </c>
      <c r="C441" s="2">
        <v>2</v>
      </c>
      <c r="D441" s="13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3" t="s">
        <v>27</v>
      </c>
      <c r="S441" s="13" t="s">
        <v>27</v>
      </c>
    </row>
    <row r="442" spans="1:19" hidden="1" x14ac:dyDescent="0.3">
      <c r="A442" s="14">
        <v>43905.708333333336</v>
      </c>
      <c r="B442" s="13" t="s">
        <v>23</v>
      </c>
      <c r="C442" s="2">
        <v>5</v>
      </c>
      <c r="D442" s="13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3" t="s">
        <v>27</v>
      </c>
      <c r="S442" s="13" t="s">
        <v>27</v>
      </c>
    </row>
    <row r="443" spans="1:19" hidden="1" x14ac:dyDescent="0.3">
      <c r="A443" s="14">
        <v>43906.708333333336</v>
      </c>
      <c r="B443" s="13" t="s">
        <v>23</v>
      </c>
      <c r="C443" s="2">
        <v>13</v>
      </c>
      <c r="D443" s="13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3" t="s">
        <v>27</v>
      </c>
      <c r="S443" s="13" t="s">
        <v>27</v>
      </c>
    </row>
    <row r="444" spans="1:19" hidden="1" x14ac:dyDescent="0.3">
      <c r="A444" s="14">
        <v>43906.708333333336</v>
      </c>
      <c r="B444" s="13" t="s">
        <v>23</v>
      </c>
      <c r="C444" s="2">
        <v>17</v>
      </c>
      <c r="D444" s="13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3" t="s">
        <v>27</v>
      </c>
      <c r="S444" s="13" t="s">
        <v>27</v>
      </c>
    </row>
    <row r="445" spans="1:19" hidden="1" x14ac:dyDescent="0.3">
      <c r="A445" s="14">
        <v>43906.708333333336</v>
      </c>
      <c r="B445" s="13" t="s">
        <v>23</v>
      </c>
      <c r="C445" s="2">
        <v>4</v>
      </c>
      <c r="D445" s="13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3" t="s">
        <v>27</v>
      </c>
      <c r="S445" s="13" t="s">
        <v>27</v>
      </c>
    </row>
    <row r="446" spans="1:19" hidden="1" x14ac:dyDescent="0.3">
      <c r="A446" s="14">
        <v>43906.708333333336</v>
      </c>
      <c r="B446" s="13" t="s">
        <v>23</v>
      </c>
      <c r="C446" s="2">
        <v>18</v>
      </c>
      <c r="D446" s="13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3" t="s">
        <v>27</v>
      </c>
      <c r="S446" s="13" t="s">
        <v>27</v>
      </c>
    </row>
    <row r="447" spans="1:19" hidden="1" x14ac:dyDescent="0.3">
      <c r="A447" s="14">
        <v>43906.708333333336</v>
      </c>
      <c r="B447" s="13" t="s">
        <v>23</v>
      </c>
      <c r="C447" s="2">
        <v>15</v>
      </c>
      <c r="D447" s="13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3" t="s">
        <v>27</v>
      </c>
      <c r="S447" s="13" t="s">
        <v>27</v>
      </c>
    </row>
    <row r="448" spans="1:19" hidden="1" x14ac:dyDescent="0.3">
      <c r="A448" s="14">
        <v>43906.708333333336</v>
      </c>
      <c r="B448" s="13" t="s">
        <v>23</v>
      </c>
      <c r="C448" s="2">
        <v>8</v>
      </c>
      <c r="D448" s="13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3" t="s">
        <v>27</v>
      </c>
      <c r="S448" s="13" t="s">
        <v>27</v>
      </c>
    </row>
    <row r="449" spans="1:19" hidden="1" x14ac:dyDescent="0.3">
      <c r="A449" s="14">
        <v>43906.708333333336</v>
      </c>
      <c r="B449" s="13" t="s">
        <v>23</v>
      </c>
      <c r="C449" s="2">
        <v>6</v>
      </c>
      <c r="D449" s="13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3" t="s">
        <v>27</v>
      </c>
      <c r="S449" s="13" t="s">
        <v>27</v>
      </c>
    </row>
    <row r="450" spans="1:19" hidden="1" x14ac:dyDescent="0.3">
      <c r="A450" s="14">
        <v>43906.708333333336</v>
      </c>
      <c r="B450" s="13" t="s">
        <v>23</v>
      </c>
      <c r="C450" s="2">
        <v>12</v>
      </c>
      <c r="D450" s="13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3" t="s">
        <v>27</v>
      </c>
      <c r="S450" s="13" t="s">
        <v>27</v>
      </c>
    </row>
    <row r="451" spans="1:19" hidden="1" x14ac:dyDescent="0.3">
      <c r="A451" s="14">
        <v>43906.708333333336</v>
      </c>
      <c r="B451" s="13" t="s">
        <v>23</v>
      </c>
      <c r="C451" s="2">
        <v>7</v>
      </c>
      <c r="D451" s="13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3" t="s">
        <v>27</v>
      </c>
      <c r="S451" s="13" t="s">
        <v>27</v>
      </c>
    </row>
    <row r="452" spans="1:19" x14ac:dyDescent="0.3">
      <c r="A452" s="14">
        <v>43906.708333333336</v>
      </c>
      <c r="B452" s="13" t="s">
        <v>23</v>
      </c>
      <c r="C452" s="2">
        <v>3</v>
      </c>
      <c r="D452" s="13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3" t="s">
        <v>27</v>
      </c>
      <c r="S452" s="13" t="s">
        <v>27</v>
      </c>
    </row>
    <row r="453" spans="1:19" hidden="1" x14ac:dyDescent="0.3">
      <c r="A453" s="14">
        <v>43906.708333333336</v>
      </c>
      <c r="B453" s="13" t="s">
        <v>23</v>
      </c>
      <c r="C453" s="2">
        <v>11</v>
      </c>
      <c r="D453" s="13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3" t="s">
        <v>27</v>
      </c>
      <c r="S453" s="13" t="s">
        <v>27</v>
      </c>
    </row>
    <row r="454" spans="1:19" hidden="1" x14ac:dyDescent="0.3">
      <c r="A454" s="14">
        <v>43906.708333333336</v>
      </c>
      <c r="B454" s="13" t="s">
        <v>23</v>
      </c>
      <c r="C454" s="2">
        <v>14</v>
      </c>
      <c r="D454" s="13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3" t="s">
        <v>27</v>
      </c>
      <c r="S454" s="13" t="s">
        <v>27</v>
      </c>
    </row>
    <row r="455" spans="1:19" hidden="1" x14ac:dyDescent="0.3">
      <c r="A455" s="14">
        <v>43906.708333333336</v>
      </c>
      <c r="B455" s="13" t="s">
        <v>23</v>
      </c>
      <c r="C455" s="2">
        <v>1</v>
      </c>
      <c r="D455" s="13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3" t="s">
        <v>27</v>
      </c>
      <c r="S455" s="13" t="s">
        <v>27</v>
      </c>
    </row>
    <row r="456" spans="1:19" hidden="1" x14ac:dyDescent="0.3">
      <c r="A456" s="14">
        <v>43906.708333333336</v>
      </c>
      <c r="B456" s="13" t="s">
        <v>23</v>
      </c>
      <c r="C456" s="2">
        <v>16</v>
      </c>
      <c r="D456" s="13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3" t="s">
        <v>70</v>
      </c>
      <c r="S456" s="13" t="s">
        <v>71</v>
      </c>
    </row>
    <row r="457" spans="1:19" hidden="1" x14ac:dyDescent="0.3">
      <c r="A457" s="14">
        <v>43906.708333333336</v>
      </c>
      <c r="B457" s="13" t="s">
        <v>23</v>
      </c>
      <c r="C457" s="2">
        <v>20</v>
      </c>
      <c r="D457" s="13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3" t="s">
        <v>27</v>
      </c>
      <c r="S457" s="13" t="s">
        <v>27</v>
      </c>
    </row>
    <row r="458" spans="1:19" hidden="1" x14ac:dyDescent="0.3">
      <c r="A458" s="14">
        <v>43906.708333333336</v>
      </c>
      <c r="B458" s="13" t="s">
        <v>23</v>
      </c>
      <c r="C458" s="2">
        <v>19</v>
      </c>
      <c r="D458" s="13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3" t="s">
        <v>27</v>
      </c>
      <c r="S458" s="13" t="s">
        <v>27</v>
      </c>
    </row>
    <row r="459" spans="1:19" hidden="1" x14ac:dyDescent="0.3">
      <c r="A459" s="14">
        <v>43906.708333333336</v>
      </c>
      <c r="B459" s="13" t="s">
        <v>23</v>
      </c>
      <c r="C459" s="2">
        <v>9</v>
      </c>
      <c r="D459" s="13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3" t="s">
        <v>27</v>
      </c>
      <c r="S459" s="13" t="s">
        <v>27</v>
      </c>
    </row>
    <row r="460" spans="1:19" hidden="1" x14ac:dyDescent="0.3">
      <c r="A460" s="14">
        <v>43906.708333333336</v>
      </c>
      <c r="B460" s="13" t="s">
        <v>23</v>
      </c>
      <c r="C460" s="2">
        <v>4</v>
      </c>
      <c r="D460" s="13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3" t="s">
        <v>72</v>
      </c>
      <c r="S460" s="13" t="s">
        <v>73</v>
      </c>
    </row>
    <row r="461" spans="1:19" hidden="1" x14ac:dyDescent="0.3">
      <c r="A461" s="14">
        <v>43906.708333333336</v>
      </c>
      <c r="B461" s="13" t="s">
        <v>23</v>
      </c>
      <c r="C461" s="2">
        <v>10</v>
      </c>
      <c r="D461" s="13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3" t="s">
        <v>27</v>
      </c>
      <c r="S461" s="13" t="s">
        <v>27</v>
      </c>
    </row>
    <row r="462" spans="1:19" hidden="1" x14ac:dyDescent="0.3">
      <c r="A462" s="14">
        <v>43906.708333333336</v>
      </c>
      <c r="B462" s="13" t="s">
        <v>23</v>
      </c>
      <c r="C462" s="2">
        <v>2</v>
      </c>
      <c r="D462" s="13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3" t="s">
        <v>27</v>
      </c>
      <c r="S462" s="13" t="s">
        <v>27</v>
      </c>
    </row>
    <row r="463" spans="1:19" hidden="1" x14ac:dyDescent="0.3">
      <c r="A463" s="14">
        <v>43906.708333333336</v>
      </c>
      <c r="B463" s="13" t="s">
        <v>23</v>
      </c>
      <c r="C463" s="2">
        <v>5</v>
      </c>
      <c r="D463" s="13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3" t="s">
        <v>27</v>
      </c>
      <c r="S463" s="13" t="s">
        <v>27</v>
      </c>
    </row>
    <row r="464" spans="1:19" hidden="1" x14ac:dyDescent="0.3">
      <c r="A464" s="14">
        <v>43907.708333333336</v>
      </c>
      <c r="B464" s="13" t="s">
        <v>23</v>
      </c>
      <c r="C464" s="2">
        <v>13</v>
      </c>
      <c r="D464" s="13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3" t="s">
        <v>27</v>
      </c>
      <c r="S464" s="13" t="s">
        <v>27</v>
      </c>
    </row>
    <row r="465" spans="1:19" hidden="1" x14ac:dyDescent="0.3">
      <c r="A465" s="14">
        <v>43907.708333333336</v>
      </c>
      <c r="B465" s="13" t="s">
        <v>23</v>
      </c>
      <c r="C465" s="2">
        <v>17</v>
      </c>
      <c r="D465" s="13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3" t="s">
        <v>27</v>
      </c>
      <c r="S465" s="13" t="s">
        <v>27</v>
      </c>
    </row>
    <row r="466" spans="1:19" hidden="1" x14ac:dyDescent="0.3">
      <c r="A466" s="14">
        <v>43907.708333333336</v>
      </c>
      <c r="B466" s="13" t="s">
        <v>23</v>
      </c>
      <c r="C466" s="2">
        <v>4</v>
      </c>
      <c r="D466" s="13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3" t="s">
        <v>27</v>
      </c>
      <c r="S466" s="13" t="s">
        <v>27</v>
      </c>
    </row>
    <row r="467" spans="1:19" hidden="1" x14ac:dyDescent="0.3">
      <c r="A467" s="14">
        <v>43907.708333333336</v>
      </c>
      <c r="B467" s="13" t="s">
        <v>23</v>
      </c>
      <c r="C467" s="2">
        <v>18</v>
      </c>
      <c r="D467" s="13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3" t="s">
        <v>27</v>
      </c>
      <c r="S467" s="13" t="s">
        <v>27</v>
      </c>
    </row>
    <row r="468" spans="1:19" hidden="1" x14ac:dyDescent="0.3">
      <c r="A468" s="14">
        <v>43907.708333333336</v>
      </c>
      <c r="B468" s="13" t="s">
        <v>23</v>
      </c>
      <c r="C468" s="2">
        <v>15</v>
      </c>
      <c r="D468" s="13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3" t="s">
        <v>27</v>
      </c>
      <c r="S468" s="13" t="s">
        <v>27</v>
      </c>
    </row>
    <row r="469" spans="1:19" hidden="1" x14ac:dyDescent="0.3">
      <c r="A469" s="14">
        <v>43907.708333333336</v>
      </c>
      <c r="B469" s="13" t="s">
        <v>23</v>
      </c>
      <c r="C469" s="2">
        <v>8</v>
      </c>
      <c r="D469" s="13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3" t="s">
        <v>74</v>
      </c>
      <c r="S469" s="13" t="s">
        <v>75</v>
      </c>
    </row>
    <row r="470" spans="1:19" hidden="1" x14ac:dyDescent="0.3">
      <c r="A470" s="14">
        <v>43907.708333333336</v>
      </c>
      <c r="B470" s="13" t="s">
        <v>23</v>
      </c>
      <c r="C470" s="2">
        <v>6</v>
      </c>
      <c r="D470" s="13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3" t="s">
        <v>27</v>
      </c>
      <c r="S470" s="13" t="s">
        <v>27</v>
      </c>
    </row>
    <row r="471" spans="1:19" hidden="1" x14ac:dyDescent="0.3">
      <c r="A471" s="14">
        <v>43907.708333333336</v>
      </c>
      <c r="B471" s="13" t="s">
        <v>23</v>
      </c>
      <c r="C471" s="2">
        <v>12</v>
      </c>
      <c r="D471" s="13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3" t="s">
        <v>27</v>
      </c>
      <c r="S471" s="13" t="s">
        <v>27</v>
      </c>
    </row>
    <row r="472" spans="1:19" hidden="1" x14ac:dyDescent="0.3">
      <c r="A472" s="14">
        <v>43907.708333333336</v>
      </c>
      <c r="B472" s="13" t="s">
        <v>23</v>
      </c>
      <c r="C472" s="2">
        <v>7</v>
      </c>
      <c r="D472" s="13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3" t="s">
        <v>27</v>
      </c>
      <c r="S472" s="13" t="s">
        <v>27</v>
      </c>
    </row>
    <row r="473" spans="1:19" x14ac:dyDescent="0.3">
      <c r="A473" s="14">
        <v>43907.708333333336</v>
      </c>
      <c r="B473" s="13" t="s">
        <v>23</v>
      </c>
      <c r="C473" s="2">
        <v>3</v>
      </c>
      <c r="D473" s="13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3" t="s">
        <v>27</v>
      </c>
      <c r="S473" s="13" t="s">
        <v>27</v>
      </c>
    </row>
    <row r="474" spans="1:19" hidden="1" x14ac:dyDescent="0.3">
      <c r="A474" s="14">
        <v>43907.708333333336</v>
      </c>
      <c r="B474" s="13" t="s">
        <v>23</v>
      </c>
      <c r="C474" s="2">
        <v>11</v>
      </c>
      <c r="D474" s="13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3" t="s">
        <v>27</v>
      </c>
      <c r="S474" s="13" t="s">
        <v>27</v>
      </c>
    </row>
    <row r="475" spans="1:19" hidden="1" x14ac:dyDescent="0.3">
      <c r="A475" s="14">
        <v>43907.708333333336</v>
      </c>
      <c r="B475" s="13" t="s">
        <v>23</v>
      </c>
      <c r="C475" s="2">
        <v>14</v>
      </c>
      <c r="D475" s="13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3" t="s">
        <v>27</v>
      </c>
      <c r="S475" s="13" t="s">
        <v>27</v>
      </c>
    </row>
    <row r="476" spans="1:19" hidden="1" x14ac:dyDescent="0.3">
      <c r="A476" s="14">
        <v>43907.708333333336</v>
      </c>
      <c r="B476" s="13" t="s">
        <v>23</v>
      </c>
      <c r="C476" s="2">
        <v>1</v>
      </c>
      <c r="D476" s="13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3" t="s">
        <v>27</v>
      </c>
      <c r="S476" s="13" t="s">
        <v>27</v>
      </c>
    </row>
    <row r="477" spans="1:19" hidden="1" x14ac:dyDescent="0.3">
      <c r="A477" s="14">
        <v>43907.708333333336</v>
      </c>
      <c r="B477" s="13" t="s">
        <v>23</v>
      </c>
      <c r="C477" s="2">
        <v>16</v>
      </c>
      <c r="D477" s="13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3" t="s">
        <v>27</v>
      </c>
      <c r="S477" s="13" t="s">
        <v>27</v>
      </c>
    </row>
    <row r="478" spans="1:19" hidden="1" x14ac:dyDescent="0.3">
      <c r="A478" s="14">
        <v>43907.708333333336</v>
      </c>
      <c r="B478" s="13" t="s">
        <v>23</v>
      </c>
      <c r="C478" s="2">
        <v>20</v>
      </c>
      <c r="D478" s="13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3" t="s">
        <v>27</v>
      </c>
      <c r="S478" s="13" t="s">
        <v>27</v>
      </c>
    </row>
    <row r="479" spans="1:19" hidden="1" x14ac:dyDescent="0.3">
      <c r="A479" s="14">
        <v>43907.708333333336</v>
      </c>
      <c r="B479" s="13" t="s">
        <v>23</v>
      </c>
      <c r="C479" s="2">
        <v>19</v>
      </c>
      <c r="D479" s="13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3" t="s">
        <v>27</v>
      </c>
      <c r="S479" s="13" t="s">
        <v>27</v>
      </c>
    </row>
    <row r="480" spans="1:19" hidden="1" x14ac:dyDescent="0.3">
      <c r="A480" s="14">
        <v>43907.708333333336</v>
      </c>
      <c r="B480" s="13" t="s">
        <v>23</v>
      </c>
      <c r="C480" s="2">
        <v>9</v>
      </c>
      <c r="D480" s="13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3" t="s">
        <v>27</v>
      </c>
      <c r="S480" s="13" t="s">
        <v>27</v>
      </c>
    </row>
    <row r="481" spans="1:19" hidden="1" x14ac:dyDescent="0.3">
      <c r="A481" s="14">
        <v>43907.708333333336</v>
      </c>
      <c r="B481" s="13" t="s">
        <v>23</v>
      </c>
      <c r="C481" s="2">
        <v>4</v>
      </c>
      <c r="D481" s="13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3" t="s">
        <v>27</v>
      </c>
      <c r="S481" s="13" t="s">
        <v>27</v>
      </c>
    </row>
    <row r="482" spans="1:19" hidden="1" x14ac:dyDescent="0.3">
      <c r="A482" s="14">
        <v>43907.708333333336</v>
      </c>
      <c r="B482" s="13" t="s">
        <v>23</v>
      </c>
      <c r="C482" s="2">
        <v>10</v>
      </c>
      <c r="D482" s="13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3" t="s">
        <v>27</v>
      </c>
      <c r="S482" s="13" t="s">
        <v>27</v>
      </c>
    </row>
    <row r="483" spans="1:19" hidden="1" x14ac:dyDescent="0.3">
      <c r="A483" s="14">
        <v>43907.708333333336</v>
      </c>
      <c r="B483" s="13" t="s">
        <v>23</v>
      </c>
      <c r="C483" s="2">
        <v>2</v>
      </c>
      <c r="D483" s="13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3" t="s">
        <v>27</v>
      </c>
      <c r="S483" s="13" t="s">
        <v>27</v>
      </c>
    </row>
    <row r="484" spans="1:19" hidden="1" x14ac:dyDescent="0.3">
      <c r="A484" s="14">
        <v>43907.708333333336</v>
      </c>
      <c r="B484" s="13" t="s">
        <v>23</v>
      </c>
      <c r="C484" s="2">
        <v>5</v>
      </c>
      <c r="D484" s="13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3" t="s">
        <v>27</v>
      </c>
      <c r="S484" s="13" t="s">
        <v>27</v>
      </c>
    </row>
    <row r="485" spans="1:19" hidden="1" x14ac:dyDescent="0.3">
      <c r="A485" s="14">
        <v>43908.708333333336</v>
      </c>
      <c r="B485" s="13" t="s">
        <v>23</v>
      </c>
      <c r="C485" s="2">
        <v>13</v>
      </c>
      <c r="D485" s="13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3" t="s">
        <v>27</v>
      </c>
      <c r="S485" s="13" t="s">
        <v>27</v>
      </c>
    </row>
    <row r="486" spans="1:19" hidden="1" x14ac:dyDescent="0.3">
      <c r="A486" s="14">
        <v>43908.708333333336</v>
      </c>
      <c r="B486" s="13" t="s">
        <v>23</v>
      </c>
      <c r="C486" s="2">
        <v>17</v>
      </c>
      <c r="D486" s="13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3" t="s">
        <v>27</v>
      </c>
      <c r="S486" s="13" t="s">
        <v>27</v>
      </c>
    </row>
    <row r="487" spans="1:19" hidden="1" x14ac:dyDescent="0.3">
      <c r="A487" s="14">
        <v>43908.708333333336</v>
      </c>
      <c r="B487" s="13" t="s">
        <v>23</v>
      </c>
      <c r="C487" s="2">
        <v>4</v>
      </c>
      <c r="D487" s="13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3" t="s">
        <v>27</v>
      </c>
      <c r="S487" s="13" t="s">
        <v>27</v>
      </c>
    </row>
    <row r="488" spans="1:19" hidden="1" x14ac:dyDescent="0.3">
      <c r="A488" s="14">
        <v>43908.708333333336</v>
      </c>
      <c r="B488" s="13" t="s">
        <v>23</v>
      </c>
      <c r="C488" s="2">
        <v>18</v>
      </c>
      <c r="D488" s="13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3" t="s">
        <v>27</v>
      </c>
      <c r="S488" s="13" t="s">
        <v>27</v>
      </c>
    </row>
    <row r="489" spans="1:19" hidden="1" x14ac:dyDescent="0.3">
      <c r="A489" s="14">
        <v>43908.708333333336</v>
      </c>
      <c r="B489" s="13" t="s">
        <v>23</v>
      </c>
      <c r="C489" s="2">
        <v>15</v>
      </c>
      <c r="D489" s="13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3" t="s">
        <v>76</v>
      </c>
      <c r="S489" s="13" t="s">
        <v>77</v>
      </c>
    </row>
    <row r="490" spans="1:19" hidden="1" x14ac:dyDescent="0.3">
      <c r="A490" s="14">
        <v>43908.708333333336</v>
      </c>
      <c r="B490" s="13" t="s">
        <v>23</v>
      </c>
      <c r="C490" s="2">
        <v>8</v>
      </c>
      <c r="D490" s="13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3" t="s">
        <v>78</v>
      </c>
      <c r="S490" s="13" t="s">
        <v>79</v>
      </c>
    </row>
    <row r="491" spans="1:19" hidden="1" x14ac:dyDescent="0.3">
      <c r="A491" s="14">
        <v>43908.708333333336</v>
      </c>
      <c r="B491" s="13" t="s">
        <v>23</v>
      </c>
      <c r="C491" s="2">
        <v>6</v>
      </c>
      <c r="D491" s="13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3" t="s">
        <v>27</v>
      </c>
      <c r="S491" s="13" t="s">
        <v>27</v>
      </c>
    </row>
    <row r="492" spans="1:19" hidden="1" x14ac:dyDescent="0.3">
      <c r="A492" s="14">
        <v>43908.708333333336</v>
      </c>
      <c r="B492" s="13" t="s">
        <v>23</v>
      </c>
      <c r="C492" s="2">
        <v>12</v>
      </c>
      <c r="D492" s="13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3" t="s">
        <v>27</v>
      </c>
      <c r="S492" s="13" t="s">
        <v>27</v>
      </c>
    </row>
    <row r="493" spans="1:19" hidden="1" x14ac:dyDescent="0.3">
      <c r="A493" s="14">
        <v>43908.708333333336</v>
      </c>
      <c r="B493" s="13" t="s">
        <v>23</v>
      </c>
      <c r="C493" s="2">
        <v>7</v>
      </c>
      <c r="D493" s="13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3" t="s">
        <v>27</v>
      </c>
      <c r="S493" s="13" t="s">
        <v>27</v>
      </c>
    </row>
    <row r="494" spans="1:19" x14ac:dyDescent="0.3">
      <c r="A494" s="14">
        <v>43908.708333333336</v>
      </c>
      <c r="B494" s="13" t="s">
        <v>23</v>
      </c>
      <c r="C494" s="2">
        <v>3</v>
      </c>
      <c r="D494" s="13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3" t="s">
        <v>27</v>
      </c>
      <c r="S494" s="13" t="s">
        <v>27</v>
      </c>
    </row>
    <row r="495" spans="1:19" hidden="1" x14ac:dyDescent="0.3">
      <c r="A495" s="14">
        <v>43908.708333333336</v>
      </c>
      <c r="B495" s="13" t="s">
        <v>23</v>
      </c>
      <c r="C495" s="2">
        <v>11</v>
      </c>
      <c r="D495" s="13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3" t="s">
        <v>27</v>
      </c>
      <c r="S495" s="13" t="s">
        <v>27</v>
      </c>
    </row>
    <row r="496" spans="1:19" hidden="1" x14ac:dyDescent="0.3">
      <c r="A496" s="14">
        <v>43908.708333333336</v>
      </c>
      <c r="B496" s="13" t="s">
        <v>23</v>
      </c>
      <c r="C496" s="2">
        <v>14</v>
      </c>
      <c r="D496" s="13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3" t="s">
        <v>27</v>
      </c>
      <c r="S496" s="13" t="s">
        <v>27</v>
      </c>
    </row>
    <row r="497" spans="1:19" hidden="1" x14ac:dyDescent="0.3">
      <c r="A497" s="14">
        <v>43908.708333333336</v>
      </c>
      <c r="B497" s="13" t="s">
        <v>23</v>
      </c>
      <c r="C497" s="2">
        <v>1</v>
      </c>
      <c r="D497" s="13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3" t="s">
        <v>27</v>
      </c>
      <c r="S497" s="13" t="s">
        <v>27</v>
      </c>
    </row>
    <row r="498" spans="1:19" hidden="1" x14ac:dyDescent="0.3">
      <c r="A498" s="14">
        <v>43908.708333333336</v>
      </c>
      <c r="B498" s="13" t="s">
        <v>23</v>
      </c>
      <c r="C498" s="2">
        <v>16</v>
      </c>
      <c r="D498" s="13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3" t="s">
        <v>27</v>
      </c>
      <c r="S498" s="13" t="s">
        <v>27</v>
      </c>
    </row>
    <row r="499" spans="1:19" hidden="1" x14ac:dyDescent="0.3">
      <c r="A499" s="14">
        <v>43908.708333333336</v>
      </c>
      <c r="B499" s="13" t="s">
        <v>23</v>
      </c>
      <c r="C499" s="2">
        <v>20</v>
      </c>
      <c r="D499" s="13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3" t="s">
        <v>27</v>
      </c>
      <c r="S499" s="13" t="s">
        <v>27</v>
      </c>
    </row>
    <row r="500" spans="1:19" hidden="1" x14ac:dyDescent="0.3">
      <c r="A500" s="14">
        <v>43908.708333333336</v>
      </c>
      <c r="B500" s="13" t="s">
        <v>23</v>
      </c>
      <c r="C500" s="2">
        <v>19</v>
      </c>
      <c r="D500" s="13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3" t="s">
        <v>27</v>
      </c>
      <c r="S500" s="13" t="s">
        <v>27</v>
      </c>
    </row>
    <row r="501" spans="1:19" hidden="1" x14ac:dyDescent="0.3">
      <c r="A501" s="14">
        <v>43908.708333333336</v>
      </c>
      <c r="B501" s="13" t="s">
        <v>23</v>
      </c>
      <c r="C501" s="2">
        <v>9</v>
      </c>
      <c r="D501" s="13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3" t="s">
        <v>27</v>
      </c>
      <c r="S501" s="13" t="s">
        <v>27</v>
      </c>
    </row>
    <row r="502" spans="1:19" hidden="1" x14ac:dyDescent="0.3">
      <c r="A502" s="14">
        <v>43908.708333333336</v>
      </c>
      <c r="B502" s="13" t="s">
        <v>23</v>
      </c>
      <c r="C502" s="2">
        <v>4</v>
      </c>
      <c r="D502" s="13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3" t="s">
        <v>27</v>
      </c>
      <c r="S502" s="13" t="s">
        <v>27</v>
      </c>
    </row>
    <row r="503" spans="1:19" hidden="1" x14ac:dyDescent="0.3">
      <c r="A503" s="14">
        <v>43908.708333333336</v>
      </c>
      <c r="B503" s="13" t="s">
        <v>23</v>
      </c>
      <c r="C503" s="2">
        <v>10</v>
      </c>
      <c r="D503" s="13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3" t="s">
        <v>27</v>
      </c>
      <c r="S503" s="13" t="s">
        <v>27</v>
      </c>
    </row>
    <row r="504" spans="1:19" hidden="1" x14ac:dyDescent="0.3">
      <c r="A504" s="14">
        <v>43908.708333333336</v>
      </c>
      <c r="B504" s="13" t="s">
        <v>23</v>
      </c>
      <c r="C504" s="2">
        <v>2</v>
      </c>
      <c r="D504" s="13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3" t="s">
        <v>27</v>
      </c>
      <c r="S504" s="13" t="s">
        <v>27</v>
      </c>
    </row>
    <row r="505" spans="1:19" hidden="1" x14ac:dyDescent="0.3">
      <c r="A505" s="14">
        <v>43908.708333333336</v>
      </c>
      <c r="B505" s="13" t="s">
        <v>23</v>
      </c>
      <c r="C505" s="2">
        <v>5</v>
      </c>
      <c r="D505" s="13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3" t="s">
        <v>27</v>
      </c>
      <c r="S505" s="13" t="s">
        <v>27</v>
      </c>
    </row>
    <row r="506" spans="1:19" hidden="1" x14ac:dyDescent="0.3">
      <c r="A506" s="14">
        <v>43909.708333333336</v>
      </c>
      <c r="B506" s="13" t="s">
        <v>23</v>
      </c>
      <c r="C506" s="2">
        <v>13</v>
      </c>
      <c r="D506" s="13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3" t="s">
        <v>27</v>
      </c>
      <c r="S506" s="13" t="s">
        <v>27</v>
      </c>
    </row>
    <row r="507" spans="1:19" hidden="1" x14ac:dyDescent="0.3">
      <c r="A507" s="14">
        <v>43909.708333333336</v>
      </c>
      <c r="B507" s="13" t="s">
        <v>23</v>
      </c>
      <c r="C507" s="2">
        <v>17</v>
      </c>
      <c r="D507" s="13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3" t="s">
        <v>27</v>
      </c>
      <c r="S507" s="13" t="s">
        <v>27</v>
      </c>
    </row>
    <row r="508" spans="1:19" hidden="1" x14ac:dyDescent="0.3">
      <c r="A508" s="14">
        <v>43909.708333333336</v>
      </c>
      <c r="B508" s="13" t="s">
        <v>23</v>
      </c>
      <c r="C508" s="2">
        <v>4</v>
      </c>
      <c r="D508" s="13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3" t="s">
        <v>27</v>
      </c>
      <c r="S508" s="13" t="s">
        <v>27</v>
      </c>
    </row>
    <row r="509" spans="1:19" hidden="1" x14ac:dyDescent="0.3">
      <c r="A509" s="14">
        <v>43909.708333333336</v>
      </c>
      <c r="B509" s="13" t="s">
        <v>23</v>
      </c>
      <c r="C509" s="2">
        <v>18</v>
      </c>
      <c r="D509" s="13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3" t="s">
        <v>27</v>
      </c>
      <c r="S509" s="13" t="s">
        <v>27</v>
      </c>
    </row>
    <row r="510" spans="1:19" hidden="1" x14ac:dyDescent="0.3">
      <c r="A510" s="14">
        <v>43909.708333333336</v>
      </c>
      <c r="B510" s="13" t="s">
        <v>23</v>
      </c>
      <c r="C510" s="2">
        <v>15</v>
      </c>
      <c r="D510" s="13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3" t="s">
        <v>27</v>
      </c>
      <c r="S510" s="13" t="s">
        <v>27</v>
      </c>
    </row>
    <row r="511" spans="1:19" hidden="1" x14ac:dyDescent="0.3">
      <c r="A511" s="14">
        <v>43909.708333333336</v>
      </c>
      <c r="B511" s="13" t="s">
        <v>23</v>
      </c>
      <c r="C511" s="2">
        <v>8</v>
      </c>
      <c r="D511" s="13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3" t="s">
        <v>27</v>
      </c>
      <c r="S511" s="13" t="s">
        <v>27</v>
      </c>
    </row>
    <row r="512" spans="1:19" hidden="1" x14ac:dyDescent="0.3">
      <c r="A512" s="14">
        <v>43909.708333333336</v>
      </c>
      <c r="B512" s="13" t="s">
        <v>23</v>
      </c>
      <c r="C512" s="2">
        <v>6</v>
      </c>
      <c r="D512" s="13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3" t="s">
        <v>27</v>
      </c>
      <c r="S512" s="13" t="s">
        <v>27</v>
      </c>
    </row>
    <row r="513" spans="1:19" hidden="1" x14ac:dyDescent="0.3">
      <c r="A513" s="14">
        <v>43909.708333333336</v>
      </c>
      <c r="B513" s="13" t="s">
        <v>23</v>
      </c>
      <c r="C513" s="2">
        <v>12</v>
      </c>
      <c r="D513" s="13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3" t="s">
        <v>27</v>
      </c>
      <c r="S513" s="13" t="s">
        <v>27</v>
      </c>
    </row>
    <row r="514" spans="1:19" hidden="1" x14ac:dyDescent="0.3">
      <c r="A514" s="14">
        <v>43909.708333333336</v>
      </c>
      <c r="B514" s="13" t="s">
        <v>23</v>
      </c>
      <c r="C514" s="2">
        <v>7</v>
      </c>
      <c r="D514" s="13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3" t="s">
        <v>27</v>
      </c>
      <c r="S514" s="13" t="s">
        <v>27</v>
      </c>
    </row>
    <row r="515" spans="1:19" x14ac:dyDescent="0.3">
      <c r="A515" s="14">
        <v>43909.708333333336</v>
      </c>
      <c r="B515" s="13" t="s">
        <v>23</v>
      </c>
      <c r="C515" s="2">
        <v>3</v>
      </c>
      <c r="D515" s="13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3" t="s">
        <v>27</v>
      </c>
      <c r="S515" s="13" t="s">
        <v>27</v>
      </c>
    </row>
    <row r="516" spans="1:19" hidden="1" x14ac:dyDescent="0.3">
      <c r="A516" s="14">
        <v>43909.708333333336</v>
      </c>
      <c r="B516" s="13" t="s">
        <v>23</v>
      </c>
      <c r="C516" s="2">
        <v>11</v>
      </c>
      <c r="D516" s="13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3" t="s">
        <v>27</v>
      </c>
      <c r="S516" s="13" t="s">
        <v>27</v>
      </c>
    </row>
    <row r="517" spans="1:19" hidden="1" x14ac:dyDescent="0.3">
      <c r="A517" s="14">
        <v>43909.708333333336</v>
      </c>
      <c r="B517" s="13" t="s">
        <v>23</v>
      </c>
      <c r="C517" s="2">
        <v>14</v>
      </c>
      <c r="D517" s="13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3" t="s">
        <v>27</v>
      </c>
      <c r="S517" s="13" t="s">
        <v>27</v>
      </c>
    </row>
    <row r="518" spans="1:19" hidden="1" x14ac:dyDescent="0.3">
      <c r="A518" s="14">
        <v>43909.708333333336</v>
      </c>
      <c r="B518" s="13" t="s">
        <v>23</v>
      </c>
      <c r="C518" s="2">
        <v>1</v>
      </c>
      <c r="D518" s="13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3" t="s">
        <v>27</v>
      </c>
      <c r="S518" s="13" t="s">
        <v>27</v>
      </c>
    </row>
    <row r="519" spans="1:19" hidden="1" x14ac:dyDescent="0.3">
      <c r="A519" s="14">
        <v>43909.708333333336</v>
      </c>
      <c r="B519" s="13" t="s">
        <v>23</v>
      </c>
      <c r="C519" s="2">
        <v>16</v>
      </c>
      <c r="D519" s="13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3" t="s">
        <v>27</v>
      </c>
      <c r="S519" s="13" t="s">
        <v>27</v>
      </c>
    </row>
    <row r="520" spans="1:19" hidden="1" x14ac:dyDescent="0.3">
      <c r="A520" s="14">
        <v>43909.708333333336</v>
      </c>
      <c r="B520" s="13" t="s">
        <v>23</v>
      </c>
      <c r="C520" s="2">
        <v>20</v>
      </c>
      <c r="D520" s="13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3" t="s">
        <v>27</v>
      </c>
      <c r="S520" s="13" t="s">
        <v>27</v>
      </c>
    </row>
    <row r="521" spans="1:19" hidden="1" x14ac:dyDescent="0.3">
      <c r="A521" s="14">
        <v>43909.708333333336</v>
      </c>
      <c r="B521" s="13" t="s">
        <v>23</v>
      </c>
      <c r="C521" s="2">
        <v>19</v>
      </c>
      <c r="D521" s="13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3" t="s">
        <v>27</v>
      </c>
      <c r="S521" s="13" t="s">
        <v>27</v>
      </c>
    </row>
    <row r="522" spans="1:19" hidden="1" x14ac:dyDescent="0.3">
      <c r="A522" s="14">
        <v>43909.708333333336</v>
      </c>
      <c r="B522" s="13" t="s">
        <v>23</v>
      </c>
      <c r="C522" s="2">
        <v>9</v>
      </c>
      <c r="D522" s="13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3" t="s">
        <v>27</v>
      </c>
      <c r="S522" s="13" t="s">
        <v>27</v>
      </c>
    </row>
    <row r="523" spans="1:19" hidden="1" x14ac:dyDescent="0.3">
      <c r="A523" s="14">
        <v>43909.708333333336</v>
      </c>
      <c r="B523" s="13" t="s">
        <v>23</v>
      </c>
      <c r="C523" s="2">
        <v>4</v>
      </c>
      <c r="D523" s="13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3" t="s">
        <v>27</v>
      </c>
      <c r="S523" s="13" t="s">
        <v>27</v>
      </c>
    </row>
    <row r="524" spans="1:19" hidden="1" x14ac:dyDescent="0.3">
      <c r="A524" s="14">
        <v>43909.708333333336</v>
      </c>
      <c r="B524" s="13" t="s">
        <v>23</v>
      </c>
      <c r="C524" s="2">
        <v>10</v>
      </c>
      <c r="D524" s="13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3" t="s">
        <v>27</v>
      </c>
      <c r="S524" s="13" t="s">
        <v>27</v>
      </c>
    </row>
    <row r="525" spans="1:19" hidden="1" x14ac:dyDescent="0.3">
      <c r="A525" s="14">
        <v>43909.708333333336</v>
      </c>
      <c r="B525" s="13" t="s">
        <v>23</v>
      </c>
      <c r="C525" s="2">
        <v>2</v>
      </c>
      <c r="D525" s="13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3" t="s">
        <v>27</v>
      </c>
      <c r="S525" s="13" t="s">
        <v>27</v>
      </c>
    </row>
    <row r="526" spans="1:19" hidden="1" x14ac:dyDescent="0.3">
      <c r="A526" s="14">
        <v>43909.708333333336</v>
      </c>
      <c r="B526" s="13" t="s">
        <v>23</v>
      </c>
      <c r="C526" s="2">
        <v>5</v>
      </c>
      <c r="D526" s="13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3" t="s">
        <v>27</v>
      </c>
      <c r="S526" s="13" t="s">
        <v>27</v>
      </c>
    </row>
    <row r="527" spans="1:19" hidden="1" x14ac:dyDescent="0.3">
      <c r="A527" s="14">
        <v>43910.708333333336</v>
      </c>
      <c r="B527" s="13" t="s">
        <v>23</v>
      </c>
      <c r="C527" s="2">
        <v>13</v>
      </c>
      <c r="D527" s="13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3" t="s">
        <v>27</v>
      </c>
      <c r="S527" s="13" t="s">
        <v>27</v>
      </c>
    </row>
    <row r="528" spans="1:19" hidden="1" x14ac:dyDescent="0.3">
      <c r="A528" s="14">
        <v>43910.708333333336</v>
      </c>
      <c r="B528" s="13" t="s">
        <v>23</v>
      </c>
      <c r="C528" s="2">
        <v>17</v>
      </c>
      <c r="D528" s="13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3" t="s">
        <v>27</v>
      </c>
      <c r="S528" s="13" t="s">
        <v>27</v>
      </c>
    </row>
    <row r="529" spans="1:19" hidden="1" x14ac:dyDescent="0.3">
      <c r="A529" s="14">
        <v>43910.708333333336</v>
      </c>
      <c r="B529" s="13" t="s">
        <v>23</v>
      </c>
      <c r="C529" s="2">
        <v>4</v>
      </c>
      <c r="D529" s="13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3" t="s">
        <v>27</v>
      </c>
      <c r="S529" s="13" t="s">
        <v>27</v>
      </c>
    </row>
    <row r="530" spans="1:19" hidden="1" x14ac:dyDescent="0.3">
      <c r="A530" s="14">
        <v>43910.708333333336</v>
      </c>
      <c r="B530" s="13" t="s">
        <v>23</v>
      </c>
      <c r="C530" s="2">
        <v>18</v>
      </c>
      <c r="D530" s="13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3" t="s">
        <v>27</v>
      </c>
      <c r="S530" s="13" t="s">
        <v>27</v>
      </c>
    </row>
    <row r="531" spans="1:19" hidden="1" x14ac:dyDescent="0.3">
      <c r="A531" s="14">
        <v>43910.708333333336</v>
      </c>
      <c r="B531" s="13" t="s">
        <v>23</v>
      </c>
      <c r="C531" s="2">
        <v>15</v>
      </c>
      <c r="D531" s="13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3" t="s">
        <v>27</v>
      </c>
      <c r="S531" s="13" t="s">
        <v>27</v>
      </c>
    </row>
    <row r="532" spans="1:19" hidden="1" x14ac:dyDescent="0.3">
      <c r="A532" s="14">
        <v>43910.708333333336</v>
      </c>
      <c r="B532" s="13" t="s">
        <v>23</v>
      </c>
      <c r="C532" s="2">
        <v>8</v>
      </c>
      <c r="D532" s="13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3" t="s">
        <v>27</v>
      </c>
      <c r="S532" s="13" t="s">
        <v>27</v>
      </c>
    </row>
    <row r="533" spans="1:19" hidden="1" x14ac:dyDescent="0.3">
      <c r="A533" s="14">
        <v>43910.708333333336</v>
      </c>
      <c r="B533" s="13" t="s">
        <v>23</v>
      </c>
      <c r="C533" s="2">
        <v>6</v>
      </c>
      <c r="D533" s="13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3" t="s">
        <v>27</v>
      </c>
      <c r="S533" s="13" t="s">
        <v>27</v>
      </c>
    </row>
    <row r="534" spans="1:19" hidden="1" x14ac:dyDescent="0.3">
      <c r="A534" s="14">
        <v>43910.708333333336</v>
      </c>
      <c r="B534" s="13" t="s">
        <v>23</v>
      </c>
      <c r="C534" s="2">
        <v>12</v>
      </c>
      <c r="D534" s="13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3" t="s">
        <v>27</v>
      </c>
      <c r="S534" s="13" t="s">
        <v>27</v>
      </c>
    </row>
    <row r="535" spans="1:19" hidden="1" x14ac:dyDescent="0.3">
      <c r="A535" s="14">
        <v>43910.708333333336</v>
      </c>
      <c r="B535" s="13" t="s">
        <v>23</v>
      </c>
      <c r="C535" s="2">
        <v>7</v>
      </c>
      <c r="D535" s="13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3" t="s">
        <v>27</v>
      </c>
      <c r="S535" s="13" t="s">
        <v>27</v>
      </c>
    </row>
    <row r="536" spans="1:19" x14ac:dyDescent="0.3">
      <c r="A536" s="14">
        <v>43910.708333333336</v>
      </c>
      <c r="B536" s="13" t="s">
        <v>23</v>
      </c>
      <c r="C536" s="2">
        <v>3</v>
      </c>
      <c r="D536" s="13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3" t="s">
        <v>27</v>
      </c>
      <c r="S536" s="13" t="s">
        <v>27</v>
      </c>
    </row>
    <row r="537" spans="1:19" hidden="1" x14ac:dyDescent="0.3">
      <c r="A537" s="14">
        <v>43910.708333333336</v>
      </c>
      <c r="B537" s="13" t="s">
        <v>23</v>
      </c>
      <c r="C537" s="2">
        <v>11</v>
      </c>
      <c r="D537" s="13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3" t="s">
        <v>27</v>
      </c>
      <c r="S537" s="13" t="s">
        <v>27</v>
      </c>
    </row>
    <row r="538" spans="1:19" hidden="1" x14ac:dyDescent="0.3">
      <c r="A538" s="14">
        <v>43910.708333333336</v>
      </c>
      <c r="B538" s="13" t="s">
        <v>23</v>
      </c>
      <c r="C538" s="2">
        <v>14</v>
      </c>
      <c r="D538" s="13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3" t="s">
        <v>27</v>
      </c>
      <c r="S538" s="13" t="s">
        <v>27</v>
      </c>
    </row>
    <row r="539" spans="1:19" hidden="1" x14ac:dyDescent="0.3">
      <c r="A539" s="14">
        <v>43910.708333333336</v>
      </c>
      <c r="B539" s="13" t="s">
        <v>23</v>
      </c>
      <c r="C539" s="2">
        <v>1</v>
      </c>
      <c r="D539" s="13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3" t="s">
        <v>27</v>
      </c>
      <c r="S539" s="13" t="s">
        <v>27</v>
      </c>
    </row>
    <row r="540" spans="1:19" hidden="1" x14ac:dyDescent="0.3">
      <c r="A540" s="14">
        <v>43910.708333333336</v>
      </c>
      <c r="B540" s="13" t="s">
        <v>23</v>
      </c>
      <c r="C540" s="2">
        <v>16</v>
      </c>
      <c r="D540" s="13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3" t="s">
        <v>27</v>
      </c>
      <c r="S540" s="13" t="s">
        <v>27</v>
      </c>
    </row>
    <row r="541" spans="1:19" hidden="1" x14ac:dyDescent="0.3">
      <c r="A541" s="14">
        <v>43910.708333333336</v>
      </c>
      <c r="B541" s="13" t="s">
        <v>23</v>
      </c>
      <c r="C541" s="2">
        <v>20</v>
      </c>
      <c r="D541" s="13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3" t="s">
        <v>27</v>
      </c>
      <c r="S541" s="13" t="s">
        <v>27</v>
      </c>
    </row>
    <row r="542" spans="1:19" hidden="1" x14ac:dyDescent="0.3">
      <c r="A542" s="14">
        <v>43910.708333333336</v>
      </c>
      <c r="B542" s="13" t="s">
        <v>23</v>
      </c>
      <c r="C542" s="2">
        <v>19</v>
      </c>
      <c r="D542" s="13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3" t="s">
        <v>27</v>
      </c>
      <c r="S542" s="13" t="s">
        <v>27</v>
      </c>
    </row>
    <row r="543" spans="1:19" hidden="1" x14ac:dyDescent="0.3">
      <c r="A543" s="14">
        <v>43910.708333333336</v>
      </c>
      <c r="B543" s="13" t="s">
        <v>23</v>
      </c>
      <c r="C543" s="2">
        <v>9</v>
      </c>
      <c r="D543" s="13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3" t="s">
        <v>27</v>
      </c>
      <c r="S543" s="13" t="s">
        <v>27</v>
      </c>
    </row>
    <row r="544" spans="1:19" hidden="1" x14ac:dyDescent="0.3">
      <c r="A544" s="14">
        <v>43910.708333333336</v>
      </c>
      <c r="B544" s="13" t="s">
        <v>23</v>
      </c>
      <c r="C544" s="2">
        <v>4</v>
      </c>
      <c r="D544" s="13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3" t="s">
        <v>27</v>
      </c>
      <c r="S544" s="13" t="s">
        <v>27</v>
      </c>
    </row>
    <row r="545" spans="1:19" hidden="1" x14ac:dyDescent="0.3">
      <c r="A545" s="14">
        <v>43910.708333333336</v>
      </c>
      <c r="B545" s="13" t="s">
        <v>23</v>
      </c>
      <c r="C545" s="2">
        <v>10</v>
      </c>
      <c r="D545" s="13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3" t="s">
        <v>27</v>
      </c>
      <c r="S545" s="13" t="s">
        <v>27</v>
      </c>
    </row>
    <row r="546" spans="1:19" hidden="1" x14ac:dyDescent="0.3">
      <c r="A546" s="14">
        <v>43910.708333333336</v>
      </c>
      <c r="B546" s="13" t="s">
        <v>23</v>
      </c>
      <c r="C546" s="2">
        <v>2</v>
      </c>
      <c r="D546" s="13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3" t="s">
        <v>27</v>
      </c>
      <c r="S546" s="13" t="s">
        <v>27</v>
      </c>
    </row>
    <row r="547" spans="1:19" hidden="1" x14ac:dyDescent="0.3">
      <c r="A547" s="14">
        <v>43910.708333333336</v>
      </c>
      <c r="B547" s="13" t="s">
        <v>23</v>
      </c>
      <c r="C547" s="2">
        <v>5</v>
      </c>
      <c r="D547" s="13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3" t="s">
        <v>27</v>
      </c>
      <c r="S547" s="13" t="s">
        <v>27</v>
      </c>
    </row>
    <row r="548" spans="1:19" hidden="1" x14ac:dyDescent="0.3">
      <c r="A548" s="14">
        <v>43911.708333333336</v>
      </c>
      <c r="B548" s="13" t="s">
        <v>23</v>
      </c>
      <c r="C548" s="2">
        <v>13</v>
      </c>
      <c r="D548" s="13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3" t="s">
        <v>27</v>
      </c>
      <c r="S548" s="13" t="s">
        <v>27</v>
      </c>
    </row>
    <row r="549" spans="1:19" hidden="1" x14ac:dyDescent="0.3">
      <c r="A549" s="14">
        <v>43911.708333333336</v>
      </c>
      <c r="B549" s="13" t="s">
        <v>23</v>
      </c>
      <c r="C549" s="2">
        <v>17</v>
      </c>
      <c r="D549" s="13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3" t="s">
        <v>27</v>
      </c>
      <c r="S549" s="13" t="s">
        <v>27</v>
      </c>
    </row>
    <row r="550" spans="1:19" hidden="1" x14ac:dyDescent="0.3">
      <c r="A550" s="14">
        <v>43911.708333333336</v>
      </c>
      <c r="B550" s="13" t="s">
        <v>23</v>
      </c>
      <c r="C550" s="2">
        <v>4</v>
      </c>
      <c r="D550" s="13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3" t="s">
        <v>27</v>
      </c>
      <c r="S550" s="13" t="s">
        <v>27</v>
      </c>
    </row>
    <row r="551" spans="1:19" hidden="1" x14ac:dyDescent="0.3">
      <c r="A551" s="14">
        <v>43911.708333333336</v>
      </c>
      <c r="B551" s="13" t="s">
        <v>23</v>
      </c>
      <c r="C551" s="2">
        <v>18</v>
      </c>
      <c r="D551" s="13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3" t="s">
        <v>27</v>
      </c>
      <c r="S551" s="13" t="s">
        <v>27</v>
      </c>
    </row>
    <row r="552" spans="1:19" hidden="1" x14ac:dyDescent="0.3">
      <c r="A552" s="14">
        <v>43911.708333333336</v>
      </c>
      <c r="B552" s="13" t="s">
        <v>23</v>
      </c>
      <c r="C552" s="2">
        <v>15</v>
      </c>
      <c r="D552" s="13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3" t="s">
        <v>27</v>
      </c>
      <c r="S552" s="13" t="s">
        <v>27</v>
      </c>
    </row>
    <row r="553" spans="1:19" hidden="1" x14ac:dyDescent="0.3">
      <c r="A553" s="14">
        <v>43911.708333333336</v>
      </c>
      <c r="B553" s="13" t="s">
        <v>23</v>
      </c>
      <c r="C553" s="2">
        <v>8</v>
      </c>
      <c r="D553" s="13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3" t="s">
        <v>27</v>
      </c>
      <c r="S553" s="13" t="s">
        <v>27</v>
      </c>
    </row>
    <row r="554" spans="1:19" hidden="1" x14ac:dyDescent="0.3">
      <c r="A554" s="14">
        <v>43911.708333333336</v>
      </c>
      <c r="B554" s="13" t="s">
        <v>23</v>
      </c>
      <c r="C554" s="2">
        <v>6</v>
      </c>
      <c r="D554" s="13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3" t="s">
        <v>27</v>
      </c>
      <c r="S554" s="13" t="s">
        <v>27</v>
      </c>
    </row>
    <row r="555" spans="1:19" hidden="1" x14ac:dyDescent="0.3">
      <c r="A555" s="14">
        <v>43911.708333333336</v>
      </c>
      <c r="B555" s="13" t="s">
        <v>23</v>
      </c>
      <c r="C555" s="2">
        <v>12</v>
      </c>
      <c r="D555" s="13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3" t="s">
        <v>27</v>
      </c>
      <c r="S555" s="13" t="s">
        <v>27</v>
      </c>
    </row>
    <row r="556" spans="1:19" hidden="1" x14ac:dyDescent="0.3">
      <c r="A556" s="14">
        <v>43911.708333333336</v>
      </c>
      <c r="B556" s="13" t="s">
        <v>23</v>
      </c>
      <c r="C556" s="2">
        <v>7</v>
      </c>
      <c r="D556" s="13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3" t="s">
        <v>27</v>
      </c>
      <c r="S556" s="13" t="s">
        <v>27</v>
      </c>
    </row>
    <row r="557" spans="1:19" x14ac:dyDescent="0.3">
      <c r="A557" s="14">
        <v>43911.708333333336</v>
      </c>
      <c r="B557" s="13" t="s">
        <v>23</v>
      </c>
      <c r="C557" s="2">
        <v>3</v>
      </c>
      <c r="D557" s="13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3" t="s">
        <v>27</v>
      </c>
      <c r="S557" s="13" t="s">
        <v>27</v>
      </c>
    </row>
    <row r="558" spans="1:19" hidden="1" x14ac:dyDescent="0.3">
      <c r="A558" s="14">
        <v>43911.708333333336</v>
      </c>
      <c r="B558" s="13" t="s">
        <v>23</v>
      </c>
      <c r="C558" s="2">
        <v>11</v>
      </c>
      <c r="D558" s="13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3" t="s">
        <v>27</v>
      </c>
      <c r="S558" s="13" t="s">
        <v>27</v>
      </c>
    </row>
    <row r="559" spans="1:19" hidden="1" x14ac:dyDescent="0.3">
      <c r="A559" s="14">
        <v>43911.708333333336</v>
      </c>
      <c r="B559" s="13" t="s">
        <v>23</v>
      </c>
      <c r="C559" s="2">
        <v>14</v>
      </c>
      <c r="D559" s="13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3" t="s">
        <v>27</v>
      </c>
      <c r="S559" s="13" t="s">
        <v>27</v>
      </c>
    </row>
    <row r="560" spans="1:19" hidden="1" x14ac:dyDescent="0.3">
      <c r="A560" s="14">
        <v>43911.708333333336</v>
      </c>
      <c r="B560" s="13" t="s">
        <v>23</v>
      </c>
      <c r="C560" s="2">
        <v>1</v>
      </c>
      <c r="D560" s="13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3" t="s">
        <v>27</v>
      </c>
      <c r="S560" s="13" t="s">
        <v>27</v>
      </c>
    </row>
    <row r="561" spans="1:19" hidden="1" x14ac:dyDescent="0.3">
      <c r="A561" s="14">
        <v>43911.708333333336</v>
      </c>
      <c r="B561" s="13" t="s">
        <v>23</v>
      </c>
      <c r="C561" s="2">
        <v>16</v>
      </c>
      <c r="D561" s="13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3" t="s">
        <v>27</v>
      </c>
      <c r="S561" s="13" t="s">
        <v>27</v>
      </c>
    </row>
    <row r="562" spans="1:19" hidden="1" x14ac:dyDescent="0.3">
      <c r="A562" s="14">
        <v>43911.708333333336</v>
      </c>
      <c r="B562" s="13" t="s">
        <v>23</v>
      </c>
      <c r="C562" s="2">
        <v>20</v>
      </c>
      <c r="D562" s="13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3" t="s">
        <v>27</v>
      </c>
      <c r="S562" s="13" t="s">
        <v>27</v>
      </c>
    </row>
    <row r="563" spans="1:19" hidden="1" x14ac:dyDescent="0.3">
      <c r="A563" s="14">
        <v>43911.708333333336</v>
      </c>
      <c r="B563" s="13" t="s">
        <v>23</v>
      </c>
      <c r="C563" s="2">
        <v>19</v>
      </c>
      <c r="D563" s="13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3" t="s">
        <v>27</v>
      </c>
      <c r="S563" s="13" t="s">
        <v>27</v>
      </c>
    </row>
    <row r="564" spans="1:19" hidden="1" x14ac:dyDescent="0.3">
      <c r="A564" s="14">
        <v>43911.708333333336</v>
      </c>
      <c r="B564" s="13" t="s">
        <v>23</v>
      </c>
      <c r="C564" s="2">
        <v>9</v>
      </c>
      <c r="D564" s="13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3" t="s">
        <v>27</v>
      </c>
      <c r="S564" s="13" t="s">
        <v>27</v>
      </c>
    </row>
    <row r="565" spans="1:19" hidden="1" x14ac:dyDescent="0.3">
      <c r="A565" s="14">
        <v>43911.708333333336</v>
      </c>
      <c r="B565" s="13" t="s">
        <v>23</v>
      </c>
      <c r="C565" s="2">
        <v>4</v>
      </c>
      <c r="D565" s="13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3" t="s">
        <v>27</v>
      </c>
      <c r="S565" s="13" t="s">
        <v>27</v>
      </c>
    </row>
    <row r="566" spans="1:19" hidden="1" x14ac:dyDescent="0.3">
      <c r="A566" s="14">
        <v>43911.708333333336</v>
      </c>
      <c r="B566" s="13" t="s">
        <v>23</v>
      </c>
      <c r="C566" s="2">
        <v>10</v>
      </c>
      <c r="D566" s="13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3" t="s">
        <v>27</v>
      </c>
      <c r="S566" s="13" t="s">
        <v>27</v>
      </c>
    </row>
    <row r="567" spans="1:19" hidden="1" x14ac:dyDescent="0.3">
      <c r="A567" s="14">
        <v>43911.708333333336</v>
      </c>
      <c r="B567" s="13" t="s">
        <v>23</v>
      </c>
      <c r="C567" s="2">
        <v>2</v>
      </c>
      <c r="D567" s="13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3" t="s">
        <v>27</v>
      </c>
      <c r="S567" s="13" t="s">
        <v>27</v>
      </c>
    </row>
    <row r="568" spans="1:19" hidden="1" x14ac:dyDescent="0.3">
      <c r="A568" s="14">
        <v>43911.708333333336</v>
      </c>
      <c r="B568" s="13" t="s">
        <v>23</v>
      </c>
      <c r="C568" s="2">
        <v>5</v>
      </c>
      <c r="D568" s="13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3" t="s">
        <v>27</v>
      </c>
      <c r="S568" s="13" t="s">
        <v>27</v>
      </c>
    </row>
    <row r="569" spans="1:19" hidden="1" x14ac:dyDescent="0.3">
      <c r="A569" s="14">
        <v>43912.708333333336</v>
      </c>
      <c r="B569" s="13" t="s">
        <v>23</v>
      </c>
      <c r="C569" s="2">
        <v>13</v>
      </c>
      <c r="D569" s="13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3" t="s">
        <v>27</v>
      </c>
      <c r="S569" s="13" t="s">
        <v>27</v>
      </c>
    </row>
    <row r="570" spans="1:19" hidden="1" x14ac:dyDescent="0.3">
      <c r="A570" s="14">
        <v>43912.708333333336</v>
      </c>
      <c r="B570" s="13" t="s">
        <v>23</v>
      </c>
      <c r="C570" s="2">
        <v>17</v>
      </c>
      <c r="D570" s="13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3" t="s">
        <v>27</v>
      </c>
      <c r="S570" s="13" t="s">
        <v>27</v>
      </c>
    </row>
    <row r="571" spans="1:19" hidden="1" x14ac:dyDescent="0.3">
      <c r="A571" s="14">
        <v>43912.708333333336</v>
      </c>
      <c r="B571" s="13" t="s">
        <v>23</v>
      </c>
      <c r="C571" s="2">
        <v>4</v>
      </c>
      <c r="D571" s="13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3" t="s">
        <v>27</v>
      </c>
      <c r="S571" s="13" t="s">
        <v>27</v>
      </c>
    </row>
    <row r="572" spans="1:19" hidden="1" x14ac:dyDescent="0.3">
      <c r="A572" s="14">
        <v>43912.708333333336</v>
      </c>
      <c r="B572" s="13" t="s">
        <v>23</v>
      </c>
      <c r="C572" s="2">
        <v>18</v>
      </c>
      <c r="D572" s="13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3" t="s">
        <v>27</v>
      </c>
      <c r="S572" s="13" t="s">
        <v>27</v>
      </c>
    </row>
    <row r="573" spans="1:19" hidden="1" x14ac:dyDescent="0.3">
      <c r="A573" s="14">
        <v>43912.708333333336</v>
      </c>
      <c r="B573" s="13" t="s">
        <v>23</v>
      </c>
      <c r="C573" s="2">
        <v>15</v>
      </c>
      <c r="D573" s="13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3" t="s">
        <v>27</v>
      </c>
      <c r="S573" s="13" t="s">
        <v>27</v>
      </c>
    </row>
    <row r="574" spans="1:19" hidden="1" x14ac:dyDescent="0.3">
      <c r="A574" s="14">
        <v>43912.708333333336</v>
      </c>
      <c r="B574" s="13" t="s">
        <v>23</v>
      </c>
      <c r="C574" s="2">
        <v>8</v>
      </c>
      <c r="D574" s="13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3" t="s">
        <v>27</v>
      </c>
      <c r="S574" s="13" t="s">
        <v>27</v>
      </c>
    </row>
    <row r="575" spans="1:19" hidden="1" x14ac:dyDescent="0.3">
      <c r="A575" s="14">
        <v>43912.708333333336</v>
      </c>
      <c r="B575" s="13" t="s">
        <v>23</v>
      </c>
      <c r="C575" s="2">
        <v>6</v>
      </c>
      <c r="D575" s="13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3" t="s">
        <v>27</v>
      </c>
      <c r="S575" s="13" t="s">
        <v>27</v>
      </c>
    </row>
    <row r="576" spans="1:19" hidden="1" x14ac:dyDescent="0.3">
      <c r="A576" s="14">
        <v>43912.708333333336</v>
      </c>
      <c r="B576" s="13" t="s">
        <v>23</v>
      </c>
      <c r="C576" s="2">
        <v>12</v>
      </c>
      <c r="D576" s="13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3" t="s">
        <v>27</v>
      </c>
      <c r="S576" s="13" t="s">
        <v>27</v>
      </c>
    </row>
    <row r="577" spans="1:19" hidden="1" x14ac:dyDescent="0.3">
      <c r="A577" s="14">
        <v>43912.708333333336</v>
      </c>
      <c r="B577" s="13" t="s">
        <v>23</v>
      </c>
      <c r="C577" s="2">
        <v>7</v>
      </c>
      <c r="D577" s="13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3" t="s">
        <v>27</v>
      </c>
      <c r="S577" s="13" t="s">
        <v>27</v>
      </c>
    </row>
    <row r="578" spans="1:19" x14ac:dyDescent="0.3">
      <c r="A578" s="14">
        <v>43912.708333333336</v>
      </c>
      <c r="B578" s="13" t="s">
        <v>23</v>
      </c>
      <c r="C578" s="2">
        <v>3</v>
      </c>
      <c r="D578" s="13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3" t="s">
        <v>27</v>
      </c>
      <c r="S578" s="13" t="s">
        <v>27</v>
      </c>
    </row>
    <row r="579" spans="1:19" hidden="1" x14ac:dyDescent="0.3">
      <c r="A579" s="14">
        <v>43912.708333333336</v>
      </c>
      <c r="B579" s="13" t="s">
        <v>23</v>
      </c>
      <c r="C579" s="2">
        <v>11</v>
      </c>
      <c r="D579" s="13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3" t="s">
        <v>27</v>
      </c>
      <c r="S579" s="13" t="s">
        <v>27</v>
      </c>
    </row>
    <row r="580" spans="1:19" hidden="1" x14ac:dyDescent="0.3">
      <c r="A580" s="14">
        <v>43912.708333333336</v>
      </c>
      <c r="B580" s="13" t="s">
        <v>23</v>
      </c>
      <c r="C580" s="2">
        <v>14</v>
      </c>
      <c r="D580" s="13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3" t="s">
        <v>27</v>
      </c>
      <c r="S580" s="13" t="s">
        <v>27</v>
      </c>
    </row>
    <row r="581" spans="1:19" hidden="1" x14ac:dyDescent="0.3">
      <c r="A581" s="14">
        <v>43912.708333333336</v>
      </c>
      <c r="B581" s="13" t="s">
        <v>23</v>
      </c>
      <c r="C581" s="2">
        <v>1</v>
      </c>
      <c r="D581" s="13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3" t="s">
        <v>27</v>
      </c>
      <c r="S581" s="13" t="s">
        <v>27</v>
      </c>
    </row>
    <row r="582" spans="1:19" hidden="1" x14ac:dyDescent="0.3">
      <c r="A582" s="14">
        <v>43912.708333333336</v>
      </c>
      <c r="B582" s="13" t="s">
        <v>23</v>
      </c>
      <c r="C582" s="2">
        <v>16</v>
      </c>
      <c r="D582" s="13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3" t="s">
        <v>27</v>
      </c>
      <c r="S582" s="13" t="s">
        <v>27</v>
      </c>
    </row>
    <row r="583" spans="1:19" hidden="1" x14ac:dyDescent="0.3">
      <c r="A583" s="14">
        <v>43912.708333333336</v>
      </c>
      <c r="B583" s="13" t="s">
        <v>23</v>
      </c>
      <c r="C583" s="2">
        <v>20</v>
      </c>
      <c r="D583" s="13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3" t="s">
        <v>27</v>
      </c>
      <c r="S583" s="13" t="s">
        <v>27</v>
      </c>
    </row>
    <row r="584" spans="1:19" hidden="1" x14ac:dyDescent="0.3">
      <c r="A584" s="14">
        <v>43912.708333333336</v>
      </c>
      <c r="B584" s="13" t="s">
        <v>23</v>
      </c>
      <c r="C584" s="2">
        <v>19</v>
      </c>
      <c r="D584" s="13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3" t="s">
        <v>27</v>
      </c>
      <c r="S584" s="13" t="s">
        <v>27</v>
      </c>
    </row>
    <row r="585" spans="1:19" hidden="1" x14ac:dyDescent="0.3">
      <c r="A585" s="14">
        <v>43912.708333333336</v>
      </c>
      <c r="B585" s="13" t="s">
        <v>23</v>
      </c>
      <c r="C585" s="2">
        <v>9</v>
      </c>
      <c r="D585" s="13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3" t="s">
        <v>27</v>
      </c>
      <c r="S585" s="13" t="s">
        <v>27</v>
      </c>
    </row>
    <row r="586" spans="1:19" hidden="1" x14ac:dyDescent="0.3">
      <c r="A586" s="14">
        <v>43912.708333333336</v>
      </c>
      <c r="B586" s="13" t="s">
        <v>23</v>
      </c>
      <c r="C586" s="2">
        <v>4</v>
      </c>
      <c r="D586" s="13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3" t="s">
        <v>27</v>
      </c>
      <c r="S586" s="13" t="s">
        <v>27</v>
      </c>
    </row>
    <row r="587" spans="1:19" hidden="1" x14ac:dyDescent="0.3">
      <c r="A587" s="14">
        <v>43912.708333333336</v>
      </c>
      <c r="B587" s="13" t="s">
        <v>23</v>
      </c>
      <c r="C587" s="2">
        <v>10</v>
      </c>
      <c r="D587" s="13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3" t="s">
        <v>27</v>
      </c>
      <c r="S587" s="13" t="s">
        <v>27</v>
      </c>
    </row>
    <row r="588" spans="1:19" hidden="1" x14ac:dyDescent="0.3">
      <c r="A588" s="14">
        <v>43912.708333333336</v>
      </c>
      <c r="B588" s="13" t="s">
        <v>23</v>
      </c>
      <c r="C588" s="2">
        <v>2</v>
      </c>
      <c r="D588" s="13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3" t="s">
        <v>27</v>
      </c>
      <c r="S588" s="13" t="s">
        <v>27</v>
      </c>
    </row>
    <row r="589" spans="1:19" hidden="1" x14ac:dyDescent="0.3">
      <c r="A589" s="14">
        <v>43912.708333333336</v>
      </c>
      <c r="B589" s="13" t="s">
        <v>23</v>
      </c>
      <c r="C589" s="2">
        <v>5</v>
      </c>
      <c r="D589" s="13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3" t="s">
        <v>27</v>
      </c>
      <c r="S589" s="13" t="s">
        <v>27</v>
      </c>
    </row>
    <row r="590" spans="1:19" hidden="1" x14ac:dyDescent="0.3">
      <c r="A590" s="14">
        <v>43913.708333333336</v>
      </c>
      <c r="B590" s="13" t="s">
        <v>23</v>
      </c>
      <c r="C590" s="2">
        <v>13</v>
      </c>
      <c r="D590" s="13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3" t="s">
        <v>27</v>
      </c>
      <c r="S590" s="13" t="s">
        <v>27</v>
      </c>
    </row>
    <row r="591" spans="1:19" hidden="1" x14ac:dyDescent="0.3">
      <c r="A591" s="14">
        <v>43913.708333333336</v>
      </c>
      <c r="B591" s="13" t="s">
        <v>23</v>
      </c>
      <c r="C591" s="2">
        <v>17</v>
      </c>
      <c r="D591" s="13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3" t="s">
        <v>27</v>
      </c>
      <c r="S591" s="13" t="s">
        <v>27</v>
      </c>
    </row>
    <row r="592" spans="1:19" hidden="1" x14ac:dyDescent="0.3">
      <c r="A592" s="14">
        <v>43913.708333333336</v>
      </c>
      <c r="B592" s="13" t="s">
        <v>23</v>
      </c>
      <c r="C592" s="2">
        <v>4</v>
      </c>
      <c r="D592" s="13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3" t="s">
        <v>27</v>
      </c>
      <c r="S592" s="13" t="s">
        <v>27</v>
      </c>
    </row>
    <row r="593" spans="1:19" hidden="1" x14ac:dyDescent="0.3">
      <c r="A593" s="14">
        <v>43913.708333333336</v>
      </c>
      <c r="B593" s="13" t="s">
        <v>23</v>
      </c>
      <c r="C593" s="2">
        <v>18</v>
      </c>
      <c r="D593" s="13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3" t="s">
        <v>27</v>
      </c>
      <c r="S593" s="13" t="s">
        <v>27</v>
      </c>
    </row>
    <row r="594" spans="1:19" hidden="1" x14ac:dyDescent="0.3">
      <c r="A594" s="14">
        <v>43913.708333333336</v>
      </c>
      <c r="B594" s="13" t="s">
        <v>23</v>
      </c>
      <c r="C594" s="2">
        <v>15</v>
      </c>
      <c r="D594" s="13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3" t="s">
        <v>27</v>
      </c>
      <c r="S594" s="13" t="s">
        <v>27</v>
      </c>
    </row>
    <row r="595" spans="1:19" hidden="1" x14ac:dyDescent="0.3">
      <c r="A595" s="14">
        <v>43913.708333333336</v>
      </c>
      <c r="B595" s="13" t="s">
        <v>23</v>
      </c>
      <c r="C595" s="2">
        <v>8</v>
      </c>
      <c r="D595" s="13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3" t="s">
        <v>27</v>
      </c>
      <c r="S595" s="13" t="s">
        <v>27</v>
      </c>
    </row>
    <row r="596" spans="1:19" hidden="1" x14ac:dyDescent="0.3">
      <c r="A596" s="14">
        <v>43913.708333333336</v>
      </c>
      <c r="B596" s="13" t="s">
        <v>23</v>
      </c>
      <c r="C596" s="2">
        <v>6</v>
      </c>
      <c r="D596" s="13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3" t="s">
        <v>27</v>
      </c>
      <c r="S596" s="13" t="s">
        <v>27</v>
      </c>
    </row>
    <row r="597" spans="1:19" hidden="1" x14ac:dyDescent="0.3">
      <c r="A597" s="14">
        <v>43913.708333333336</v>
      </c>
      <c r="B597" s="13" t="s">
        <v>23</v>
      </c>
      <c r="C597" s="2">
        <v>12</v>
      </c>
      <c r="D597" s="13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3" t="s">
        <v>27</v>
      </c>
      <c r="S597" s="13" t="s">
        <v>27</v>
      </c>
    </row>
    <row r="598" spans="1:19" hidden="1" x14ac:dyDescent="0.3">
      <c r="A598" s="14">
        <v>43913.708333333336</v>
      </c>
      <c r="B598" s="13" t="s">
        <v>23</v>
      </c>
      <c r="C598" s="2">
        <v>7</v>
      </c>
      <c r="D598" s="13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3" t="s">
        <v>27</v>
      </c>
      <c r="S598" s="13" t="s">
        <v>27</v>
      </c>
    </row>
    <row r="599" spans="1:19" x14ac:dyDescent="0.3">
      <c r="A599" s="14">
        <v>43913.708333333336</v>
      </c>
      <c r="B599" s="13" t="s">
        <v>23</v>
      </c>
      <c r="C599" s="2">
        <v>3</v>
      </c>
      <c r="D599" s="13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3" t="s">
        <v>27</v>
      </c>
      <c r="S599" s="13" t="s">
        <v>27</v>
      </c>
    </row>
    <row r="600" spans="1:19" hidden="1" x14ac:dyDescent="0.3">
      <c r="A600" s="14">
        <v>43913.708333333336</v>
      </c>
      <c r="B600" s="13" t="s">
        <v>23</v>
      </c>
      <c r="C600" s="2">
        <v>11</v>
      </c>
      <c r="D600" s="13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3" t="s">
        <v>27</v>
      </c>
      <c r="S600" s="13" t="s">
        <v>27</v>
      </c>
    </row>
    <row r="601" spans="1:19" hidden="1" x14ac:dyDescent="0.3">
      <c r="A601" s="14">
        <v>43913.708333333336</v>
      </c>
      <c r="B601" s="13" t="s">
        <v>23</v>
      </c>
      <c r="C601" s="2">
        <v>14</v>
      </c>
      <c r="D601" s="13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3" t="s">
        <v>27</v>
      </c>
      <c r="S601" s="13" t="s">
        <v>27</v>
      </c>
    </row>
    <row r="602" spans="1:19" hidden="1" x14ac:dyDescent="0.3">
      <c r="A602" s="14">
        <v>43913.708333333336</v>
      </c>
      <c r="B602" s="13" t="s">
        <v>23</v>
      </c>
      <c r="C602" s="2">
        <v>1</v>
      </c>
      <c r="D602" s="13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3" t="s">
        <v>27</v>
      </c>
      <c r="S602" s="13" t="s">
        <v>27</v>
      </c>
    </row>
    <row r="603" spans="1:19" hidden="1" x14ac:dyDescent="0.3">
      <c r="A603" s="14">
        <v>43913.708333333336</v>
      </c>
      <c r="B603" s="13" t="s">
        <v>23</v>
      </c>
      <c r="C603" s="2">
        <v>16</v>
      </c>
      <c r="D603" s="13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3" t="s">
        <v>27</v>
      </c>
      <c r="S603" s="13" t="s">
        <v>27</v>
      </c>
    </row>
    <row r="604" spans="1:19" hidden="1" x14ac:dyDescent="0.3">
      <c r="A604" s="14">
        <v>43913.708333333336</v>
      </c>
      <c r="B604" s="13" t="s">
        <v>23</v>
      </c>
      <c r="C604" s="2">
        <v>20</v>
      </c>
      <c r="D604" s="13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3" t="s">
        <v>27</v>
      </c>
      <c r="S604" s="13" t="s">
        <v>27</v>
      </c>
    </row>
    <row r="605" spans="1:19" hidden="1" x14ac:dyDescent="0.3">
      <c r="A605" s="14">
        <v>43913.708333333336</v>
      </c>
      <c r="B605" s="13" t="s">
        <v>23</v>
      </c>
      <c r="C605" s="2">
        <v>19</v>
      </c>
      <c r="D605" s="13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3" t="s">
        <v>27</v>
      </c>
      <c r="S605" s="13" t="s">
        <v>27</v>
      </c>
    </row>
    <row r="606" spans="1:19" hidden="1" x14ac:dyDescent="0.3">
      <c r="A606" s="14">
        <v>43913.708333333336</v>
      </c>
      <c r="B606" s="13" t="s">
        <v>23</v>
      </c>
      <c r="C606" s="2">
        <v>9</v>
      </c>
      <c r="D606" s="13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3" t="s">
        <v>27</v>
      </c>
      <c r="S606" s="13" t="s">
        <v>27</v>
      </c>
    </row>
    <row r="607" spans="1:19" hidden="1" x14ac:dyDescent="0.3">
      <c r="A607" s="14">
        <v>43913.708333333336</v>
      </c>
      <c r="B607" s="13" t="s">
        <v>23</v>
      </c>
      <c r="C607" s="2">
        <v>4</v>
      </c>
      <c r="D607" s="13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3" t="s">
        <v>27</v>
      </c>
      <c r="S607" s="13" t="s">
        <v>27</v>
      </c>
    </row>
    <row r="608" spans="1:19" hidden="1" x14ac:dyDescent="0.3">
      <c r="A608" s="14">
        <v>43913.708333333336</v>
      </c>
      <c r="B608" s="13" t="s">
        <v>23</v>
      </c>
      <c r="C608" s="2">
        <v>10</v>
      </c>
      <c r="D608" s="13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3" t="s">
        <v>27</v>
      </c>
      <c r="S608" s="13" t="s">
        <v>27</v>
      </c>
    </row>
    <row r="609" spans="1:19" hidden="1" x14ac:dyDescent="0.3">
      <c r="A609" s="14">
        <v>43913.708333333336</v>
      </c>
      <c r="B609" s="13" t="s">
        <v>23</v>
      </c>
      <c r="C609" s="2">
        <v>2</v>
      </c>
      <c r="D609" s="13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3" t="s">
        <v>27</v>
      </c>
      <c r="S609" s="13" t="s">
        <v>27</v>
      </c>
    </row>
    <row r="610" spans="1:19" hidden="1" x14ac:dyDescent="0.3">
      <c r="A610" s="14">
        <v>43913.708333333336</v>
      </c>
      <c r="B610" s="13" t="s">
        <v>23</v>
      </c>
      <c r="C610" s="2">
        <v>5</v>
      </c>
      <c r="D610" s="13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3" t="s">
        <v>27</v>
      </c>
      <c r="S610" s="13" t="s">
        <v>27</v>
      </c>
    </row>
    <row r="611" spans="1:19" hidden="1" x14ac:dyDescent="0.3">
      <c r="A611" s="14">
        <v>43914.708333333336</v>
      </c>
      <c r="B611" s="13" t="s">
        <v>23</v>
      </c>
      <c r="C611" s="2">
        <v>13</v>
      </c>
      <c r="D611" s="13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3" t="s">
        <v>27</v>
      </c>
      <c r="S611" s="13" t="s">
        <v>27</v>
      </c>
    </row>
    <row r="612" spans="1:19" hidden="1" x14ac:dyDescent="0.3">
      <c r="A612" s="14">
        <v>43914.708333333336</v>
      </c>
      <c r="B612" s="13" t="s">
        <v>23</v>
      </c>
      <c r="C612" s="2">
        <v>17</v>
      </c>
      <c r="D612" s="13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3" t="s">
        <v>27</v>
      </c>
      <c r="S612" s="13" t="s">
        <v>27</v>
      </c>
    </row>
    <row r="613" spans="1:19" hidden="1" x14ac:dyDescent="0.3">
      <c r="A613" s="14">
        <v>43914.708333333336</v>
      </c>
      <c r="B613" s="13" t="s">
        <v>23</v>
      </c>
      <c r="C613" s="2">
        <v>4</v>
      </c>
      <c r="D613" s="13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3" t="s">
        <v>27</v>
      </c>
      <c r="S613" s="13" t="s">
        <v>27</v>
      </c>
    </row>
    <row r="614" spans="1:19" hidden="1" x14ac:dyDescent="0.3">
      <c r="A614" s="14">
        <v>43914.708333333336</v>
      </c>
      <c r="B614" s="13" t="s">
        <v>23</v>
      </c>
      <c r="C614" s="2">
        <v>18</v>
      </c>
      <c r="D614" s="13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3" t="s">
        <v>27</v>
      </c>
      <c r="S614" s="13" t="s">
        <v>27</v>
      </c>
    </row>
    <row r="615" spans="1:19" hidden="1" x14ac:dyDescent="0.3">
      <c r="A615" s="14">
        <v>43914.708333333336</v>
      </c>
      <c r="B615" s="13" t="s">
        <v>23</v>
      </c>
      <c r="C615" s="2">
        <v>15</v>
      </c>
      <c r="D615" s="13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3" t="s">
        <v>27</v>
      </c>
      <c r="S615" s="13" t="s">
        <v>27</v>
      </c>
    </row>
    <row r="616" spans="1:19" hidden="1" x14ac:dyDescent="0.3">
      <c r="A616" s="14">
        <v>43914.708333333336</v>
      </c>
      <c r="B616" s="13" t="s">
        <v>23</v>
      </c>
      <c r="C616" s="2">
        <v>8</v>
      </c>
      <c r="D616" s="13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3" t="s">
        <v>27</v>
      </c>
      <c r="S616" s="13" t="s">
        <v>27</v>
      </c>
    </row>
    <row r="617" spans="1:19" hidden="1" x14ac:dyDescent="0.3">
      <c r="A617" s="14">
        <v>43914.708333333336</v>
      </c>
      <c r="B617" s="13" t="s">
        <v>23</v>
      </c>
      <c r="C617" s="2">
        <v>6</v>
      </c>
      <c r="D617" s="13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3" t="s">
        <v>27</v>
      </c>
      <c r="S617" s="13" t="s">
        <v>27</v>
      </c>
    </row>
    <row r="618" spans="1:19" hidden="1" x14ac:dyDescent="0.3">
      <c r="A618" s="14">
        <v>43914.708333333336</v>
      </c>
      <c r="B618" s="13" t="s">
        <v>23</v>
      </c>
      <c r="C618" s="2">
        <v>12</v>
      </c>
      <c r="D618" s="13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3" t="s">
        <v>27</v>
      </c>
      <c r="S618" s="13" t="s">
        <v>27</v>
      </c>
    </row>
    <row r="619" spans="1:19" hidden="1" x14ac:dyDescent="0.3">
      <c r="A619" s="14">
        <v>43914.708333333336</v>
      </c>
      <c r="B619" s="13" t="s">
        <v>23</v>
      </c>
      <c r="C619" s="2">
        <v>7</v>
      </c>
      <c r="D619" s="13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3" t="s">
        <v>27</v>
      </c>
      <c r="S619" s="13" t="s">
        <v>27</v>
      </c>
    </row>
    <row r="620" spans="1:19" x14ac:dyDescent="0.3">
      <c r="A620" s="14">
        <v>43914.708333333336</v>
      </c>
      <c r="B620" s="13" t="s">
        <v>23</v>
      </c>
      <c r="C620" s="2">
        <v>3</v>
      </c>
      <c r="D620" s="13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3" t="s">
        <v>27</v>
      </c>
      <c r="S620" s="13" t="s">
        <v>27</v>
      </c>
    </row>
    <row r="621" spans="1:19" hidden="1" x14ac:dyDescent="0.3">
      <c r="A621" s="14">
        <v>43914.708333333336</v>
      </c>
      <c r="B621" s="13" t="s">
        <v>23</v>
      </c>
      <c r="C621" s="2">
        <v>11</v>
      </c>
      <c r="D621" s="13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3" t="s">
        <v>27</v>
      </c>
      <c r="S621" s="13" t="s">
        <v>27</v>
      </c>
    </row>
    <row r="622" spans="1:19" hidden="1" x14ac:dyDescent="0.3">
      <c r="A622" s="14">
        <v>43914.708333333336</v>
      </c>
      <c r="B622" s="13" t="s">
        <v>23</v>
      </c>
      <c r="C622" s="2">
        <v>14</v>
      </c>
      <c r="D622" s="13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3" t="s">
        <v>27</v>
      </c>
      <c r="S622" s="13" t="s">
        <v>27</v>
      </c>
    </row>
    <row r="623" spans="1:19" hidden="1" x14ac:dyDescent="0.3">
      <c r="A623" s="14">
        <v>43914.708333333336</v>
      </c>
      <c r="B623" s="13" t="s">
        <v>23</v>
      </c>
      <c r="C623" s="2">
        <v>1</v>
      </c>
      <c r="D623" s="13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3" t="s">
        <v>27</v>
      </c>
      <c r="S623" s="13" t="s">
        <v>27</v>
      </c>
    </row>
    <row r="624" spans="1:19" hidden="1" x14ac:dyDescent="0.3">
      <c r="A624" s="14">
        <v>43914.708333333336</v>
      </c>
      <c r="B624" s="13" t="s">
        <v>23</v>
      </c>
      <c r="C624" s="2">
        <v>16</v>
      </c>
      <c r="D624" s="13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3" t="s">
        <v>27</v>
      </c>
      <c r="S624" s="13" t="s">
        <v>27</v>
      </c>
    </row>
    <row r="625" spans="1:19" hidden="1" x14ac:dyDescent="0.3">
      <c r="A625" s="14">
        <v>43914.708333333336</v>
      </c>
      <c r="B625" s="13" t="s">
        <v>23</v>
      </c>
      <c r="C625" s="2">
        <v>20</v>
      </c>
      <c r="D625" s="13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3" t="s">
        <v>27</v>
      </c>
      <c r="S625" s="13" t="s">
        <v>27</v>
      </c>
    </row>
    <row r="626" spans="1:19" hidden="1" x14ac:dyDescent="0.3">
      <c r="A626" s="14">
        <v>43914.708333333336</v>
      </c>
      <c r="B626" s="13" t="s">
        <v>23</v>
      </c>
      <c r="C626" s="2">
        <v>19</v>
      </c>
      <c r="D626" s="13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3" t="s">
        <v>27</v>
      </c>
      <c r="S626" s="13" t="s">
        <v>27</v>
      </c>
    </row>
    <row r="627" spans="1:19" hidden="1" x14ac:dyDescent="0.3">
      <c r="A627" s="14">
        <v>43914.708333333336</v>
      </c>
      <c r="B627" s="13" t="s">
        <v>23</v>
      </c>
      <c r="C627" s="2">
        <v>9</v>
      </c>
      <c r="D627" s="13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3" t="s">
        <v>27</v>
      </c>
      <c r="S627" s="13" t="s">
        <v>27</v>
      </c>
    </row>
    <row r="628" spans="1:19" hidden="1" x14ac:dyDescent="0.3">
      <c r="A628" s="14">
        <v>43914.708333333336</v>
      </c>
      <c r="B628" s="13" t="s">
        <v>23</v>
      </c>
      <c r="C628" s="2">
        <v>4</v>
      </c>
      <c r="D628" s="13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3" t="s">
        <v>27</v>
      </c>
      <c r="S628" s="13" t="s">
        <v>27</v>
      </c>
    </row>
    <row r="629" spans="1:19" hidden="1" x14ac:dyDescent="0.3">
      <c r="A629" s="14">
        <v>43914.708333333336</v>
      </c>
      <c r="B629" s="13" t="s">
        <v>23</v>
      </c>
      <c r="C629" s="2">
        <v>10</v>
      </c>
      <c r="D629" s="13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3" t="s">
        <v>27</v>
      </c>
      <c r="S629" s="13" t="s">
        <v>27</v>
      </c>
    </row>
    <row r="630" spans="1:19" hidden="1" x14ac:dyDescent="0.3">
      <c r="A630" s="14">
        <v>43914.708333333336</v>
      </c>
      <c r="B630" s="13" t="s">
        <v>23</v>
      </c>
      <c r="C630" s="2">
        <v>2</v>
      </c>
      <c r="D630" s="13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3" t="s">
        <v>27</v>
      </c>
      <c r="S630" s="13" t="s">
        <v>27</v>
      </c>
    </row>
    <row r="631" spans="1:19" hidden="1" x14ac:dyDescent="0.3">
      <c r="A631" s="14">
        <v>43914.708333333336</v>
      </c>
      <c r="B631" s="13" t="s">
        <v>23</v>
      </c>
      <c r="C631" s="2">
        <v>5</v>
      </c>
      <c r="D631" s="13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3" t="s">
        <v>27</v>
      </c>
      <c r="S631" s="13" t="s">
        <v>27</v>
      </c>
    </row>
    <row r="632" spans="1:19" hidden="1" x14ac:dyDescent="0.3">
      <c r="A632" s="14">
        <v>43915.708333333336</v>
      </c>
      <c r="B632" s="13" t="s">
        <v>23</v>
      </c>
      <c r="C632" s="2">
        <v>13</v>
      </c>
      <c r="D632" s="13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3" t="s">
        <v>27</v>
      </c>
      <c r="S632" s="13" t="s">
        <v>27</v>
      </c>
    </row>
    <row r="633" spans="1:19" hidden="1" x14ac:dyDescent="0.3">
      <c r="A633" s="14">
        <v>43915.708333333336</v>
      </c>
      <c r="B633" s="13" t="s">
        <v>23</v>
      </c>
      <c r="C633" s="2">
        <v>17</v>
      </c>
      <c r="D633" s="13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3" t="s">
        <v>27</v>
      </c>
      <c r="S633" s="13" t="s">
        <v>27</v>
      </c>
    </row>
    <row r="634" spans="1:19" hidden="1" x14ac:dyDescent="0.3">
      <c r="A634" s="14">
        <v>43915.708333333336</v>
      </c>
      <c r="B634" s="13" t="s">
        <v>23</v>
      </c>
      <c r="C634" s="2">
        <v>4</v>
      </c>
      <c r="D634" s="13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3" t="s">
        <v>27</v>
      </c>
      <c r="S634" s="13" t="s">
        <v>27</v>
      </c>
    </row>
    <row r="635" spans="1:19" hidden="1" x14ac:dyDescent="0.3">
      <c r="A635" s="14">
        <v>43915.708333333336</v>
      </c>
      <c r="B635" s="13" t="s">
        <v>23</v>
      </c>
      <c r="C635" s="2">
        <v>18</v>
      </c>
      <c r="D635" s="13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3" t="s">
        <v>27</v>
      </c>
      <c r="S635" s="13" t="s">
        <v>27</v>
      </c>
    </row>
    <row r="636" spans="1:19" hidden="1" x14ac:dyDescent="0.3">
      <c r="A636" s="14">
        <v>43915.708333333336</v>
      </c>
      <c r="B636" s="13" t="s">
        <v>23</v>
      </c>
      <c r="C636" s="2">
        <v>15</v>
      </c>
      <c r="D636" s="13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3" t="s">
        <v>27</v>
      </c>
      <c r="S636" s="13" t="s">
        <v>27</v>
      </c>
    </row>
    <row r="637" spans="1:19" hidden="1" x14ac:dyDescent="0.3">
      <c r="A637" s="14">
        <v>43915.708333333336</v>
      </c>
      <c r="B637" s="13" t="s">
        <v>23</v>
      </c>
      <c r="C637" s="2">
        <v>8</v>
      </c>
      <c r="D637" s="13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3" t="s">
        <v>27</v>
      </c>
      <c r="S637" s="13" t="s">
        <v>27</v>
      </c>
    </row>
    <row r="638" spans="1:19" hidden="1" x14ac:dyDescent="0.3">
      <c r="A638" s="14">
        <v>43915.708333333336</v>
      </c>
      <c r="B638" s="13" t="s">
        <v>23</v>
      </c>
      <c r="C638" s="2">
        <v>6</v>
      </c>
      <c r="D638" s="13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3" t="s">
        <v>27</v>
      </c>
      <c r="S638" s="13" t="s">
        <v>27</v>
      </c>
    </row>
    <row r="639" spans="1:19" hidden="1" x14ac:dyDescent="0.3">
      <c r="A639" s="14">
        <v>43915.708333333336</v>
      </c>
      <c r="B639" s="13" t="s">
        <v>23</v>
      </c>
      <c r="C639" s="2">
        <v>12</v>
      </c>
      <c r="D639" s="13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3" t="s">
        <v>27</v>
      </c>
      <c r="S639" s="13" t="s">
        <v>27</v>
      </c>
    </row>
    <row r="640" spans="1:19" hidden="1" x14ac:dyDescent="0.3">
      <c r="A640" s="14">
        <v>43915.708333333336</v>
      </c>
      <c r="B640" s="13" t="s">
        <v>23</v>
      </c>
      <c r="C640" s="2">
        <v>7</v>
      </c>
      <c r="D640" s="13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3" t="s">
        <v>27</v>
      </c>
      <c r="S640" s="13" t="s">
        <v>27</v>
      </c>
    </row>
    <row r="641" spans="1:19" x14ac:dyDescent="0.3">
      <c r="A641" s="14">
        <v>43915.708333333336</v>
      </c>
      <c r="B641" s="13" t="s">
        <v>23</v>
      </c>
      <c r="C641" s="2">
        <v>3</v>
      </c>
      <c r="D641" s="13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3" t="s">
        <v>27</v>
      </c>
      <c r="S641" s="13" t="s">
        <v>27</v>
      </c>
    </row>
    <row r="642" spans="1:19" hidden="1" x14ac:dyDescent="0.3">
      <c r="A642" s="14">
        <v>43915.708333333336</v>
      </c>
      <c r="B642" s="13" t="s">
        <v>23</v>
      </c>
      <c r="C642" s="2">
        <v>11</v>
      </c>
      <c r="D642" s="13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3" t="s">
        <v>27</v>
      </c>
      <c r="S642" s="13" t="s">
        <v>27</v>
      </c>
    </row>
    <row r="643" spans="1:19" hidden="1" x14ac:dyDescent="0.3">
      <c r="A643" s="14">
        <v>43915.708333333336</v>
      </c>
      <c r="B643" s="13" t="s">
        <v>23</v>
      </c>
      <c r="C643" s="2">
        <v>14</v>
      </c>
      <c r="D643" s="13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3" t="s">
        <v>27</v>
      </c>
      <c r="S643" s="13" t="s">
        <v>27</v>
      </c>
    </row>
    <row r="644" spans="1:19" hidden="1" x14ac:dyDescent="0.3">
      <c r="A644" s="14">
        <v>43915.708333333336</v>
      </c>
      <c r="B644" s="13" t="s">
        <v>23</v>
      </c>
      <c r="C644" s="2">
        <v>1</v>
      </c>
      <c r="D644" s="13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3" t="s">
        <v>27</v>
      </c>
      <c r="S644" s="13" t="s">
        <v>27</v>
      </c>
    </row>
    <row r="645" spans="1:19" hidden="1" x14ac:dyDescent="0.3">
      <c r="A645" s="14">
        <v>43915.708333333336</v>
      </c>
      <c r="B645" s="13" t="s">
        <v>23</v>
      </c>
      <c r="C645" s="2">
        <v>16</v>
      </c>
      <c r="D645" s="13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3" t="s">
        <v>27</v>
      </c>
      <c r="S645" s="13" t="s">
        <v>27</v>
      </c>
    </row>
    <row r="646" spans="1:19" hidden="1" x14ac:dyDescent="0.3">
      <c r="A646" s="14">
        <v>43915.708333333336</v>
      </c>
      <c r="B646" s="13" t="s">
        <v>23</v>
      </c>
      <c r="C646" s="2">
        <v>20</v>
      </c>
      <c r="D646" s="13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3" t="s">
        <v>27</v>
      </c>
      <c r="S646" s="13" t="s">
        <v>27</v>
      </c>
    </row>
    <row r="647" spans="1:19" hidden="1" x14ac:dyDescent="0.3">
      <c r="A647" s="14">
        <v>43915.708333333336</v>
      </c>
      <c r="B647" s="13" t="s">
        <v>23</v>
      </c>
      <c r="C647" s="2">
        <v>19</v>
      </c>
      <c r="D647" s="13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3" t="s">
        <v>27</v>
      </c>
      <c r="S647" s="13" t="s">
        <v>27</v>
      </c>
    </row>
    <row r="648" spans="1:19" hidden="1" x14ac:dyDescent="0.3">
      <c r="A648" s="14">
        <v>43915.708333333336</v>
      </c>
      <c r="B648" s="13" t="s">
        <v>23</v>
      </c>
      <c r="C648" s="2">
        <v>9</v>
      </c>
      <c r="D648" s="13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3" t="s">
        <v>27</v>
      </c>
      <c r="S648" s="13" t="s">
        <v>27</v>
      </c>
    </row>
    <row r="649" spans="1:19" hidden="1" x14ac:dyDescent="0.3">
      <c r="A649" s="14">
        <v>43915.708333333336</v>
      </c>
      <c r="B649" s="13" t="s">
        <v>23</v>
      </c>
      <c r="C649" s="2">
        <v>4</v>
      </c>
      <c r="D649" s="13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3" t="s">
        <v>27</v>
      </c>
      <c r="S649" s="13" t="s">
        <v>27</v>
      </c>
    </row>
    <row r="650" spans="1:19" hidden="1" x14ac:dyDescent="0.3">
      <c r="A650" s="14">
        <v>43915.708333333336</v>
      </c>
      <c r="B650" s="13" t="s">
        <v>23</v>
      </c>
      <c r="C650" s="2">
        <v>10</v>
      </c>
      <c r="D650" s="13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3" t="s">
        <v>27</v>
      </c>
      <c r="S650" s="13" t="s">
        <v>27</v>
      </c>
    </row>
    <row r="651" spans="1:19" hidden="1" x14ac:dyDescent="0.3">
      <c r="A651" s="14">
        <v>43915.708333333336</v>
      </c>
      <c r="B651" s="13" t="s">
        <v>23</v>
      </c>
      <c r="C651" s="2">
        <v>2</v>
      </c>
      <c r="D651" s="13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3" t="s">
        <v>27</v>
      </c>
      <c r="S651" s="13" t="s">
        <v>27</v>
      </c>
    </row>
    <row r="652" spans="1:19" hidden="1" x14ac:dyDescent="0.3">
      <c r="A652" s="14">
        <v>43915.708333333336</v>
      </c>
      <c r="B652" s="13" t="s">
        <v>23</v>
      </c>
      <c r="C652" s="2">
        <v>5</v>
      </c>
      <c r="D652" s="13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3" t="s">
        <v>27</v>
      </c>
      <c r="S652" s="13" t="s">
        <v>27</v>
      </c>
    </row>
    <row r="653" spans="1:19" hidden="1" x14ac:dyDescent="0.3">
      <c r="A653" s="14">
        <v>43916.708333333336</v>
      </c>
      <c r="B653" s="13" t="s">
        <v>23</v>
      </c>
      <c r="C653" s="2">
        <v>13</v>
      </c>
      <c r="D653" s="13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3" t="s">
        <v>27</v>
      </c>
      <c r="S653" s="13" t="s">
        <v>27</v>
      </c>
    </row>
    <row r="654" spans="1:19" hidden="1" x14ac:dyDescent="0.3">
      <c r="A654" s="14">
        <v>43916.708333333336</v>
      </c>
      <c r="B654" s="13" t="s">
        <v>23</v>
      </c>
      <c r="C654" s="2">
        <v>17</v>
      </c>
      <c r="D654" s="13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3" t="s">
        <v>27</v>
      </c>
      <c r="S654" s="13" t="s">
        <v>27</v>
      </c>
    </row>
    <row r="655" spans="1:19" hidden="1" x14ac:dyDescent="0.3">
      <c r="A655" s="14">
        <v>43916.708333333336</v>
      </c>
      <c r="B655" s="13" t="s">
        <v>23</v>
      </c>
      <c r="C655" s="2">
        <v>4</v>
      </c>
      <c r="D655" s="13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3" t="s">
        <v>27</v>
      </c>
      <c r="S655" s="13" t="s">
        <v>27</v>
      </c>
    </row>
    <row r="656" spans="1:19" hidden="1" x14ac:dyDescent="0.3">
      <c r="A656" s="14">
        <v>43916.708333333336</v>
      </c>
      <c r="B656" s="13" t="s">
        <v>23</v>
      </c>
      <c r="C656" s="2">
        <v>18</v>
      </c>
      <c r="D656" s="13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3" t="s">
        <v>27</v>
      </c>
      <c r="S656" s="13" t="s">
        <v>27</v>
      </c>
    </row>
    <row r="657" spans="1:19" hidden="1" x14ac:dyDescent="0.3">
      <c r="A657" s="14">
        <v>43916.708333333336</v>
      </c>
      <c r="B657" s="13" t="s">
        <v>23</v>
      </c>
      <c r="C657" s="2">
        <v>15</v>
      </c>
      <c r="D657" s="13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3" t="s">
        <v>27</v>
      </c>
      <c r="S657" s="13" t="s">
        <v>27</v>
      </c>
    </row>
    <row r="658" spans="1:19" hidden="1" x14ac:dyDescent="0.3">
      <c r="A658" s="14">
        <v>43916.708333333336</v>
      </c>
      <c r="B658" s="13" t="s">
        <v>23</v>
      </c>
      <c r="C658" s="2">
        <v>8</v>
      </c>
      <c r="D658" s="13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3" t="s">
        <v>27</v>
      </c>
      <c r="S658" s="13" t="s">
        <v>27</v>
      </c>
    </row>
    <row r="659" spans="1:19" hidden="1" x14ac:dyDescent="0.3">
      <c r="A659" s="14">
        <v>43916.708333333336</v>
      </c>
      <c r="B659" s="13" t="s">
        <v>23</v>
      </c>
      <c r="C659" s="2">
        <v>6</v>
      </c>
      <c r="D659" s="13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3" t="s">
        <v>27</v>
      </c>
      <c r="S659" s="13" t="s">
        <v>27</v>
      </c>
    </row>
    <row r="660" spans="1:19" hidden="1" x14ac:dyDescent="0.3">
      <c r="A660" s="14">
        <v>43916.708333333336</v>
      </c>
      <c r="B660" s="13" t="s">
        <v>23</v>
      </c>
      <c r="C660" s="2">
        <v>12</v>
      </c>
      <c r="D660" s="13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3" t="s">
        <v>27</v>
      </c>
      <c r="S660" s="13" t="s">
        <v>27</v>
      </c>
    </row>
    <row r="661" spans="1:19" hidden="1" x14ac:dyDescent="0.3">
      <c r="A661" s="14">
        <v>43916.708333333336</v>
      </c>
      <c r="B661" s="13" t="s">
        <v>23</v>
      </c>
      <c r="C661" s="2">
        <v>7</v>
      </c>
      <c r="D661" s="13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3" t="s">
        <v>27</v>
      </c>
      <c r="S661" s="13" t="s">
        <v>27</v>
      </c>
    </row>
    <row r="662" spans="1:19" x14ac:dyDescent="0.3">
      <c r="A662" s="14">
        <v>43916.708333333336</v>
      </c>
      <c r="B662" s="13" t="s">
        <v>23</v>
      </c>
      <c r="C662" s="2">
        <v>3</v>
      </c>
      <c r="D662" s="13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3" t="s">
        <v>27</v>
      </c>
      <c r="S662" s="13" t="s">
        <v>27</v>
      </c>
    </row>
    <row r="663" spans="1:19" hidden="1" x14ac:dyDescent="0.3">
      <c r="A663" s="14">
        <v>43916.708333333336</v>
      </c>
      <c r="B663" s="13" t="s">
        <v>23</v>
      </c>
      <c r="C663" s="2">
        <v>11</v>
      </c>
      <c r="D663" s="13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3" t="s">
        <v>27</v>
      </c>
      <c r="S663" s="13" t="s">
        <v>27</v>
      </c>
    </row>
    <row r="664" spans="1:19" hidden="1" x14ac:dyDescent="0.3">
      <c r="A664" s="14">
        <v>43916.708333333336</v>
      </c>
      <c r="B664" s="13" t="s">
        <v>23</v>
      </c>
      <c r="C664" s="2">
        <v>14</v>
      </c>
      <c r="D664" s="13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3" t="s">
        <v>27</v>
      </c>
      <c r="S664" s="13" t="s">
        <v>27</v>
      </c>
    </row>
    <row r="665" spans="1:19" hidden="1" x14ac:dyDescent="0.3">
      <c r="A665" s="14">
        <v>43916.708333333336</v>
      </c>
      <c r="B665" s="13" t="s">
        <v>23</v>
      </c>
      <c r="C665" s="2">
        <v>1</v>
      </c>
      <c r="D665" s="13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3" t="s">
        <v>91</v>
      </c>
      <c r="S665" s="13" t="s">
        <v>92</v>
      </c>
    </row>
    <row r="666" spans="1:19" hidden="1" x14ac:dyDescent="0.3">
      <c r="A666" s="14">
        <v>43916.708333333336</v>
      </c>
      <c r="B666" s="13" t="s">
        <v>23</v>
      </c>
      <c r="C666" s="2">
        <v>16</v>
      </c>
      <c r="D666" s="13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3" t="s">
        <v>27</v>
      </c>
      <c r="S666" s="13" t="s">
        <v>27</v>
      </c>
    </row>
    <row r="667" spans="1:19" hidden="1" x14ac:dyDescent="0.3">
      <c r="A667" s="14">
        <v>43916.708333333336</v>
      </c>
      <c r="B667" s="13" t="s">
        <v>23</v>
      </c>
      <c r="C667" s="2">
        <v>20</v>
      </c>
      <c r="D667" s="13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3" t="s">
        <v>27</v>
      </c>
      <c r="S667" s="13" t="s">
        <v>27</v>
      </c>
    </row>
    <row r="668" spans="1:19" hidden="1" x14ac:dyDescent="0.3">
      <c r="A668" s="14">
        <v>43916.708333333336</v>
      </c>
      <c r="B668" s="13" t="s">
        <v>23</v>
      </c>
      <c r="C668" s="2">
        <v>19</v>
      </c>
      <c r="D668" s="13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3" t="s">
        <v>27</v>
      </c>
      <c r="S668" s="13" t="s">
        <v>27</v>
      </c>
    </row>
    <row r="669" spans="1:19" hidden="1" x14ac:dyDescent="0.3">
      <c r="A669" s="14">
        <v>43916.708333333336</v>
      </c>
      <c r="B669" s="13" t="s">
        <v>23</v>
      </c>
      <c r="C669" s="2">
        <v>9</v>
      </c>
      <c r="D669" s="13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3" t="s">
        <v>27</v>
      </c>
      <c r="S669" s="13" t="s">
        <v>27</v>
      </c>
    </row>
    <row r="670" spans="1:19" hidden="1" x14ac:dyDescent="0.3">
      <c r="A670" s="14">
        <v>43916.708333333336</v>
      </c>
      <c r="B670" s="13" t="s">
        <v>23</v>
      </c>
      <c r="C670" s="2">
        <v>4</v>
      </c>
      <c r="D670" s="13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3" t="s">
        <v>27</v>
      </c>
      <c r="S670" s="13" t="s">
        <v>27</v>
      </c>
    </row>
    <row r="671" spans="1:19" hidden="1" x14ac:dyDescent="0.3">
      <c r="A671" s="14">
        <v>43916.708333333336</v>
      </c>
      <c r="B671" s="13" t="s">
        <v>23</v>
      </c>
      <c r="C671" s="2">
        <v>10</v>
      </c>
      <c r="D671" s="13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3" t="s">
        <v>27</v>
      </c>
      <c r="S671" s="13" t="s">
        <v>27</v>
      </c>
    </row>
    <row r="672" spans="1:19" hidden="1" x14ac:dyDescent="0.3">
      <c r="A672" s="14">
        <v>43916.708333333336</v>
      </c>
      <c r="B672" s="13" t="s">
        <v>23</v>
      </c>
      <c r="C672" s="2">
        <v>2</v>
      </c>
      <c r="D672" s="13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3" t="s">
        <v>27</v>
      </c>
      <c r="S672" s="13" t="s">
        <v>27</v>
      </c>
    </row>
    <row r="673" spans="1:19" hidden="1" x14ac:dyDescent="0.3">
      <c r="A673" s="14">
        <v>43916.708333333336</v>
      </c>
      <c r="B673" s="13" t="s">
        <v>23</v>
      </c>
      <c r="C673" s="2">
        <v>5</v>
      </c>
      <c r="D673" s="13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3" t="s">
        <v>27</v>
      </c>
      <c r="S673" s="13" t="s">
        <v>27</v>
      </c>
    </row>
    <row r="674" spans="1:19" hidden="1" x14ac:dyDescent="0.3">
      <c r="A674" s="14">
        <v>43917.708333333336</v>
      </c>
      <c r="B674" s="13" t="s">
        <v>23</v>
      </c>
      <c r="C674" s="2">
        <v>13</v>
      </c>
      <c r="D674" s="13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3" t="s">
        <v>27</v>
      </c>
      <c r="S674" s="13" t="s">
        <v>27</v>
      </c>
    </row>
    <row r="675" spans="1:19" hidden="1" x14ac:dyDescent="0.3">
      <c r="A675" s="14">
        <v>43917.708333333336</v>
      </c>
      <c r="B675" s="13" t="s">
        <v>23</v>
      </c>
      <c r="C675" s="2">
        <v>17</v>
      </c>
      <c r="D675" s="13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3" t="s">
        <v>27</v>
      </c>
      <c r="S675" s="13" t="s">
        <v>27</v>
      </c>
    </row>
    <row r="676" spans="1:19" hidden="1" x14ac:dyDescent="0.3">
      <c r="A676" s="14">
        <v>43917.708333333336</v>
      </c>
      <c r="B676" s="13" t="s">
        <v>23</v>
      </c>
      <c r="C676" s="2">
        <v>4</v>
      </c>
      <c r="D676" s="13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3" t="s">
        <v>27</v>
      </c>
      <c r="S676" s="13" t="s">
        <v>27</v>
      </c>
    </row>
    <row r="677" spans="1:19" hidden="1" x14ac:dyDescent="0.3">
      <c r="A677" s="14">
        <v>43917.708333333336</v>
      </c>
      <c r="B677" s="13" t="s">
        <v>23</v>
      </c>
      <c r="C677" s="2">
        <v>18</v>
      </c>
      <c r="D677" s="13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3" t="s">
        <v>27</v>
      </c>
      <c r="S677" s="13" t="s">
        <v>27</v>
      </c>
    </row>
    <row r="678" spans="1:19" hidden="1" x14ac:dyDescent="0.3">
      <c r="A678" s="14">
        <v>43917.708333333336</v>
      </c>
      <c r="B678" s="13" t="s">
        <v>23</v>
      </c>
      <c r="C678" s="2">
        <v>15</v>
      </c>
      <c r="D678" s="13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3" t="s">
        <v>27</v>
      </c>
      <c r="S678" s="13" t="s">
        <v>27</v>
      </c>
    </row>
    <row r="679" spans="1:19" hidden="1" x14ac:dyDescent="0.3">
      <c r="A679" s="14">
        <v>43917.708333333336</v>
      </c>
      <c r="B679" s="13" t="s">
        <v>23</v>
      </c>
      <c r="C679" s="2">
        <v>8</v>
      </c>
      <c r="D679" s="13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3" t="s">
        <v>27</v>
      </c>
      <c r="S679" s="13" t="s">
        <v>27</v>
      </c>
    </row>
    <row r="680" spans="1:19" hidden="1" x14ac:dyDescent="0.3">
      <c r="A680" s="14">
        <v>43917.708333333336</v>
      </c>
      <c r="B680" s="13" t="s">
        <v>23</v>
      </c>
      <c r="C680" s="2">
        <v>6</v>
      </c>
      <c r="D680" s="13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3" t="s">
        <v>27</v>
      </c>
      <c r="S680" s="13" t="s">
        <v>27</v>
      </c>
    </row>
    <row r="681" spans="1:19" hidden="1" x14ac:dyDescent="0.3">
      <c r="A681" s="14">
        <v>43917.708333333336</v>
      </c>
      <c r="B681" s="13" t="s">
        <v>23</v>
      </c>
      <c r="C681" s="2">
        <v>12</v>
      </c>
      <c r="D681" s="13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3" t="s">
        <v>27</v>
      </c>
      <c r="S681" s="13" t="s">
        <v>27</v>
      </c>
    </row>
    <row r="682" spans="1:19" hidden="1" x14ac:dyDescent="0.3">
      <c r="A682" s="14">
        <v>43917.708333333336</v>
      </c>
      <c r="B682" s="13" t="s">
        <v>23</v>
      </c>
      <c r="C682" s="2">
        <v>7</v>
      </c>
      <c r="D682" s="13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3" t="s">
        <v>27</v>
      </c>
      <c r="S682" s="13" t="s">
        <v>27</v>
      </c>
    </row>
    <row r="683" spans="1:19" x14ac:dyDescent="0.3">
      <c r="A683" s="14">
        <v>43917.708333333336</v>
      </c>
      <c r="B683" s="13" t="s">
        <v>23</v>
      </c>
      <c r="C683" s="2">
        <v>3</v>
      </c>
      <c r="D683" s="13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3" t="s">
        <v>27</v>
      </c>
      <c r="S683" s="13" t="s">
        <v>27</v>
      </c>
    </row>
    <row r="684" spans="1:19" hidden="1" x14ac:dyDescent="0.3">
      <c r="A684" s="14">
        <v>43917.708333333336</v>
      </c>
      <c r="B684" s="13" t="s">
        <v>23</v>
      </c>
      <c r="C684" s="2">
        <v>11</v>
      </c>
      <c r="D684" s="13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3" t="s">
        <v>27</v>
      </c>
      <c r="S684" s="13" t="s">
        <v>27</v>
      </c>
    </row>
    <row r="685" spans="1:19" hidden="1" x14ac:dyDescent="0.3">
      <c r="A685" s="14">
        <v>43917.708333333336</v>
      </c>
      <c r="B685" s="13" t="s">
        <v>23</v>
      </c>
      <c r="C685" s="2">
        <v>14</v>
      </c>
      <c r="D685" s="13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3" t="s">
        <v>27</v>
      </c>
      <c r="S685" s="13" t="s">
        <v>27</v>
      </c>
    </row>
    <row r="686" spans="1:19" hidden="1" x14ac:dyDescent="0.3">
      <c r="A686" s="14">
        <v>43917.708333333336</v>
      </c>
      <c r="B686" s="13" t="s">
        <v>23</v>
      </c>
      <c r="C686" s="2">
        <v>1</v>
      </c>
      <c r="D686" s="13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3" t="s">
        <v>27</v>
      </c>
      <c r="S686" s="13" t="s">
        <v>27</v>
      </c>
    </row>
    <row r="687" spans="1:19" hidden="1" x14ac:dyDescent="0.3">
      <c r="A687" s="14">
        <v>43917.708333333336</v>
      </c>
      <c r="B687" s="13" t="s">
        <v>23</v>
      </c>
      <c r="C687" s="2">
        <v>16</v>
      </c>
      <c r="D687" s="13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3" t="s">
        <v>27</v>
      </c>
      <c r="S687" s="13" t="s">
        <v>27</v>
      </c>
    </row>
    <row r="688" spans="1:19" hidden="1" x14ac:dyDescent="0.3">
      <c r="A688" s="14">
        <v>43917.708333333336</v>
      </c>
      <c r="B688" s="13" t="s">
        <v>23</v>
      </c>
      <c r="C688" s="2">
        <v>20</v>
      </c>
      <c r="D688" s="13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3" t="s">
        <v>27</v>
      </c>
      <c r="S688" s="13" t="s">
        <v>27</v>
      </c>
    </row>
    <row r="689" spans="1:19" hidden="1" x14ac:dyDescent="0.3">
      <c r="A689" s="14">
        <v>43917.708333333336</v>
      </c>
      <c r="B689" s="13" t="s">
        <v>23</v>
      </c>
      <c r="C689" s="2">
        <v>19</v>
      </c>
      <c r="D689" s="13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3" t="s">
        <v>27</v>
      </c>
      <c r="S689" s="13" t="s">
        <v>27</v>
      </c>
    </row>
    <row r="690" spans="1:19" hidden="1" x14ac:dyDescent="0.3">
      <c r="A690" s="14">
        <v>43917.708333333336</v>
      </c>
      <c r="B690" s="13" t="s">
        <v>23</v>
      </c>
      <c r="C690" s="2">
        <v>9</v>
      </c>
      <c r="D690" s="13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3" t="s">
        <v>27</v>
      </c>
      <c r="S690" s="13" t="s">
        <v>27</v>
      </c>
    </row>
    <row r="691" spans="1:19" hidden="1" x14ac:dyDescent="0.3">
      <c r="A691" s="14">
        <v>43917.708333333336</v>
      </c>
      <c r="B691" s="13" t="s">
        <v>23</v>
      </c>
      <c r="C691" s="2">
        <v>4</v>
      </c>
      <c r="D691" s="13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3" t="s">
        <v>27</v>
      </c>
      <c r="S691" s="13" t="s">
        <v>27</v>
      </c>
    </row>
    <row r="692" spans="1:19" hidden="1" x14ac:dyDescent="0.3">
      <c r="A692" s="14">
        <v>43917.708333333336</v>
      </c>
      <c r="B692" s="13" t="s">
        <v>23</v>
      </c>
      <c r="C692" s="2">
        <v>10</v>
      </c>
      <c r="D692" s="13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3" t="s">
        <v>27</v>
      </c>
      <c r="S692" s="13" t="s">
        <v>27</v>
      </c>
    </row>
    <row r="693" spans="1:19" hidden="1" x14ac:dyDescent="0.3">
      <c r="A693" s="14">
        <v>43917.708333333336</v>
      </c>
      <c r="B693" s="13" t="s">
        <v>23</v>
      </c>
      <c r="C693" s="2">
        <v>2</v>
      </c>
      <c r="D693" s="13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3" t="s">
        <v>27</v>
      </c>
      <c r="S693" s="13" t="s">
        <v>27</v>
      </c>
    </row>
    <row r="694" spans="1:19" hidden="1" x14ac:dyDescent="0.3">
      <c r="A694" s="14">
        <v>43917.708333333336</v>
      </c>
      <c r="B694" s="13" t="s">
        <v>23</v>
      </c>
      <c r="C694" s="2">
        <v>5</v>
      </c>
      <c r="D694" s="13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3" t="s">
        <v>27</v>
      </c>
      <c r="S694" s="13" t="s">
        <v>27</v>
      </c>
    </row>
    <row r="695" spans="1:19" hidden="1" x14ac:dyDescent="0.3">
      <c r="A695" s="14">
        <v>43918.708333333336</v>
      </c>
      <c r="B695" s="13" t="s">
        <v>23</v>
      </c>
      <c r="C695" s="2">
        <v>13</v>
      </c>
      <c r="D695" s="13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3" t="s">
        <v>27</v>
      </c>
      <c r="S695" s="13" t="s">
        <v>27</v>
      </c>
    </row>
    <row r="696" spans="1:19" hidden="1" x14ac:dyDescent="0.3">
      <c r="A696" s="14">
        <v>43918.708333333336</v>
      </c>
      <c r="B696" s="13" t="s">
        <v>23</v>
      </c>
      <c r="C696" s="2">
        <v>17</v>
      </c>
      <c r="D696" s="13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3" t="s">
        <v>27</v>
      </c>
      <c r="S696" s="13" t="s">
        <v>27</v>
      </c>
    </row>
    <row r="697" spans="1:19" hidden="1" x14ac:dyDescent="0.3">
      <c r="A697" s="14">
        <v>43918.708333333336</v>
      </c>
      <c r="B697" s="13" t="s">
        <v>23</v>
      </c>
      <c r="C697" s="2">
        <v>4</v>
      </c>
      <c r="D697" s="13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3" t="s">
        <v>27</v>
      </c>
      <c r="S697" s="13" t="s">
        <v>27</v>
      </c>
    </row>
    <row r="698" spans="1:19" hidden="1" x14ac:dyDescent="0.3">
      <c r="A698" s="14">
        <v>43918.708333333336</v>
      </c>
      <c r="B698" s="13" t="s">
        <v>23</v>
      </c>
      <c r="C698" s="2">
        <v>18</v>
      </c>
      <c r="D698" s="13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3" t="s">
        <v>27</v>
      </c>
      <c r="S698" s="13" t="s">
        <v>27</v>
      </c>
    </row>
    <row r="699" spans="1:19" hidden="1" x14ac:dyDescent="0.3">
      <c r="A699" s="14">
        <v>43918.708333333336</v>
      </c>
      <c r="B699" s="13" t="s">
        <v>23</v>
      </c>
      <c r="C699" s="2">
        <v>15</v>
      </c>
      <c r="D699" s="13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3" t="s">
        <v>27</v>
      </c>
      <c r="S699" s="13" t="s">
        <v>27</v>
      </c>
    </row>
    <row r="700" spans="1:19" hidden="1" x14ac:dyDescent="0.3">
      <c r="A700" s="14">
        <v>43918.708333333336</v>
      </c>
      <c r="B700" s="13" t="s">
        <v>23</v>
      </c>
      <c r="C700" s="2">
        <v>8</v>
      </c>
      <c r="D700" s="13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3" t="s">
        <v>27</v>
      </c>
      <c r="S700" s="13" t="s">
        <v>27</v>
      </c>
    </row>
    <row r="701" spans="1:19" hidden="1" x14ac:dyDescent="0.3">
      <c r="A701" s="14">
        <v>43918.708333333336</v>
      </c>
      <c r="B701" s="13" t="s">
        <v>23</v>
      </c>
      <c r="C701" s="2">
        <v>6</v>
      </c>
      <c r="D701" s="13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3" t="s">
        <v>27</v>
      </c>
      <c r="S701" s="13" t="s">
        <v>27</v>
      </c>
    </row>
    <row r="702" spans="1:19" hidden="1" x14ac:dyDescent="0.3">
      <c r="A702" s="14">
        <v>43918.708333333336</v>
      </c>
      <c r="B702" s="13" t="s">
        <v>23</v>
      </c>
      <c r="C702" s="2">
        <v>12</v>
      </c>
      <c r="D702" s="13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3" t="s">
        <v>27</v>
      </c>
      <c r="S702" s="13" t="s">
        <v>27</v>
      </c>
    </row>
    <row r="703" spans="1:19" hidden="1" x14ac:dyDescent="0.3">
      <c r="A703" s="14">
        <v>43918.708333333336</v>
      </c>
      <c r="B703" s="13" t="s">
        <v>23</v>
      </c>
      <c r="C703" s="2">
        <v>7</v>
      </c>
      <c r="D703" s="13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3" t="s">
        <v>27</v>
      </c>
      <c r="S703" s="13" t="s">
        <v>27</v>
      </c>
    </row>
    <row r="704" spans="1:19" x14ac:dyDescent="0.3">
      <c r="A704" s="14">
        <v>43918.708333333336</v>
      </c>
      <c r="B704" s="13" t="s">
        <v>23</v>
      </c>
      <c r="C704" s="2">
        <v>3</v>
      </c>
      <c r="D704" s="13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3" t="s">
        <v>27</v>
      </c>
      <c r="S704" s="13" t="s">
        <v>27</v>
      </c>
    </row>
    <row r="705" spans="1:19" hidden="1" x14ac:dyDescent="0.3">
      <c r="A705" s="14">
        <v>43918.708333333336</v>
      </c>
      <c r="B705" s="13" t="s">
        <v>23</v>
      </c>
      <c r="C705" s="2">
        <v>11</v>
      </c>
      <c r="D705" s="13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3" t="s">
        <v>27</v>
      </c>
      <c r="S705" s="13" t="s">
        <v>27</v>
      </c>
    </row>
    <row r="706" spans="1:19" hidden="1" x14ac:dyDescent="0.3">
      <c r="A706" s="14">
        <v>43918.708333333336</v>
      </c>
      <c r="B706" s="13" t="s">
        <v>23</v>
      </c>
      <c r="C706" s="2">
        <v>14</v>
      </c>
      <c r="D706" s="13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3" t="s">
        <v>27</v>
      </c>
      <c r="S706" s="13" t="s">
        <v>27</v>
      </c>
    </row>
    <row r="707" spans="1:19" hidden="1" x14ac:dyDescent="0.3">
      <c r="A707" s="14">
        <v>43918.708333333336</v>
      </c>
      <c r="B707" s="13" t="s">
        <v>23</v>
      </c>
      <c r="C707" s="2">
        <v>1</v>
      </c>
      <c r="D707" s="13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3" t="s">
        <v>27</v>
      </c>
      <c r="S707" s="13" t="s">
        <v>27</v>
      </c>
    </row>
    <row r="708" spans="1:19" hidden="1" x14ac:dyDescent="0.3">
      <c r="A708" s="14">
        <v>43918.708333333336</v>
      </c>
      <c r="B708" s="13" t="s">
        <v>23</v>
      </c>
      <c r="C708" s="2">
        <v>16</v>
      </c>
      <c r="D708" s="13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3" t="s">
        <v>27</v>
      </c>
      <c r="S708" s="13" t="s">
        <v>27</v>
      </c>
    </row>
    <row r="709" spans="1:19" hidden="1" x14ac:dyDescent="0.3">
      <c r="A709" s="14">
        <v>43918.708333333336</v>
      </c>
      <c r="B709" s="13" t="s">
        <v>23</v>
      </c>
      <c r="C709" s="2">
        <v>20</v>
      </c>
      <c r="D709" s="13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3" t="s">
        <v>27</v>
      </c>
      <c r="S709" s="13" t="s">
        <v>27</v>
      </c>
    </row>
    <row r="710" spans="1:19" hidden="1" x14ac:dyDescent="0.3">
      <c r="A710" s="14">
        <v>43918.708333333336</v>
      </c>
      <c r="B710" s="13" t="s">
        <v>23</v>
      </c>
      <c r="C710" s="2">
        <v>19</v>
      </c>
      <c r="D710" s="13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3" t="s">
        <v>27</v>
      </c>
      <c r="S710" s="13" t="s">
        <v>27</v>
      </c>
    </row>
    <row r="711" spans="1:19" hidden="1" x14ac:dyDescent="0.3">
      <c r="A711" s="14">
        <v>43918.708333333336</v>
      </c>
      <c r="B711" s="13" t="s">
        <v>23</v>
      </c>
      <c r="C711" s="2">
        <v>9</v>
      </c>
      <c r="D711" s="13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3" t="s">
        <v>27</v>
      </c>
      <c r="S711" s="13" t="s">
        <v>27</v>
      </c>
    </row>
    <row r="712" spans="1:19" hidden="1" x14ac:dyDescent="0.3">
      <c r="A712" s="14">
        <v>43918.708333333336</v>
      </c>
      <c r="B712" s="13" t="s">
        <v>23</v>
      </c>
      <c r="C712" s="2">
        <v>4</v>
      </c>
      <c r="D712" s="13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3" t="s">
        <v>27</v>
      </c>
      <c r="S712" s="13" t="s">
        <v>27</v>
      </c>
    </row>
    <row r="713" spans="1:19" hidden="1" x14ac:dyDescent="0.3">
      <c r="A713" s="14">
        <v>43918.708333333336</v>
      </c>
      <c r="B713" s="13" t="s">
        <v>23</v>
      </c>
      <c r="C713" s="2">
        <v>10</v>
      </c>
      <c r="D713" s="13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3" t="s">
        <v>27</v>
      </c>
      <c r="S713" s="13" t="s">
        <v>27</v>
      </c>
    </row>
    <row r="714" spans="1:19" hidden="1" x14ac:dyDescent="0.3">
      <c r="A714" s="14">
        <v>43918.708333333336</v>
      </c>
      <c r="B714" s="13" t="s">
        <v>23</v>
      </c>
      <c r="C714" s="2">
        <v>2</v>
      </c>
      <c r="D714" s="13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3" t="s">
        <v>27</v>
      </c>
      <c r="S714" s="13" t="s">
        <v>27</v>
      </c>
    </row>
    <row r="715" spans="1:19" hidden="1" x14ac:dyDescent="0.3">
      <c r="A715" s="14">
        <v>43918.708333333336</v>
      </c>
      <c r="B715" s="13" t="s">
        <v>23</v>
      </c>
      <c r="C715" s="2">
        <v>5</v>
      </c>
      <c r="D715" s="13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3" t="s">
        <v>27</v>
      </c>
      <c r="S715" s="13" t="s">
        <v>27</v>
      </c>
    </row>
    <row r="716" spans="1:19" hidden="1" x14ac:dyDescent="0.3">
      <c r="A716" s="14">
        <v>43919.708333333336</v>
      </c>
      <c r="B716" s="13" t="s">
        <v>23</v>
      </c>
      <c r="C716" s="2">
        <v>13</v>
      </c>
      <c r="D716" s="13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3" t="s">
        <v>27</v>
      </c>
      <c r="S716" s="13" t="s">
        <v>27</v>
      </c>
    </row>
    <row r="717" spans="1:19" hidden="1" x14ac:dyDescent="0.3">
      <c r="A717" s="14">
        <v>43919.708333333336</v>
      </c>
      <c r="B717" s="13" t="s">
        <v>23</v>
      </c>
      <c r="C717" s="2">
        <v>17</v>
      </c>
      <c r="D717" s="13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3" t="s">
        <v>27</v>
      </c>
      <c r="S717" s="13" t="s">
        <v>27</v>
      </c>
    </row>
    <row r="718" spans="1:19" hidden="1" x14ac:dyDescent="0.3">
      <c r="A718" s="14">
        <v>43919.708333333336</v>
      </c>
      <c r="B718" s="13" t="s">
        <v>23</v>
      </c>
      <c r="C718" s="2">
        <v>4</v>
      </c>
      <c r="D718" s="13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3" t="s">
        <v>27</v>
      </c>
      <c r="S718" s="13" t="s">
        <v>27</v>
      </c>
    </row>
    <row r="719" spans="1:19" hidden="1" x14ac:dyDescent="0.3">
      <c r="A719" s="14">
        <v>43919.708333333336</v>
      </c>
      <c r="B719" s="13" t="s">
        <v>23</v>
      </c>
      <c r="C719" s="2">
        <v>18</v>
      </c>
      <c r="D719" s="13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3" t="s">
        <v>27</v>
      </c>
      <c r="S719" s="13" t="s">
        <v>27</v>
      </c>
    </row>
    <row r="720" spans="1:19" hidden="1" x14ac:dyDescent="0.3">
      <c r="A720" s="14">
        <v>43919.708333333336</v>
      </c>
      <c r="B720" s="13" t="s">
        <v>23</v>
      </c>
      <c r="C720" s="2">
        <v>15</v>
      </c>
      <c r="D720" s="13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3" t="s">
        <v>27</v>
      </c>
      <c r="S720" s="13" t="s">
        <v>27</v>
      </c>
    </row>
    <row r="721" spans="1:19" hidden="1" x14ac:dyDescent="0.3">
      <c r="A721" s="14">
        <v>43919.708333333336</v>
      </c>
      <c r="B721" s="13" t="s">
        <v>23</v>
      </c>
      <c r="C721" s="2">
        <v>8</v>
      </c>
      <c r="D721" s="13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3" t="s">
        <v>99</v>
      </c>
      <c r="S721" s="13" t="s">
        <v>100</v>
      </c>
    </row>
    <row r="722" spans="1:19" hidden="1" x14ac:dyDescent="0.3">
      <c r="A722" s="14">
        <v>43919.708333333336</v>
      </c>
      <c r="B722" s="13" t="s">
        <v>23</v>
      </c>
      <c r="C722" s="2">
        <v>6</v>
      </c>
      <c r="D722" s="13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3" t="s">
        <v>27</v>
      </c>
      <c r="S722" s="13" t="s">
        <v>27</v>
      </c>
    </row>
    <row r="723" spans="1:19" hidden="1" x14ac:dyDescent="0.3">
      <c r="A723" s="14">
        <v>43919.708333333336</v>
      </c>
      <c r="B723" s="13" t="s">
        <v>23</v>
      </c>
      <c r="C723" s="2">
        <v>12</v>
      </c>
      <c r="D723" s="13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3" t="s">
        <v>27</v>
      </c>
      <c r="S723" s="13" t="s">
        <v>27</v>
      </c>
    </row>
    <row r="724" spans="1:19" hidden="1" x14ac:dyDescent="0.3">
      <c r="A724" s="14">
        <v>43919.708333333336</v>
      </c>
      <c r="B724" s="13" t="s">
        <v>23</v>
      </c>
      <c r="C724" s="2">
        <v>7</v>
      </c>
      <c r="D724" s="13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3" t="s">
        <v>27</v>
      </c>
      <c r="S724" s="13" t="s">
        <v>27</v>
      </c>
    </row>
    <row r="725" spans="1:19" x14ac:dyDescent="0.3">
      <c r="A725" s="14">
        <v>43919.708333333336</v>
      </c>
      <c r="B725" s="13" t="s">
        <v>23</v>
      </c>
      <c r="C725" s="2">
        <v>3</v>
      </c>
      <c r="D725" s="13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3" t="s">
        <v>27</v>
      </c>
      <c r="S725" s="13" t="s">
        <v>27</v>
      </c>
    </row>
    <row r="726" spans="1:19" hidden="1" x14ac:dyDescent="0.3">
      <c r="A726" s="14">
        <v>43919.708333333336</v>
      </c>
      <c r="B726" s="13" t="s">
        <v>23</v>
      </c>
      <c r="C726" s="2">
        <v>11</v>
      </c>
      <c r="D726" s="13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3" t="s">
        <v>27</v>
      </c>
      <c r="S726" s="13" t="s">
        <v>27</v>
      </c>
    </row>
    <row r="727" spans="1:19" hidden="1" x14ac:dyDescent="0.3">
      <c r="A727" s="14">
        <v>43919.708333333336</v>
      </c>
      <c r="B727" s="13" t="s">
        <v>23</v>
      </c>
      <c r="C727" s="2">
        <v>14</v>
      </c>
      <c r="D727" s="13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3" t="s">
        <v>27</v>
      </c>
      <c r="S727" s="13" t="s">
        <v>27</v>
      </c>
    </row>
    <row r="728" spans="1:19" hidden="1" x14ac:dyDescent="0.3">
      <c r="A728" s="14">
        <v>43919.708333333336</v>
      </c>
      <c r="B728" s="13" t="s">
        <v>23</v>
      </c>
      <c r="C728" s="2">
        <v>1</v>
      </c>
      <c r="D728" s="13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3" t="s">
        <v>27</v>
      </c>
      <c r="S728" s="13" t="s">
        <v>27</v>
      </c>
    </row>
    <row r="729" spans="1:19" hidden="1" x14ac:dyDescent="0.3">
      <c r="A729" s="14">
        <v>43919.708333333336</v>
      </c>
      <c r="B729" s="13" t="s">
        <v>23</v>
      </c>
      <c r="C729" s="2">
        <v>16</v>
      </c>
      <c r="D729" s="13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3" t="s">
        <v>27</v>
      </c>
      <c r="S729" s="13" t="s">
        <v>27</v>
      </c>
    </row>
    <row r="730" spans="1:19" hidden="1" x14ac:dyDescent="0.3">
      <c r="A730" s="14">
        <v>43919.708333333336</v>
      </c>
      <c r="B730" s="13" t="s">
        <v>23</v>
      </c>
      <c r="C730" s="2">
        <v>20</v>
      </c>
      <c r="D730" s="13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3" t="s">
        <v>27</v>
      </c>
      <c r="S730" s="13" t="s">
        <v>27</v>
      </c>
    </row>
    <row r="731" spans="1:19" hidden="1" x14ac:dyDescent="0.3">
      <c r="A731" s="14">
        <v>43919.708333333336</v>
      </c>
      <c r="B731" s="13" t="s">
        <v>23</v>
      </c>
      <c r="C731" s="2">
        <v>19</v>
      </c>
      <c r="D731" s="13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3" t="s">
        <v>27</v>
      </c>
      <c r="S731" s="13" t="s">
        <v>27</v>
      </c>
    </row>
    <row r="732" spans="1:19" hidden="1" x14ac:dyDescent="0.3">
      <c r="A732" s="14">
        <v>43919.708333333336</v>
      </c>
      <c r="B732" s="13" t="s">
        <v>23</v>
      </c>
      <c r="C732" s="2">
        <v>9</v>
      </c>
      <c r="D732" s="13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3" t="s">
        <v>27</v>
      </c>
      <c r="S732" s="13" t="s">
        <v>27</v>
      </c>
    </row>
    <row r="733" spans="1:19" hidden="1" x14ac:dyDescent="0.3">
      <c r="A733" s="14">
        <v>43919.708333333336</v>
      </c>
      <c r="B733" s="13" t="s">
        <v>23</v>
      </c>
      <c r="C733" s="2">
        <v>4</v>
      </c>
      <c r="D733" s="13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3" t="s">
        <v>27</v>
      </c>
      <c r="S733" s="13" t="s">
        <v>27</v>
      </c>
    </row>
    <row r="734" spans="1:19" hidden="1" x14ac:dyDescent="0.3">
      <c r="A734" s="14">
        <v>43919.708333333336</v>
      </c>
      <c r="B734" s="13" t="s">
        <v>23</v>
      </c>
      <c r="C734" s="2">
        <v>10</v>
      </c>
      <c r="D734" s="13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3" t="s">
        <v>27</v>
      </c>
      <c r="S734" s="13" t="s">
        <v>27</v>
      </c>
    </row>
    <row r="735" spans="1:19" hidden="1" x14ac:dyDescent="0.3">
      <c r="A735" s="14">
        <v>43919.708333333336</v>
      </c>
      <c r="B735" s="13" t="s">
        <v>23</v>
      </c>
      <c r="C735" s="2">
        <v>2</v>
      </c>
      <c r="D735" s="13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3" t="s">
        <v>27</v>
      </c>
      <c r="S735" s="13" t="s">
        <v>27</v>
      </c>
    </row>
    <row r="736" spans="1:19" hidden="1" x14ac:dyDescent="0.3">
      <c r="A736" s="14">
        <v>43919.708333333336</v>
      </c>
      <c r="B736" s="13" t="s">
        <v>23</v>
      </c>
      <c r="C736" s="2">
        <v>5</v>
      </c>
      <c r="D736" s="13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3" t="s">
        <v>27</v>
      </c>
      <c r="S736" s="13" t="s">
        <v>27</v>
      </c>
    </row>
    <row r="737" spans="1:19" hidden="1" x14ac:dyDescent="0.3">
      <c r="A737" s="14">
        <v>43920.708333333336</v>
      </c>
      <c r="B737" s="13" t="s">
        <v>23</v>
      </c>
      <c r="C737" s="2">
        <v>13</v>
      </c>
      <c r="D737" s="13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3" t="s">
        <v>27</v>
      </c>
      <c r="S737" s="13" t="s">
        <v>27</v>
      </c>
    </row>
    <row r="738" spans="1:19" hidden="1" x14ac:dyDescent="0.3">
      <c r="A738" s="14">
        <v>43920.708333333336</v>
      </c>
      <c r="B738" s="13" t="s">
        <v>23</v>
      </c>
      <c r="C738" s="2">
        <v>17</v>
      </c>
      <c r="D738" s="13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3" t="s">
        <v>27</v>
      </c>
      <c r="S738" s="13" t="s">
        <v>27</v>
      </c>
    </row>
    <row r="739" spans="1:19" hidden="1" x14ac:dyDescent="0.3">
      <c r="A739" s="14">
        <v>43920.708333333336</v>
      </c>
      <c r="B739" s="13" t="s">
        <v>23</v>
      </c>
      <c r="C739" s="2">
        <v>4</v>
      </c>
      <c r="D739" s="13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3" t="s">
        <v>27</v>
      </c>
      <c r="S739" s="13" t="s">
        <v>27</v>
      </c>
    </row>
    <row r="740" spans="1:19" hidden="1" x14ac:dyDescent="0.3">
      <c r="A740" s="14">
        <v>43920.708333333336</v>
      </c>
      <c r="B740" s="13" t="s">
        <v>23</v>
      </c>
      <c r="C740" s="2">
        <v>18</v>
      </c>
      <c r="D740" s="13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3" t="s">
        <v>27</v>
      </c>
      <c r="S740" s="13" t="s">
        <v>27</v>
      </c>
    </row>
    <row r="741" spans="1:19" hidden="1" x14ac:dyDescent="0.3">
      <c r="A741" s="14">
        <v>43920.708333333336</v>
      </c>
      <c r="B741" s="13" t="s">
        <v>23</v>
      </c>
      <c r="C741" s="2">
        <v>15</v>
      </c>
      <c r="D741" s="13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3" t="s">
        <v>27</v>
      </c>
      <c r="S741" s="13" t="s">
        <v>27</v>
      </c>
    </row>
    <row r="742" spans="1:19" hidden="1" x14ac:dyDescent="0.3">
      <c r="A742" s="14">
        <v>43920.708333333336</v>
      </c>
      <c r="B742" s="13" t="s">
        <v>23</v>
      </c>
      <c r="C742" s="2">
        <v>8</v>
      </c>
      <c r="D742" s="13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3" t="s">
        <v>27</v>
      </c>
      <c r="S742" s="13" t="s">
        <v>27</v>
      </c>
    </row>
    <row r="743" spans="1:19" hidden="1" x14ac:dyDescent="0.3">
      <c r="A743" s="14">
        <v>43920.708333333336</v>
      </c>
      <c r="B743" s="13" t="s">
        <v>23</v>
      </c>
      <c r="C743" s="2">
        <v>6</v>
      </c>
      <c r="D743" s="13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3" t="s">
        <v>27</v>
      </c>
      <c r="S743" s="13" t="s">
        <v>27</v>
      </c>
    </row>
    <row r="744" spans="1:19" hidden="1" x14ac:dyDescent="0.3">
      <c r="A744" s="14">
        <v>43920.708333333336</v>
      </c>
      <c r="B744" s="13" t="s">
        <v>23</v>
      </c>
      <c r="C744" s="2">
        <v>12</v>
      </c>
      <c r="D744" s="13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3" t="s">
        <v>27</v>
      </c>
      <c r="S744" s="13" t="s">
        <v>27</v>
      </c>
    </row>
    <row r="745" spans="1:19" hidden="1" x14ac:dyDescent="0.3">
      <c r="A745" s="14">
        <v>43920.708333333336</v>
      </c>
      <c r="B745" s="13" t="s">
        <v>23</v>
      </c>
      <c r="C745" s="2">
        <v>7</v>
      </c>
      <c r="D745" s="13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3" t="s">
        <v>27</v>
      </c>
      <c r="S745" s="13" t="s">
        <v>27</v>
      </c>
    </row>
    <row r="746" spans="1:19" x14ac:dyDescent="0.3">
      <c r="A746" s="14">
        <v>43920.708333333336</v>
      </c>
      <c r="B746" s="13" t="s">
        <v>23</v>
      </c>
      <c r="C746" s="2">
        <v>3</v>
      </c>
      <c r="D746" s="13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3" t="s">
        <v>27</v>
      </c>
      <c r="S746" s="13" t="s">
        <v>27</v>
      </c>
    </row>
    <row r="747" spans="1:19" hidden="1" x14ac:dyDescent="0.3">
      <c r="A747" s="14">
        <v>43920.708333333336</v>
      </c>
      <c r="B747" s="13" t="s">
        <v>23</v>
      </c>
      <c r="C747" s="2">
        <v>11</v>
      </c>
      <c r="D747" s="13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3" t="s">
        <v>27</v>
      </c>
      <c r="S747" s="13" t="s">
        <v>27</v>
      </c>
    </row>
    <row r="748" spans="1:19" hidden="1" x14ac:dyDescent="0.3">
      <c r="A748" s="14">
        <v>43920.708333333336</v>
      </c>
      <c r="B748" s="13" t="s">
        <v>23</v>
      </c>
      <c r="C748" s="2">
        <v>14</v>
      </c>
      <c r="D748" s="13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3" t="s">
        <v>27</v>
      </c>
      <c r="S748" s="13" t="s">
        <v>27</v>
      </c>
    </row>
    <row r="749" spans="1:19" hidden="1" x14ac:dyDescent="0.3">
      <c r="A749" s="14">
        <v>43920.708333333336</v>
      </c>
      <c r="B749" s="13" t="s">
        <v>23</v>
      </c>
      <c r="C749" s="2">
        <v>1</v>
      </c>
      <c r="D749" s="13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3" t="s">
        <v>27</v>
      </c>
      <c r="S749" s="13" t="s">
        <v>27</v>
      </c>
    </row>
    <row r="750" spans="1:19" hidden="1" x14ac:dyDescent="0.3">
      <c r="A750" s="14">
        <v>43920.708333333336</v>
      </c>
      <c r="B750" s="13" t="s">
        <v>23</v>
      </c>
      <c r="C750" s="2">
        <v>16</v>
      </c>
      <c r="D750" s="13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3" t="s">
        <v>27</v>
      </c>
      <c r="S750" s="13" t="s">
        <v>27</v>
      </c>
    </row>
    <row r="751" spans="1:19" hidden="1" x14ac:dyDescent="0.3">
      <c r="A751" s="14">
        <v>43920.708333333336</v>
      </c>
      <c r="B751" s="13" t="s">
        <v>23</v>
      </c>
      <c r="C751" s="2">
        <v>20</v>
      </c>
      <c r="D751" s="13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3" t="s">
        <v>27</v>
      </c>
      <c r="S751" s="13" t="s">
        <v>27</v>
      </c>
    </row>
    <row r="752" spans="1:19" hidden="1" x14ac:dyDescent="0.3">
      <c r="A752" s="14">
        <v>43920.708333333336</v>
      </c>
      <c r="B752" s="13" t="s">
        <v>23</v>
      </c>
      <c r="C752" s="2">
        <v>19</v>
      </c>
      <c r="D752" s="13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3" t="s">
        <v>27</v>
      </c>
      <c r="S752" s="13" t="s">
        <v>27</v>
      </c>
    </row>
    <row r="753" spans="1:19" hidden="1" x14ac:dyDescent="0.3">
      <c r="A753" s="14">
        <v>43920.708333333336</v>
      </c>
      <c r="B753" s="13" t="s">
        <v>23</v>
      </c>
      <c r="C753" s="2">
        <v>9</v>
      </c>
      <c r="D753" s="13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3" t="s">
        <v>27</v>
      </c>
      <c r="S753" s="13" t="s">
        <v>27</v>
      </c>
    </row>
    <row r="754" spans="1:19" hidden="1" x14ac:dyDescent="0.3">
      <c r="A754" s="14">
        <v>43920.708333333336</v>
      </c>
      <c r="B754" s="13" t="s">
        <v>23</v>
      </c>
      <c r="C754" s="2">
        <v>4</v>
      </c>
      <c r="D754" s="13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3" t="s">
        <v>27</v>
      </c>
      <c r="S754" s="13" t="s">
        <v>27</v>
      </c>
    </row>
    <row r="755" spans="1:19" hidden="1" x14ac:dyDescent="0.3">
      <c r="A755" s="14">
        <v>43920.708333333336</v>
      </c>
      <c r="B755" s="13" t="s">
        <v>23</v>
      </c>
      <c r="C755" s="2">
        <v>10</v>
      </c>
      <c r="D755" s="13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3" t="s">
        <v>27</v>
      </c>
      <c r="S755" s="13" t="s">
        <v>27</v>
      </c>
    </row>
    <row r="756" spans="1:19" hidden="1" x14ac:dyDescent="0.3">
      <c r="A756" s="14">
        <v>43920.708333333336</v>
      </c>
      <c r="B756" s="13" t="s">
        <v>23</v>
      </c>
      <c r="C756" s="2">
        <v>2</v>
      </c>
      <c r="D756" s="13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3" t="s">
        <v>27</v>
      </c>
      <c r="S756" s="13" t="s">
        <v>27</v>
      </c>
    </row>
    <row r="757" spans="1:19" hidden="1" x14ac:dyDescent="0.3">
      <c r="A757" s="14">
        <v>43920.708333333336</v>
      </c>
      <c r="B757" s="13" t="s">
        <v>23</v>
      </c>
      <c r="C757" s="2">
        <v>5</v>
      </c>
      <c r="D757" s="13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3" t="s">
        <v>27</v>
      </c>
      <c r="S757" s="13" t="s">
        <v>27</v>
      </c>
    </row>
    <row r="758" spans="1:19" hidden="1" x14ac:dyDescent="0.3">
      <c r="A758" s="14">
        <v>43921.708333333336</v>
      </c>
      <c r="B758" s="13" t="s">
        <v>23</v>
      </c>
      <c r="C758" s="2">
        <v>13</v>
      </c>
      <c r="D758" s="13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3" t="s">
        <v>27</v>
      </c>
      <c r="S758" s="13" t="s">
        <v>27</v>
      </c>
    </row>
    <row r="759" spans="1:19" hidden="1" x14ac:dyDescent="0.3">
      <c r="A759" s="14">
        <v>43921.708333333336</v>
      </c>
      <c r="B759" s="13" t="s">
        <v>23</v>
      </c>
      <c r="C759" s="2">
        <v>17</v>
      </c>
      <c r="D759" s="13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3" t="s">
        <v>27</v>
      </c>
      <c r="S759" s="13" t="s">
        <v>27</v>
      </c>
    </row>
    <row r="760" spans="1:19" hidden="1" x14ac:dyDescent="0.3">
      <c r="A760" s="14">
        <v>43921.708333333336</v>
      </c>
      <c r="B760" s="13" t="s">
        <v>23</v>
      </c>
      <c r="C760" s="2">
        <v>4</v>
      </c>
      <c r="D760" s="13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3" t="s">
        <v>27</v>
      </c>
      <c r="S760" s="13" t="s">
        <v>27</v>
      </c>
    </row>
    <row r="761" spans="1:19" hidden="1" x14ac:dyDescent="0.3">
      <c r="A761" s="14">
        <v>43921.708333333336</v>
      </c>
      <c r="B761" s="13" t="s">
        <v>23</v>
      </c>
      <c r="C761" s="2">
        <v>18</v>
      </c>
      <c r="D761" s="13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3" t="s">
        <v>27</v>
      </c>
      <c r="S761" s="13" t="s">
        <v>27</v>
      </c>
    </row>
    <row r="762" spans="1:19" hidden="1" x14ac:dyDescent="0.3">
      <c r="A762" s="14">
        <v>43921.708333333336</v>
      </c>
      <c r="B762" s="13" t="s">
        <v>23</v>
      </c>
      <c r="C762" s="2">
        <v>15</v>
      </c>
      <c r="D762" s="13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3" t="s">
        <v>27</v>
      </c>
      <c r="S762" s="13" t="s">
        <v>27</v>
      </c>
    </row>
    <row r="763" spans="1:19" hidden="1" x14ac:dyDescent="0.3">
      <c r="A763" s="14">
        <v>43921.708333333336</v>
      </c>
      <c r="B763" s="13" t="s">
        <v>23</v>
      </c>
      <c r="C763" s="2">
        <v>8</v>
      </c>
      <c r="D763" s="13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3" t="s">
        <v>27</v>
      </c>
      <c r="S763" s="13" t="s">
        <v>27</v>
      </c>
    </row>
    <row r="764" spans="1:19" hidden="1" x14ac:dyDescent="0.3">
      <c r="A764" s="14">
        <v>43921.708333333336</v>
      </c>
      <c r="B764" s="13" t="s">
        <v>23</v>
      </c>
      <c r="C764" s="2">
        <v>6</v>
      </c>
      <c r="D764" s="13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3" t="s">
        <v>27</v>
      </c>
      <c r="S764" s="13" t="s">
        <v>27</v>
      </c>
    </row>
    <row r="765" spans="1:19" hidden="1" x14ac:dyDescent="0.3">
      <c r="A765" s="14">
        <v>43921.708333333336</v>
      </c>
      <c r="B765" s="13" t="s">
        <v>23</v>
      </c>
      <c r="C765" s="2">
        <v>12</v>
      </c>
      <c r="D765" s="13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3" t="s">
        <v>27</v>
      </c>
      <c r="S765" s="13" t="s">
        <v>27</v>
      </c>
    </row>
    <row r="766" spans="1:19" hidden="1" x14ac:dyDescent="0.3">
      <c r="A766" s="14">
        <v>43921.708333333336</v>
      </c>
      <c r="B766" s="13" t="s">
        <v>23</v>
      </c>
      <c r="C766" s="2">
        <v>7</v>
      </c>
      <c r="D766" s="13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3" t="s">
        <v>27</v>
      </c>
      <c r="S766" s="13" t="s">
        <v>27</v>
      </c>
    </row>
    <row r="767" spans="1:19" x14ac:dyDescent="0.3">
      <c r="A767" s="14">
        <v>43921.708333333336</v>
      </c>
      <c r="B767" s="13" t="s">
        <v>23</v>
      </c>
      <c r="C767" s="2">
        <v>3</v>
      </c>
      <c r="D767" s="13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3" t="s">
        <v>27</v>
      </c>
      <c r="S767" s="13" t="s">
        <v>27</v>
      </c>
    </row>
    <row r="768" spans="1:19" hidden="1" x14ac:dyDescent="0.3">
      <c r="A768" s="14">
        <v>43921.708333333336</v>
      </c>
      <c r="B768" s="13" t="s">
        <v>23</v>
      </c>
      <c r="C768" s="2">
        <v>11</v>
      </c>
      <c r="D768" s="13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3" t="s">
        <v>27</v>
      </c>
      <c r="S768" s="13" t="s">
        <v>27</v>
      </c>
    </row>
    <row r="769" spans="1:19" hidden="1" x14ac:dyDescent="0.3">
      <c r="A769" s="14">
        <v>43921.708333333336</v>
      </c>
      <c r="B769" s="13" t="s">
        <v>23</v>
      </c>
      <c r="C769" s="2">
        <v>14</v>
      </c>
      <c r="D769" s="13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3" t="s">
        <v>27</v>
      </c>
      <c r="S769" s="13" t="s">
        <v>27</v>
      </c>
    </row>
    <row r="770" spans="1:19" hidden="1" x14ac:dyDescent="0.3">
      <c r="A770" s="14">
        <v>43921.708333333336</v>
      </c>
      <c r="B770" s="13" t="s">
        <v>23</v>
      </c>
      <c r="C770" s="2">
        <v>1</v>
      </c>
      <c r="D770" s="13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3" t="s">
        <v>27</v>
      </c>
      <c r="S770" s="13" t="s">
        <v>27</v>
      </c>
    </row>
    <row r="771" spans="1:19" hidden="1" x14ac:dyDescent="0.3">
      <c r="A771" s="14">
        <v>43921.708333333336</v>
      </c>
      <c r="B771" s="13" t="s">
        <v>23</v>
      </c>
      <c r="C771" s="2">
        <v>16</v>
      </c>
      <c r="D771" s="13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3" t="s">
        <v>27</v>
      </c>
      <c r="S771" s="13" t="s">
        <v>27</v>
      </c>
    </row>
    <row r="772" spans="1:19" hidden="1" x14ac:dyDescent="0.3">
      <c r="A772" s="14">
        <v>43921.708333333336</v>
      </c>
      <c r="B772" s="13" t="s">
        <v>23</v>
      </c>
      <c r="C772" s="2">
        <v>20</v>
      </c>
      <c r="D772" s="13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3" t="s">
        <v>27</v>
      </c>
      <c r="S772" s="13" t="s">
        <v>27</v>
      </c>
    </row>
    <row r="773" spans="1:19" hidden="1" x14ac:dyDescent="0.3">
      <c r="A773" s="14">
        <v>43921.708333333336</v>
      </c>
      <c r="B773" s="13" t="s">
        <v>23</v>
      </c>
      <c r="C773" s="2">
        <v>19</v>
      </c>
      <c r="D773" s="13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3" t="s">
        <v>27</v>
      </c>
      <c r="S773" s="13" t="s">
        <v>27</v>
      </c>
    </row>
    <row r="774" spans="1:19" hidden="1" x14ac:dyDescent="0.3">
      <c r="A774" s="14">
        <v>43921.708333333336</v>
      </c>
      <c r="B774" s="13" t="s">
        <v>23</v>
      </c>
      <c r="C774" s="2">
        <v>9</v>
      </c>
      <c r="D774" s="13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3" t="s">
        <v>27</v>
      </c>
      <c r="S774" s="13" t="s">
        <v>27</v>
      </c>
    </row>
    <row r="775" spans="1:19" hidden="1" x14ac:dyDescent="0.3">
      <c r="A775" s="14">
        <v>43921.708333333336</v>
      </c>
      <c r="B775" s="13" t="s">
        <v>23</v>
      </c>
      <c r="C775" s="2">
        <v>4</v>
      </c>
      <c r="D775" s="13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3" t="s">
        <v>27</v>
      </c>
      <c r="S775" s="13" t="s">
        <v>27</v>
      </c>
    </row>
    <row r="776" spans="1:19" hidden="1" x14ac:dyDescent="0.3">
      <c r="A776" s="14">
        <v>43921.708333333336</v>
      </c>
      <c r="B776" s="13" t="s">
        <v>23</v>
      </c>
      <c r="C776" s="2">
        <v>10</v>
      </c>
      <c r="D776" s="13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3" t="s">
        <v>27</v>
      </c>
      <c r="S776" s="13" t="s">
        <v>27</v>
      </c>
    </row>
    <row r="777" spans="1:19" hidden="1" x14ac:dyDescent="0.3">
      <c r="A777" s="14">
        <v>43921.708333333336</v>
      </c>
      <c r="B777" s="13" t="s">
        <v>23</v>
      </c>
      <c r="C777" s="2">
        <v>2</v>
      </c>
      <c r="D777" s="13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3" t="s">
        <v>27</v>
      </c>
      <c r="S777" s="13" t="s">
        <v>27</v>
      </c>
    </row>
    <row r="778" spans="1:19" hidden="1" x14ac:dyDescent="0.3">
      <c r="A778" s="14">
        <v>43921.708333333336</v>
      </c>
      <c r="B778" s="13" t="s">
        <v>23</v>
      </c>
      <c r="C778" s="2">
        <v>5</v>
      </c>
      <c r="D778" s="13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3" t="s">
        <v>27</v>
      </c>
      <c r="S778" s="13" t="s">
        <v>27</v>
      </c>
    </row>
    <row r="779" spans="1:19" hidden="1" x14ac:dyDescent="0.3">
      <c r="A779" s="14">
        <v>43922.708333333336</v>
      </c>
      <c r="B779" s="13" t="s">
        <v>23</v>
      </c>
      <c r="C779" s="2">
        <v>13</v>
      </c>
      <c r="D779" s="13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3" t="s">
        <v>27</v>
      </c>
      <c r="S779" s="13" t="s">
        <v>27</v>
      </c>
    </row>
    <row r="780" spans="1:19" hidden="1" x14ac:dyDescent="0.3">
      <c r="A780" s="14">
        <v>43922.708333333336</v>
      </c>
      <c r="B780" s="13" t="s">
        <v>23</v>
      </c>
      <c r="C780" s="2">
        <v>17</v>
      </c>
      <c r="D780" s="13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3" t="s">
        <v>27</v>
      </c>
      <c r="S780" s="13" t="s">
        <v>27</v>
      </c>
    </row>
    <row r="781" spans="1:19" hidden="1" x14ac:dyDescent="0.3">
      <c r="A781" s="14">
        <v>43922.708333333336</v>
      </c>
      <c r="B781" s="13" t="s">
        <v>23</v>
      </c>
      <c r="C781" s="2">
        <v>4</v>
      </c>
      <c r="D781" s="13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3" t="s">
        <v>27</v>
      </c>
      <c r="S781" s="13" t="s">
        <v>27</v>
      </c>
    </row>
    <row r="782" spans="1:19" hidden="1" x14ac:dyDescent="0.3">
      <c r="A782" s="14">
        <v>43922.708333333336</v>
      </c>
      <c r="B782" s="13" t="s">
        <v>23</v>
      </c>
      <c r="C782" s="2">
        <v>18</v>
      </c>
      <c r="D782" s="13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3" t="s">
        <v>27</v>
      </c>
      <c r="S782" s="13" t="s">
        <v>27</v>
      </c>
    </row>
    <row r="783" spans="1:19" hidden="1" x14ac:dyDescent="0.3">
      <c r="A783" s="14">
        <v>43922.708333333336</v>
      </c>
      <c r="B783" s="13" t="s">
        <v>23</v>
      </c>
      <c r="C783" s="2">
        <v>15</v>
      </c>
      <c r="D783" s="13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3" t="s">
        <v>27</v>
      </c>
      <c r="S783" s="13" t="s">
        <v>27</v>
      </c>
    </row>
    <row r="784" spans="1:19" hidden="1" x14ac:dyDescent="0.3">
      <c r="A784" s="14">
        <v>43922.708333333336</v>
      </c>
      <c r="B784" s="13" t="s">
        <v>23</v>
      </c>
      <c r="C784" s="2">
        <v>8</v>
      </c>
      <c r="D784" s="13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3" t="s">
        <v>27</v>
      </c>
      <c r="S784" s="13" t="s">
        <v>27</v>
      </c>
    </row>
    <row r="785" spans="1:19" hidden="1" x14ac:dyDescent="0.3">
      <c r="A785" s="14">
        <v>43922.708333333336</v>
      </c>
      <c r="B785" s="13" t="s">
        <v>23</v>
      </c>
      <c r="C785" s="2">
        <v>6</v>
      </c>
      <c r="D785" s="13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3" t="s">
        <v>27</v>
      </c>
      <c r="S785" s="13" t="s">
        <v>27</v>
      </c>
    </row>
    <row r="786" spans="1:19" hidden="1" x14ac:dyDescent="0.3">
      <c r="A786" s="14">
        <v>43922.708333333336</v>
      </c>
      <c r="B786" s="13" t="s">
        <v>23</v>
      </c>
      <c r="C786" s="2">
        <v>12</v>
      </c>
      <c r="D786" s="13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3" t="s">
        <v>27</v>
      </c>
      <c r="S786" s="13" t="s">
        <v>27</v>
      </c>
    </row>
    <row r="787" spans="1:19" hidden="1" x14ac:dyDescent="0.3">
      <c r="A787" s="14">
        <v>43922.708333333336</v>
      </c>
      <c r="B787" s="13" t="s">
        <v>23</v>
      </c>
      <c r="C787" s="2">
        <v>7</v>
      </c>
      <c r="D787" s="13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3" t="s">
        <v>27</v>
      </c>
      <c r="S787" s="13" t="s">
        <v>27</v>
      </c>
    </row>
    <row r="788" spans="1:19" x14ac:dyDescent="0.3">
      <c r="A788" s="14">
        <v>43922.708333333336</v>
      </c>
      <c r="B788" s="13" t="s">
        <v>23</v>
      </c>
      <c r="C788" s="2">
        <v>3</v>
      </c>
      <c r="D788" s="13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3" t="s">
        <v>27</v>
      </c>
      <c r="S788" s="13" t="s">
        <v>27</v>
      </c>
    </row>
    <row r="789" spans="1:19" hidden="1" x14ac:dyDescent="0.3">
      <c r="A789" s="14">
        <v>43922.708333333336</v>
      </c>
      <c r="B789" s="13" t="s">
        <v>23</v>
      </c>
      <c r="C789" s="2">
        <v>11</v>
      </c>
      <c r="D789" s="13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3" t="s">
        <v>27</v>
      </c>
      <c r="S789" s="13" t="s">
        <v>27</v>
      </c>
    </row>
    <row r="790" spans="1:19" hidden="1" x14ac:dyDescent="0.3">
      <c r="A790" s="14">
        <v>43922.708333333336</v>
      </c>
      <c r="B790" s="13" t="s">
        <v>23</v>
      </c>
      <c r="C790" s="2">
        <v>14</v>
      </c>
      <c r="D790" s="13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3" t="s">
        <v>27</v>
      </c>
      <c r="S790" s="13" t="s">
        <v>27</v>
      </c>
    </row>
    <row r="791" spans="1:19" hidden="1" x14ac:dyDescent="0.3">
      <c r="A791" s="14">
        <v>43922.708333333336</v>
      </c>
      <c r="B791" s="13" t="s">
        <v>23</v>
      </c>
      <c r="C791" s="2">
        <v>1</v>
      </c>
      <c r="D791" s="13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3" t="s">
        <v>27</v>
      </c>
      <c r="S791" s="13" t="s">
        <v>27</v>
      </c>
    </row>
    <row r="792" spans="1:19" hidden="1" x14ac:dyDescent="0.3">
      <c r="A792" s="14">
        <v>43922.708333333336</v>
      </c>
      <c r="B792" s="13" t="s">
        <v>23</v>
      </c>
      <c r="C792" s="2">
        <v>16</v>
      </c>
      <c r="D792" s="13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3" t="s">
        <v>27</v>
      </c>
      <c r="S792" s="13" t="s">
        <v>27</v>
      </c>
    </row>
    <row r="793" spans="1:19" hidden="1" x14ac:dyDescent="0.3">
      <c r="A793" s="14">
        <v>43922.708333333336</v>
      </c>
      <c r="B793" s="13" t="s">
        <v>23</v>
      </c>
      <c r="C793" s="2">
        <v>20</v>
      </c>
      <c r="D793" s="13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3" t="s">
        <v>27</v>
      </c>
      <c r="S793" s="13" t="s">
        <v>27</v>
      </c>
    </row>
    <row r="794" spans="1:19" hidden="1" x14ac:dyDescent="0.3">
      <c r="A794" s="14">
        <v>43922.708333333336</v>
      </c>
      <c r="B794" s="13" t="s">
        <v>23</v>
      </c>
      <c r="C794" s="2">
        <v>19</v>
      </c>
      <c r="D794" s="13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3" t="s">
        <v>27</v>
      </c>
      <c r="S794" s="13" t="s">
        <v>27</v>
      </c>
    </row>
    <row r="795" spans="1:19" hidden="1" x14ac:dyDescent="0.3">
      <c r="A795" s="14">
        <v>43922.708333333336</v>
      </c>
      <c r="B795" s="13" t="s">
        <v>23</v>
      </c>
      <c r="C795" s="2">
        <v>9</v>
      </c>
      <c r="D795" s="13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3" t="s">
        <v>27</v>
      </c>
      <c r="S795" s="13" t="s">
        <v>27</v>
      </c>
    </row>
    <row r="796" spans="1:19" hidden="1" x14ac:dyDescent="0.3">
      <c r="A796" s="14">
        <v>43922.708333333336</v>
      </c>
      <c r="B796" s="13" t="s">
        <v>23</v>
      </c>
      <c r="C796" s="2">
        <v>4</v>
      </c>
      <c r="D796" s="13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3" t="s">
        <v>27</v>
      </c>
      <c r="S796" s="13" t="s">
        <v>27</v>
      </c>
    </row>
    <row r="797" spans="1:19" hidden="1" x14ac:dyDescent="0.3">
      <c r="A797" s="14">
        <v>43922.708333333336</v>
      </c>
      <c r="B797" s="13" t="s">
        <v>23</v>
      </c>
      <c r="C797" s="2">
        <v>10</v>
      </c>
      <c r="D797" s="13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3" t="s">
        <v>27</v>
      </c>
      <c r="S797" s="13" t="s">
        <v>27</v>
      </c>
    </row>
    <row r="798" spans="1:19" hidden="1" x14ac:dyDescent="0.3">
      <c r="A798" s="14">
        <v>43922.708333333336</v>
      </c>
      <c r="B798" s="13" t="s">
        <v>23</v>
      </c>
      <c r="C798" s="2">
        <v>2</v>
      </c>
      <c r="D798" s="13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3" t="s">
        <v>27</v>
      </c>
      <c r="S798" s="13" t="s">
        <v>27</v>
      </c>
    </row>
    <row r="799" spans="1:19" hidden="1" x14ac:dyDescent="0.3">
      <c r="A799" s="14">
        <v>43922.708333333336</v>
      </c>
      <c r="B799" s="13" t="s">
        <v>23</v>
      </c>
      <c r="C799" s="2">
        <v>5</v>
      </c>
      <c r="D799" s="13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3" t="s">
        <v>27</v>
      </c>
      <c r="S799" s="13" t="s">
        <v>27</v>
      </c>
    </row>
    <row r="800" spans="1:19" hidden="1" x14ac:dyDescent="0.3">
      <c r="A800" s="14">
        <v>43923.708333333336</v>
      </c>
      <c r="B800" s="13" t="s">
        <v>23</v>
      </c>
      <c r="C800" s="2">
        <v>13</v>
      </c>
      <c r="D800" s="13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3" t="s">
        <v>27</v>
      </c>
      <c r="S800" s="13" t="s">
        <v>27</v>
      </c>
    </row>
    <row r="801" spans="1:19" hidden="1" x14ac:dyDescent="0.3">
      <c r="A801" s="14">
        <v>43923.708333333336</v>
      </c>
      <c r="B801" s="13" t="s">
        <v>23</v>
      </c>
      <c r="C801" s="2">
        <v>17</v>
      </c>
      <c r="D801" s="13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3" t="s">
        <v>27</v>
      </c>
      <c r="S801" s="13" t="s">
        <v>27</v>
      </c>
    </row>
    <row r="802" spans="1:19" hidden="1" x14ac:dyDescent="0.3">
      <c r="A802" s="14">
        <v>43923.708333333336</v>
      </c>
      <c r="B802" s="13" t="s">
        <v>23</v>
      </c>
      <c r="C802" s="2">
        <v>4</v>
      </c>
      <c r="D802" s="13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3" t="s">
        <v>27</v>
      </c>
      <c r="S802" s="13" t="s">
        <v>27</v>
      </c>
    </row>
    <row r="803" spans="1:19" hidden="1" x14ac:dyDescent="0.3">
      <c r="A803" s="14">
        <v>43923.708333333336</v>
      </c>
      <c r="B803" s="13" t="s">
        <v>23</v>
      </c>
      <c r="C803" s="2">
        <v>18</v>
      </c>
      <c r="D803" s="13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3" t="s">
        <v>27</v>
      </c>
      <c r="S803" s="13" t="s">
        <v>27</v>
      </c>
    </row>
    <row r="804" spans="1:19" hidden="1" x14ac:dyDescent="0.3">
      <c r="A804" s="14">
        <v>43923.708333333336</v>
      </c>
      <c r="B804" s="13" t="s">
        <v>23</v>
      </c>
      <c r="C804" s="2">
        <v>15</v>
      </c>
      <c r="D804" s="13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3" t="s">
        <v>27</v>
      </c>
      <c r="S804" s="13" t="s">
        <v>27</v>
      </c>
    </row>
    <row r="805" spans="1:19" hidden="1" x14ac:dyDescent="0.3">
      <c r="A805" s="14">
        <v>43923.708333333336</v>
      </c>
      <c r="B805" s="13" t="s">
        <v>23</v>
      </c>
      <c r="C805" s="2">
        <v>8</v>
      </c>
      <c r="D805" s="13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3" t="s">
        <v>27</v>
      </c>
      <c r="S805" s="13" t="s">
        <v>27</v>
      </c>
    </row>
    <row r="806" spans="1:19" hidden="1" x14ac:dyDescent="0.3">
      <c r="A806" s="14">
        <v>43923.708333333336</v>
      </c>
      <c r="B806" s="13" t="s">
        <v>23</v>
      </c>
      <c r="C806" s="2">
        <v>6</v>
      </c>
      <c r="D806" s="13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3" t="s">
        <v>27</v>
      </c>
      <c r="S806" s="13" t="s">
        <v>27</v>
      </c>
    </row>
    <row r="807" spans="1:19" hidden="1" x14ac:dyDescent="0.3">
      <c r="A807" s="14">
        <v>43923.708333333336</v>
      </c>
      <c r="B807" s="13" t="s">
        <v>23</v>
      </c>
      <c r="C807" s="2">
        <v>12</v>
      </c>
      <c r="D807" s="13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3" t="s">
        <v>27</v>
      </c>
      <c r="S807" s="13" t="s">
        <v>27</v>
      </c>
    </row>
    <row r="808" spans="1:19" hidden="1" x14ac:dyDescent="0.3">
      <c r="A808" s="14">
        <v>43923.708333333336</v>
      </c>
      <c r="B808" s="13" t="s">
        <v>23</v>
      </c>
      <c r="C808" s="2">
        <v>7</v>
      </c>
      <c r="D808" s="13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3" t="s">
        <v>27</v>
      </c>
      <c r="S808" s="13" t="s">
        <v>27</v>
      </c>
    </row>
    <row r="809" spans="1:19" x14ac:dyDescent="0.3">
      <c r="A809" s="14">
        <v>43923.708333333336</v>
      </c>
      <c r="B809" s="13" t="s">
        <v>23</v>
      </c>
      <c r="C809" s="2">
        <v>3</v>
      </c>
      <c r="D809" s="13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3" t="s">
        <v>27</v>
      </c>
      <c r="S809" s="13" t="s">
        <v>27</v>
      </c>
    </row>
    <row r="810" spans="1:19" hidden="1" x14ac:dyDescent="0.3">
      <c r="A810" s="14">
        <v>43923.708333333336</v>
      </c>
      <c r="B810" s="13" t="s">
        <v>23</v>
      </c>
      <c r="C810" s="2">
        <v>11</v>
      </c>
      <c r="D810" s="13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3" t="s">
        <v>27</v>
      </c>
      <c r="S810" s="13" t="s">
        <v>27</v>
      </c>
    </row>
    <row r="811" spans="1:19" hidden="1" x14ac:dyDescent="0.3">
      <c r="A811" s="14">
        <v>43923.708333333336</v>
      </c>
      <c r="B811" s="13" t="s">
        <v>23</v>
      </c>
      <c r="C811" s="2">
        <v>14</v>
      </c>
      <c r="D811" s="13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3" t="s">
        <v>27</v>
      </c>
      <c r="S811" s="13" t="s">
        <v>27</v>
      </c>
    </row>
    <row r="812" spans="1:19" hidden="1" x14ac:dyDescent="0.3">
      <c r="A812" s="14">
        <v>43923.708333333336</v>
      </c>
      <c r="B812" s="13" t="s">
        <v>23</v>
      </c>
      <c r="C812" s="2">
        <v>1</v>
      </c>
      <c r="D812" s="13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3" t="s">
        <v>27</v>
      </c>
      <c r="S812" s="13" t="s">
        <v>27</v>
      </c>
    </row>
    <row r="813" spans="1:19" hidden="1" x14ac:dyDescent="0.3">
      <c r="A813" s="14">
        <v>43923.708333333336</v>
      </c>
      <c r="B813" s="13" t="s">
        <v>23</v>
      </c>
      <c r="C813" s="2">
        <v>16</v>
      </c>
      <c r="D813" s="13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3" t="s">
        <v>27</v>
      </c>
      <c r="S813" s="13" t="s">
        <v>27</v>
      </c>
    </row>
    <row r="814" spans="1:19" hidden="1" x14ac:dyDescent="0.3">
      <c r="A814" s="14">
        <v>43923.708333333336</v>
      </c>
      <c r="B814" s="13" t="s">
        <v>23</v>
      </c>
      <c r="C814" s="2">
        <v>20</v>
      </c>
      <c r="D814" s="13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3" t="s">
        <v>27</v>
      </c>
      <c r="S814" s="13" t="s">
        <v>27</v>
      </c>
    </row>
    <row r="815" spans="1:19" hidden="1" x14ac:dyDescent="0.3">
      <c r="A815" s="14">
        <v>43923.708333333336</v>
      </c>
      <c r="B815" s="13" t="s">
        <v>23</v>
      </c>
      <c r="C815" s="2">
        <v>19</v>
      </c>
      <c r="D815" s="13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3" t="s">
        <v>27</v>
      </c>
      <c r="S815" s="13" t="s">
        <v>27</v>
      </c>
    </row>
    <row r="816" spans="1:19" hidden="1" x14ac:dyDescent="0.3">
      <c r="A816" s="14">
        <v>43923.708333333336</v>
      </c>
      <c r="B816" s="13" t="s">
        <v>23</v>
      </c>
      <c r="C816" s="2">
        <v>9</v>
      </c>
      <c r="D816" s="13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3" t="s">
        <v>27</v>
      </c>
      <c r="S816" s="13" t="s">
        <v>27</v>
      </c>
    </row>
    <row r="817" spans="1:19" hidden="1" x14ac:dyDescent="0.3">
      <c r="A817" s="14">
        <v>43923.708333333336</v>
      </c>
      <c r="B817" s="13" t="s">
        <v>23</v>
      </c>
      <c r="C817" s="2">
        <v>4</v>
      </c>
      <c r="D817" s="13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3" t="s">
        <v>27</v>
      </c>
      <c r="S817" s="13" t="s">
        <v>27</v>
      </c>
    </row>
    <row r="818" spans="1:19" hidden="1" x14ac:dyDescent="0.3">
      <c r="A818" s="14">
        <v>43923.708333333336</v>
      </c>
      <c r="B818" s="13" t="s">
        <v>23</v>
      </c>
      <c r="C818" s="2">
        <v>10</v>
      </c>
      <c r="D818" s="13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3" t="s">
        <v>27</v>
      </c>
      <c r="S818" s="13" t="s">
        <v>27</v>
      </c>
    </row>
    <row r="819" spans="1:19" hidden="1" x14ac:dyDescent="0.3">
      <c r="A819" s="14">
        <v>43923.708333333336</v>
      </c>
      <c r="B819" s="13" t="s">
        <v>23</v>
      </c>
      <c r="C819" s="2">
        <v>2</v>
      </c>
      <c r="D819" s="13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3" t="s">
        <v>27</v>
      </c>
      <c r="S819" s="13" t="s">
        <v>27</v>
      </c>
    </row>
    <row r="820" spans="1:19" hidden="1" x14ac:dyDescent="0.3">
      <c r="A820" s="14">
        <v>43923.708333333336</v>
      </c>
      <c r="B820" s="13" t="s">
        <v>23</v>
      </c>
      <c r="C820" s="2">
        <v>5</v>
      </c>
      <c r="D820" s="13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3" t="s">
        <v>27</v>
      </c>
      <c r="S820" s="13" t="s">
        <v>27</v>
      </c>
    </row>
    <row r="821" spans="1:19" hidden="1" x14ac:dyDescent="0.3">
      <c r="A821" s="14">
        <v>43924.708333333336</v>
      </c>
      <c r="B821" s="13" t="s">
        <v>23</v>
      </c>
      <c r="C821" s="2">
        <v>13</v>
      </c>
      <c r="D821" s="13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3" t="s">
        <v>27</v>
      </c>
      <c r="S821" s="13" t="s">
        <v>27</v>
      </c>
    </row>
    <row r="822" spans="1:19" hidden="1" x14ac:dyDescent="0.3">
      <c r="A822" s="14">
        <v>43924.708333333336</v>
      </c>
      <c r="B822" s="13" t="s">
        <v>23</v>
      </c>
      <c r="C822" s="2">
        <v>17</v>
      </c>
      <c r="D822" s="13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3" t="s">
        <v>27</v>
      </c>
      <c r="S822" s="13" t="s">
        <v>27</v>
      </c>
    </row>
    <row r="823" spans="1:19" hidden="1" x14ac:dyDescent="0.3">
      <c r="A823" s="14">
        <v>43924.708333333336</v>
      </c>
      <c r="B823" s="13" t="s">
        <v>23</v>
      </c>
      <c r="C823" s="2">
        <v>4</v>
      </c>
      <c r="D823" s="13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3" t="s">
        <v>27</v>
      </c>
      <c r="S823" s="13" t="s">
        <v>27</v>
      </c>
    </row>
    <row r="824" spans="1:19" hidden="1" x14ac:dyDescent="0.3">
      <c r="A824" s="14">
        <v>43924.708333333336</v>
      </c>
      <c r="B824" s="13" t="s">
        <v>23</v>
      </c>
      <c r="C824" s="2">
        <v>18</v>
      </c>
      <c r="D824" s="13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3" t="s">
        <v>27</v>
      </c>
      <c r="S824" s="13" t="s">
        <v>27</v>
      </c>
    </row>
    <row r="825" spans="1:19" hidden="1" x14ac:dyDescent="0.3">
      <c r="A825" s="14">
        <v>43924.708333333336</v>
      </c>
      <c r="B825" s="13" t="s">
        <v>23</v>
      </c>
      <c r="C825" s="2">
        <v>15</v>
      </c>
      <c r="D825" s="13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3" t="s">
        <v>27</v>
      </c>
      <c r="S825" s="13" t="s">
        <v>27</v>
      </c>
    </row>
    <row r="826" spans="1:19" hidden="1" x14ac:dyDescent="0.3">
      <c r="A826" s="14">
        <v>43924.708333333336</v>
      </c>
      <c r="B826" s="13" t="s">
        <v>23</v>
      </c>
      <c r="C826" s="2">
        <v>8</v>
      </c>
      <c r="D826" s="13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3" t="s">
        <v>27</v>
      </c>
      <c r="S826" s="13" t="s">
        <v>27</v>
      </c>
    </row>
    <row r="827" spans="1:19" hidden="1" x14ac:dyDescent="0.3">
      <c r="A827" s="14">
        <v>43924.708333333336</v>
      </c>
      <c r="B827" s="13" t="s">
        <v>23</v>
      </c>
      <c r="C827" s="2">
        <v>6</v>
      </c>
      <c r="D827" s="13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3" t="s">
        <v>27</v>
      </c>
      <c r="S827" s="13" t="s">
        <v>27</v>
      </c>
    </row>
    <row r="828" spans="1:19" hidden="1" x14ac:dyDescent="0.3">
      <c r="A828" s="14">
        <v>43924.708333333336</v>
      </c>
      <c r="B828" s="13" t="s">
        <v>23</v>
      </c>
      <c r="C828" s="2">
        <v>12</v>
      </c>
      <c r="D828" s="13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3" t="s">
        <v>27</v>
      </c>
      <c r="S828" s="13" t="s">
        <v>27</v>
      </c>
    </row>
    <row r="829" spans="1:19" hidden="1" x14ac:dyDescent="0.3">
      <c r="A829" s="14">
        <v>43924.708333333336</v>
      </c>
      <c r="B829" s="13" t="s">
        <v>23</v>
      </c>
      <c r="C829" s="2">
        <v>7</v>
      </c>
      <c r="D829" s="13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3" t="s">
        <v>27</v>
      </c>
      <c r="S829" s="13" t="s">
        <v>27</v>
      </c>
    </row>
    <row r="830" spans="1:19" x14ac:dyDescent="0.3">
      <c r="A830" s="14">
        <v>43924.708333333336</v>
      </c>
      <c r="B830" s="13" t="s">
        <v>23</v>
      </c>
      <c r="C830" s="2">
        <v>3</v>
      </c>
      <c r="D830" s="13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3" t="s">
        <v>27</v>
      </c>
      <c r="S830" s="13" t="s">
        <v>27</v>
      </c>
    </row>
    <row r="831" spans="1:19" hidden="1" x14ac:dyDescent="0.3">
      <c r="A831" s="14">
        <v>43924.708333333336</v>
      </c>
      <c r="B831" s="13" t="s">
        <v>23</v>
      </c>
      <c r="C831" s="2">
        <v>11</v>
      </c>
      <c r="D831" s="13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3" t="s">
        <v>27</v>
      </c>
      <c r="S831" s="13" t="s">
        <v>27</v>
      </c>
    </row>
    <row r="832" spans="1:19" hidden="1" x14ac:dyDescent="0.3">
      <c r="A832" s="14">
        <v>43924.708333333336</v>
      </c>
      <c r="B832" s="13" t="s">
        <v>23</v>
      </c>
      <c r="C832" s="2">
        <v>14</v>
      </c>
      <c r="D832" s="13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3" t="s">
        <v>27</v>
      </c>
      <c r="S832" s="13" t="s">
        <v>27</v>
      </c>
    </row>
    <row r="833" spans="1:19" hidden="1" x14ac:dyDescent="0.3">
      <c r="A833" s="14">
        <v>43924.708333333336</v>
      </c>
      <c r="B833" s="13" t="s">
        <v>23</v>
      </c>
      <c r="C833" s="2">
        <v>1</v>
      </c>
      <c r="D833" s="13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3" t="s">
        <v>27</v>
      </c>
      <c r="S833" s="13" t="s">
        <v>27</v>
      </c>
    </row>
    <row r="834" spans="1:19" hidden="1" x14ac:dyDescent="0.3">
      <c r="A834" s="14">
        <v>43924.708333333336</v>
      </c>
      <c r="B834" s="13" t="s">
        <v>23</v>
      </c>
      <c r="C834" s="2">
        <v>16</v>
      </c>
      <c r="D834" s="13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3" t="s">
        <v>27</v>
      </c>
      <c r="S834" s="13" t="s">
        <v>27</v>
      </c>
    </row>
    <row r="835" spans="1:19" hidden="1" x14ac:dyDescent="0.3">
      <c r="A835" s="14">
        <v>43924.708333333336</v>
      </c>
      <c r="B835" s="13" t="s">
        <v>23</v>
      </c>
      <c r="C835" s="2">
        <v>20</v>
      </c>
      <c r="D835" s="13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3" t="s">
        <v>27</v>
      </c>
      <c r="S835" s="13" t="s">
        <v>27</v>
      </c>
    </row>
    <row r="836" spans="1:19" hidden="1" x14ac:dyDescent="0.3">
      <c r="A836" s="14">
        <v>43924.708333333336</v>
      </c>
      <c r="B836" s="13" t="s">
        <v>23</v>
      </c>
      <c r="C836" s="2">
        <v>19</v>
      </c>
      <c r="D836" s="13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3" t="s">
        <v>27</v>
      </c>
      <c r="S836" s="13" t="s">
        <v>27</v>
      </c>
    </row>
    <row r="837" spans="1:19" hidden="1" x14ac:dyDescent="0.3">
      <c r="A837" s="14">
        <v>43924.708333333336</v>
      </c>
      <c r="B837" s="13" t="s">
        <v>23</v>
      </c>
      <c r="C837" s="2">
        <v>9</v>
      </c>
      <c r="D837" s="13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3" t="s">
        <v>27</v>
      </c>
      <c r="S837" s="13" t="s">
        <v>27</v>
      </c>
    </row>
    <row r="838" spans="1:19" hidden="1" x14ac:dyDescent="0.3">
      <c r="A838" s="14">
        <v>43924.708333333336</v>
      </c>
      <c r="B838" s="13" t="s">
        <v>23</v>
      </c>
      <c r="C838" s="2">
        <v>4</v>
      </c>
      <c r="D838" s="13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3" t="s">
        <v>27</v>
      </c>
      <c r="S838" s="13" t="s">
        <v>27</v>
      </c>
    </row>
    <row r="839" spans="1:19" hidden="1" x14ac:dyDescent="0.3">
      <c r="A839" s="14">
        <v>43924.708333333336</v>
      </c>
      <c r="B839" s="13" t="s">
        <v>23</v>
      </c>
      <c r="C839" s="2">
        <v>10</v>
      </c>
      <c r="D839" s="13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3" t="s">
        <v>27</v>
      </c>
      <c r="S839" s="13" t="s">
        <v>27</v>
      </c>
    </row>
    <row r="840" spans="1:19" hidden="1" x14ac:dyDescent="0.3">
      <c r="A840" s="14">
        <v>43924.708333333336</v>
      </c>
      <c r="B840" s="13" t="s">
        <v>23</v>
      </c>
      <c r="C840" s="2">
        <v>2</v>
      </c>
      <c r="D840" s="13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3" t="s">
        <v>27</v>
      </c>
      <c r="S840" s="13" t="s">
        <v>27</v>
      </c>
    </row>
    <row r="841" spans="1:19" hidden="1" x14ac:dyDescent="0.3">
      <c r="A841" s="14">
        <v>43924.708333333336</v>
      </c>
      <c r="B841" s="13" t="s">
        <v>23</v>
      </c>
      <c r="C841" s="2">
        <v>5</v>
      </c>
      <c r="D841" s="13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3" t="s">
        <v>27</v>
      </c>
      <c r="S841" s="13" t="s">
        <v>27</v>
      </c>
    </row>
    <row r="842" spans="1:19" hidden="1" x14ac:dyDescent="0.3">
      <c r="A842" s="14">
        <v>43925.708333333336</v>
      </c>
      <c r="B842" s="13" t="s">
        <v>23</v>
      </c>
      <c r="C842" s="2">
        <v>13</v>
      </c>
      <c r="D842" s="13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3" t="s">
        <v>27</v>
      </c>
      <c r="S842" s="13" t="s">
        <v>27</v>
      </c>
    </row>
    <row r="843" spans="1:19" hidden="1" x14ac:dyDescent="0.3">
      <c r="A843" s="14">
        <v>43925.708333333336</v>
      </c>
      <c r="B843" s="13" t="s">
        <v>23</v>
      </c>
      <c r="C843" s="2">
        <v>17</v>
      </c>
      <c r="D843" s="13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3" t="s">
        <v>27</v>
      </c>
      <c r="S843" s="13" t="s">
        <v>27</v>
      </c>
    </row>
    <row r="844" spans="1:19" hidden="1" x14ac:dyDescent="0.3">
      <c r="A844" s="14">
        <v>43925.708333333336</v>
      </c>
      <c r="B844" s="13" t="s">
        <v>23</v>
      </c>
      <c r="C844" s="2">
        <v>4</v>
      </c>
      <c r="D844" s="13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3" t="s">
        <v>27</v>
      </c>
      <c r="S844" s="13" t="s">
        <v>27</v>
      </c>
    </row>
    <row r="845" spans="1:19" hidden="1" x14ac:dyDescent="0.3">
      <c r="A845" s="14">
        <v>43925.708333333336</v>
      </c>
      <c r="B845" s="13" t="s">
        <v>23</v>
      </c>
      <c r="C845" s="2">
        <v>18</v>
      </c>
      <c r="D845" s="13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3" t="s">
        <v>27</v>
      </c>
      <c r="S845" s="13" t="s">
        <v>27</v>
      </c>
    </row>
    <row r="846" spans="1:19" hidden="1" x14ac:dyDescent="0.3">
      <c r="A846" s="14">
        <v>43925.708333333336</v>
      </c>
      <c r="B846" s="13" t="s">
        <v>23</v>
      </c>
      <c r="C846" s="2">
        <v>15</v>
      </c>
      <c r="D846" s="13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3" t="s">
        <v>27</v>
      </c>
      <c r="S846" s="13" t="s">
        <v>27</v>
      </c>
    </row>
    <row r="847" spans="1:19" hidden="1" x14ac:dyDescent="0.3">
      <c r="A847" s="14">
        <v>43925.708333333336</v>
      </c>
      <c r="B847" s="13" t="s">
        <v>23</v>
      </c>
      <c r="C847" s="2">
        <v>8</v>
      </c>
      <c r="D847" s="13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3" t="s">
        <v>27</v>
      </c>
      <c r="S847" s="13" t="s">
        <v>27</v>
      </c>
    </row>
    <row r="848" spans="1:19" hidden="1" x14ac:dyDescent="0.3">
      <c r="A848" s="14">
        <v>43925.708333333336</v>
      </c>
      <c r="B848" s="13" t="s">
        <v>23</v>
      </c>
      <c r="C848" s="2">
        <v>6</v>
      </c>
      <c r="D848" s="13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3" t="s">
        <v>27</v>
      </c>
      <c r="S848" s="13" t="s">
        <v>27</v>
      </c>
    </row>
    <row r="849" spans="1:19" hidden="1" x14ac:dyDescent="0.3">
      <c r="A849" s="14">
        <v>43925.708333333336</v>
      </c>
      <c r="B849" s="13" t="s">
        <v>23</v>
      </c>
      <c r="C849" s="2">
        <v>12</v>
      </c>
      <c r="D849" s="13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3" t="s">
        <v>27</v>
      </c>
      <c r="S849" s="13" t="s">
        <v>27</v>
      </c>
    </row>
    <row r="850" spans="1:19" hidden="1" x14ac:dyDescent="0.3">
      <c r="A850" s="14">
        <v>43925.708333333336</v>
      </c>
      <c r="B850" s="13" t="s">
        <v>23</v>
      </c>
      <c r="C850" s="2">
        <v>7</v>
      </c>
      <c r="D850" s="13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3" t="s">
        <v>27</v>
      </c>
      <c r="S850" s="13" t="s">
        <v>27</v>
      </c>
    </row>
    <row r="851" spans="1:19" x14ac:dyDescent="0.3">
      <c r="A851" s="14">
        <v>43925.708333333336</v>
      </c>
      <c r="B851" s="13" t="s">
        <v>23</v>
      </c>
      <c r="C851" s="2">
        <v>3</v>
      </c>
      <c r="D851" s="13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3" t="s">
        <v>27</v>
      </c>
      <c r="S851" s="13" t="s">
        <v>27</v>
      </c>
    </row>
    <row r="852" spans="1:19" hidden="1" x14ac:dyDescent="0.3">
      <c r="A852" s="14">
        <v>43925.708333333336</v>
      </c>
      <c r="B852" s="13" t="s">
        <v>23</v>
      </c>
      <c r="C852" s="2">
        <v>11</v>
      </c>
      <c r="D852" s="13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3" t="s">
        <v>27</v>
      </c>
      <c r="S852" s="13" t="s">
        <v>27</v>
      </c>
    </row>
    <row r="853" spans="1:19" hidden="1" x14ac:dyDescent="0.3">
      <c r="A853" s="14">
        <v>43925.708333333336</v>
      </c>
      <c r="B853" s="13" t="s">
        <v>23</v>
      </c>
      <c r="C853" s="2">
        <v>14</v>
      </c>
      <c r="D853" s="13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3" t="s">
        <v>27</v>
      </c>
      <c r="S853" s="13" t="s">
        <v>27</v>
      </c>
    </row>
    <row r="854" spans="1:19" hidden="1" x14ac:dyDescent="0.3">
      <c r="A854" s="14">
        <v>43925.708333333336</v>
      </c>
      <c r="B854" s="13" t="s">
        <v>23</v>
      </c>
      <c r="C854" s="2">
        <v>1</v>
      </c>
      <c r="D854" s="13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3" t="s">
        <v>27</v>
      </c>
      <c r="S854" s="13" t="s">
        <v>27</v>
      </c>
    </row>
    <row r="855" spans="1:19" hidden="1" x14ac:dyDescent="0.3">
      <c r="A855" s="14">
        <v>43925.708333333336</v>
      </c>
      <c r="B855" s="13" t="s">
        <v>23</v>
      </c>
      <c r="C855" s="2">
        <v>16</v>
      </c>
      <c r="D855" s="13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3" t="s">
        <v>27</v>
      </c>
      <c r="S855" s="13" t="s">
        <v>27</v>
      </c>
    </row>
    <row r="856" spans="1:19" hidden="1" x14ac:dyDescent="0.3">
      <c r="A856" s="14">
        <v>43925.708333333336</v>
      </c>
      <c r="B856" s="13" t="s">
        <v>23</v>
      </c>
      <c r="C856" s="2">
        <v>20</v>
      </c>
      <c r="D856" s="13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3" t="s">
        <v>27</v>
      </c>
      <c r="S856" s="13" t="s">
        <v>27</v>
      </c>
    </row>
    <row r="857" spans="1:19" hidden="1" x14ac:dyDescent="0.3">
      <c r="A857" s="14">
        <v>43925.708333333336</v>
      </c>
      <c r="B857" s="13" t="s">
        <v>23</v>
      </c>
      <c r="C857" s="2">
        <v>19</v>
      </c>
      <c r="D857" s="13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3" t="s">
        <v>27</v>
      </c>
      <c r="S857" s="13" t="s">
        <v>27</v>
      </c>
    </row>
    <row r="858" spans="1:19" hidden="1" x14ac:dyDescent="0.3">
      <c r="A858" s="14">
        <v>43925.708333333336</v>
      </c>
      <c r="B858" s="13" t="s">
        <v>23</v>
      </c>
      <c r="C858" s="2">
        <v>9</v>
      </c>
      <c r="D858" s="13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3" t="s">
        <v>27</v>
      </c>
      <c r="S858" s="13" t="s">
        <v>27</v>
      </c>
    </row>
    <row r="859" spans="1:19" hidden="1" x14ac:dyDescent="0.3">
      <c r="A859" s="14">
        <v>43925.708333333336</v>
      </c>
      <c r="B859" s="13" t="s">
        <v>23</v>
      </c>
      <c r="C859" s="2">
        <v>4</v>
      </c>
      <c r="D859" s="13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3" t="s">
        <v>27</v>
      </c>
      <c r="S859" s="13" t="s">
        <v>27</v>
      </c>
    </row>
    <row r="860" spans="1:19" hidden="1" x14ac:dyDescent="0.3">
      <c r="A860" s="14">
        <v>43925.708333333336</v>
      </c>
      <c r="B860" s="13" t="s">
        <v>23</v>
      </c>
      <c r="C860" s="2">
        <v>10</v>
      </c>
      <c r="D860" s="13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3" t="s">
        <v>27</v>
      </c>
      <c r="S860" s="13" t="s">
        <v>27</v>
      </c>
    </row>
    <row r="861" spans="1:19" hidden="1" x14ac:dyDescent="0.3">
      <c r="A861" s="14">
        <v>43925.708333333336</v>
      </c>
      <c r="B861" s="13" t="s">
        <v>23</v>
      </c>
      <c r="C861" s="2">
        <v>2</v>
      </c>
      <c r="D861" s="13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3" t="s">
        <v>27</v>
      </c>
      <c r="S861" s="13" t="s">
        <v>27</v>
      </c>
    </row>
    <row r="862" spans="1:19" hidden="1" x14ac:dyDescent="0.3">
      <c r="A862" s="14">
        <v>43925.708333333336</v>
      </c>
      <c r="B862" s="13" t="s">
        <v>23</v>
      </c>
      <c r="C862" s="2">
        <v>5</v>
      </c>
      <c r="D862" s="13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3" t="s">
        <v>27</v>
      </c>
      <c r="S862" s="13" t="s">
        <v>27</v>
      </c>
    </row>
    <row r="863" spans="1:19" hidden="1" x14ac:dyDescent="0.3">
      <c r="A863" s="14">
        <v>43926.708333333336</v>
      </c>
      <c r="B863" s="13" t="s">
        <v>23</v>
      </c>
      <c r="C863" s="2">
        <v>13</v>
      </c>
      <c r="D863" s="13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3" t="s">
        <v>27</v>
      </c>
      <c r="S863" s="13" t="s">
        <v>27</v>
      </c>
    </row>
    <row r="864" spans="1:19" hidden="1" x14ac:dyDescent="0.3">
      <c r="A864" s="14">
        <v>43926.708333333336</v>
      </c>
      <c r="B864" s="13" t="s">
        <v>23</v>
      </c>
      <c r="C864" s="2">
        <v>17</v>
      </c>
      <c r="D864" s="13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3" t="s">
        <v>27</v>
      </c>
      <c r="S864" s="13" t="s">
        <v>27</v>
      </c>
    </row>
    <row r="865" spans="1:19" hidden="1" x14ac:dyDescent="0.3">
      <c r="A865" s="14">
        <v>43926.708333333336</v>
      </c>
      <c r="B865" s="13" t="s">
        <v>23</v>
      </c>
      <c r="C865" s="2">
        <v>4</v>
      </c>
      <c r="D865" s="13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3" t="s">
        <v>27</v>
      </c>
      <c r="S865" s="13" t="s">
        <v>27</v>
      </c>
    </row>
    <row r="866" spans="1:19" hidden="1" x14ac:dyDescent="0.3">
      <c r="A866" s="14">
        <v>43926.708333333336</v>
      </c>
      <c r="B866" s="13" t="s">
        <v>23</v>
      </c>
      <c r="C866" s="2">
        <v>18</v>
      </c>
      <c r="D866" s="13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3" t="s">
        <v>27</v>
      </c>
      <c r="S866" s="13" t="s">
        <v>27</v>
      </c>
    </row>
    <row r="867" spans="1:19" hidden="1" x14ac:dyDescent="0.3">
      <c r="A867" s="14">
        <v>43926.708333333336</v>
      </c>
      <c r="B867" s="13" t="s">
        <v>23</v>
      </c>
      <c r="C867" s="2">
        <v>15</v>
      </c>
      <c r="D867" s="13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3" t="s">
        <v>27</v>
      </c>
      <c r="S867" s="13" t="s">
        <v>27</v>
      </c>
    </row>
    <row r="868" spans="1:19" hidden="1" x14ac:dyDescent="0.3">
      <c r="A868" s="14">
        <v>43926.708333333336</v>
      </c>
      <c r="B868" s="13" t="s">
        <v>23</v>
      </c>
      <c r="C868" s="2">
        <v>8</v>
      </c>
      <c r="D868" s="13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3" t="s">
        <v>27</v>
      </c>
      <c r="S868" s="13" t="s">
        <v>27</v>
      </c>
    </row>
    <row r="869" spans="1:19" hidden="1" x14ac:dyDescent="0.3">
      <c r="A869" s="14">
        <v>43926.708333333336</v>
      </c>
      <c r="B869" s="13" t="s">
        <v>23</v>
      </c>
      <c r="C869" s="2">
        <v>6</v>
      </c>
      <c r="D869" s="13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3" t="s">
        <v>27</v>
      </c>
      <c r="S869" s="13" t="s">
        <v>27</v>
      </c>
    </row>
    <row r="870" spans="1:19" hidden="1" x14ac:dyDescent="0.3">
      <c r="A870" s="14">
        <v>43926.708333333336</v>
      </c>
      <c r="B870" s="13" t="s">
        <v>23</v>
      </c>
      <c r="C870" s="2">
        <v>12</v>
      </c>
      <c r="D870" s="13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3" t="s">
        <v>27</v>
      </c>
      <c r="S870" s="13" t="s">
        <v>27</v>
      </c>
    </row>
    <row r="871" spans="1:19" hidden="1" x14ac:dyDescent="0.3">
      <c r="A871" s="14">
        <v>43926.708333333336</v>
      </c>
      <c r="B871" s="13" t="s">
        <v>23</v>
      </c>
      <c r="C871" s="2">
        <v>7</v>
      </c>
      <c r="D871" s="13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3" t="s">
        <v>27</v>
      </c>
      <c r="S871" s="13" t="s">
        <v>27</v>
      </c>
    </row>
    <row r="872" spans="1:19" x14ac:dyDescent="0.3">
      <c r="A872" s="14">
        <v>43926.708333333336</v>
      </c>
      <c r="B872" s="13" t="s">
        <v>23</v>
      </c>
      <c r="C872" s="2">
        <v>3</v>
      </c>
      <c r="D872" s="13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3" t="s">
        <v>27</v>
      </c>
      <c r="S872" s="13" t="s">
        <v>27</v>
      </c>
    </row>
    <row r="873" spans="1:19" hidden="1" x14ac:dyDescent="0.3">
      <c r="A873" s="14">
        <v>43926.708333333336</v>
      </c>
      <c r="B873" s="13" t="s">
        <v>23</v>
      </c>
      <c r="C873" s="2">
        <v>11</v>
      </c>
      <c r="D873" s="13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3" t="s">
        <v>27</v>
      </c>
      <c r="S873" s="13" t="s">
        <v>27</v>
      </c>
    </row>
    <row r="874" spans="1:19" hidden="1" x14ac:dyDescent="0.3">
      <c r="A874" s="14">
        <v>43926.708333333336</v>
      </c>
      <c r="B874" s="13" t="s">
        <v>23</v>
      </c>
      <c r="C874" s="2">
        <v>14</v>
      </c>
      <c r="D874" s="13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3" t="s">
        <v>27</v>
      </c>
      <c r="S874" s="13" t="s">
        <v>27</v>
      </c>
    </row>
    <row r="875" spans="1:19" hidden="1" x14ac:dyDescent="0.3">
      <c r="A875" s="14">
        <v>43926.708333333336</v>
      </c>
      <c r="B875" s="13" t="s">
        <v>23</v>
      </c>
      <c r="C875" s="2">
        <v>1</v>
      </c>
      <c r="D875" s="13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3" t="s">
        <v>27</v>
      </c>
      <c r="S875" s="13" t="s">
        <v>27</v>
      </c>
    </row>
    <row r="876" spans="1:19" hidden="1" x14ac:dyDescent="0.3">
      <c r="A876" s="14">
        <v>43926.708333333336</v>
      </c>
      <c r="B876" s="13" t="s">
        <v>23</v>
      </c>
      <c r="C876" s="2">
        <v>16</v>
      </c>
      <c r="D876" s="13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3" t="s">
        <v>27</v>
      </c>
      <c r="S876" s="13" t="s">
        <v>27</v>
      </c>
    </row>
    <row r="877" spans="1:19" hidden="1" x14ac:dyDescent="0.3">
      <c r="A877" s="14">
        <v>43926.708333333336</v>
      </c>
      <c r="B877" s="13" t="s">
        <v>23</v>
      </c>
      <c r="C877" s="2">
        <v>20</v>
      </c>
      <c r="D877" s="13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3" t="s">
        <v>27</v>
      </c>
      <c r="S877" s="13" t="s">
        <v>27</v>
      </c>
    </row>
    <row r="878" spans="1:19" hidden="1" x14ac:dyDescent="0.3">
      <c r="A878" s="14">
        <v>43926.708333333336</v>
      </c>
      <c r="B878" s="13" t="s">
        <v>23</v>
      </c>
      <c r="C878" s="2">
        <v>19</v>
      </c>
      <c r="D878" s="13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3" t="s">
        <v>27</v>
      </c>
      <c r="S878" s="13" t="s">
        <v>27</v>
      </c>
    </row>
    <row r="879" spans="1:19" hidden="1" x14ac:dyDescent="0.3">
      <c r="A879" s="14">
        <v>43926.708333333336</v>
      </c>
      <c r="B879" s="13" t="s">
        <v>23</v>
      </c>
      <c r="C879" s="2">
        <v>9</v>
      </c>
      <c r="D879" s="13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3" t="s">
        <v>27</v>
      </c>
      <c r="S879" s="13" t="s">
        <v>27</v>
      </c>
    </row>
    <row r="880" spans="1:19" hidden="1" x14ac:dyDescent="0.3">
      <c r="A880" s="14">
        <v>43926.708333333336</v>
      </c>
      <c r="B880" s="13" t="s">
        <v>23</v>
      </c>
      <c r="C880" s="2">
        <v>4</v>
      </c>
      <c r="D880" s="13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3" t="s">
        <v>27</v>
      </c>
      <c r="S880" s="13" t="s">
        <v>27</v>
      </c>
    </row>
    <row r="881" spans="1:19" hidden="1" x14ac:dyDescent="0.3">
      <c r="A881" s="14">
        <v>43926.708333333336</v>
      </c>
      <c r="B881" s="13" t="s">
        <v>23</v>
      </c>
      <c r="C881" s="2">
        <v>10</v>
      </c>
      <c r="D881" s="13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3" t="s">
        <v>27</v>
      </c>
      <c r="S881" s="13" t="s">
        <v>27</v>
      </c>
    </row>
    <row r="882" spans="1:19" hidden="1" x14ac:dyDescent="0.3">
      <c r="A882" s="14">
        <v>43926.708333333336</v>
      </c>
      <c r="B882" s="13" t="s">
        <v>23</v>
      </c>
      <c r="C882" s="2">
        <v>2</v>
      </c>
      <c r="D882" s="13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3" t="s">
        <v>27</v>
      </c>
      <c r="S882" s="13" t="s">
        <v>27</v>
      </c>
    </row>
    <row r="883" spans="1:19" hidden="1" x14ac:dyDescent="0.3">
      <c r="A883" s="14">
        <v>43926.708333333336</v>
      </c>
      <c r="B883" s="13" t="s">
        <v>23</v>
      </c>
      <c r="C883" s="2">
        <v>5</v>
      </c>
      <c r="D883" s="13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3" t="s">
        <v>27</v>
      </c>
      <c r="S883" s="13" t="s">
        <v>27</v>
      </c>
    </row>
    <row r="884" spans="1:19" hidden="1" x14ac:dyDescent="0.3">
      <c r="A884" s="14">
        <v>43927.708333333336</v>
      </c>
      <c r="B884" s="13" t="s">
        <v>23</v>
      </c>
      <c r="C884" s="2">
        <v>13</v>
      </c>
      <c r="D884" s="13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3" t="s">
        <v>27</v>
      </c>
      <c r="S884" s="13" t="s">
        <v>27</v>
      </c>
    </row>
    <row r="885" spans="1:19" hidden="1" x14ac:dyDescent="0.3">
      <c r="A885" s="14">
        <v>43927.708333333336</v>
      </c>
      <c r="B885" s="13" t="s">
        <v>23</v>
      </c>
      <c r="C885" s="2">
        <v>17</v>
      </c>
      <c r="D885" s="13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3" t="s">
        <v>27</v>
      </c>
      <c r="S885" s="13" t="s">
        <v>27</v>
      </c>
    </row>
    <row r="886" spans="1:19" hidden="1" x14ac:dyDescent="0.3">
      <c r="A886" s="14">
        <v>43927.708333333336</v>
      </c>
      <c r="B886" s="13" t="s">
        <v>23</v>
      </c>
      <c r="C886" s="2">
        <v>4</v>
      </c>
      <c r="D886" s="13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3" t="s">
        <v>27</v>
      </c>
      <c r="S886" s="13" t="s">
        <v>27</v>
      </c>
    </row>
    <row r="887" spans="1:19" hidden="1" x14ac:dyDescent="0.3">
      <c r="A887" s="14">
        <v>43927.708333333336</v>
      </c>
      <c r="B887" s="13" t="s">
        <v>23</v>
      </c>
      <c r="C887" s="2">
        <v>18</v>
      </c>
      <c r="D887" s="13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3" t="s">
        <v>27</v>
      </c>
      <c r="S887" s="13" t="s">
        <v>27</v>
      </c>
    </row>
    <row r="888" spans="1:19" hidden="1" x14ac:dyDescent="0.3">
      <c r="A888" s="14">
        <v>43927.708333333336</v>
      </c>
      <c r="B888" s="13" t="s">
        <v>23</v>
      </c>
      <c r="C888" s="2">
        <v>15</v>
      </c>
      <c r="D888" s="13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3" t="s">
        <v>27</v>
      </c>
      <c r="S888" s="13" t="s">
        <v>27</v>
      </c>
    </row>
    <row r="889" spans="1:19" hidden="1" x14ac:dyDescent="0.3">
      <c r="A889" s="14">
        <v>43927.708333333336</v>
      </c>
      <c r="B889" s="13" t="s">
        <v>23</v>
      </c>
      <c r="C889" s="2">
        <v>8</v>
      </c>
      <c r="D889" s="13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3" t="s">
        <v>27</v>
      </c>
      <c r="S889" s="13" t="s">
        <v>27</v>
      </c>
    </row>
    <row r="890" spans="1:19" hidden="1" x14ac:dyDescent="0.3">
      <c r="A890" s="14">
        <v>43927.708333333336</v>
      </c>
      <c r="B890" s="13" t="s">
        <v>23</v>
      </c>
      <c r="C890" s="2">
        <v>6</v>
      </c>
      <c r="D890" s="13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3" t="s">
        <v>27</v>
      </c>
      <c r="S890" s="13" t="s">
        <v>27</v>
      </c>
    </row>
    <row r="891" spans="1:19" hidden="1" x14ac:dyDescent="0.3">
      <c r="A891" s="14">
        <v>43927.708333333336</v>
      </c>
      <c r="B891" s="13" t="s">
        <v>23</v>
      </c>
      <c r="C891" s="2">
        <v>12</v>
      </c>
      <c r="D891" s="13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3" t="s">
        <v>27</v>
      </c>
      <c r="S891" s="13" t="s">
        <v>27</v>
      </c>
    </row>
    <row r="892" spans="1:19" hidden="1" x14ac:dyDescent="0.3">
      <c r="A892" s="14">
        <v>43927.708333333336</v>
      </c>
      <c r="B892" s="13" t="s">
        <v>23</v>
      </c>
      <c r="C892" s="2">
        <v>7</v>
      </c>
      <c r="D892" s="13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3" t="s">
        <v>27</v>
      </c>
      <c r="S892" s="13" t="s">
        <v>27</v>
      </c>
    </row>
    <row r="893" spans="1:19" x14ac:dyDescent="0.3">
      <c r="A893" s="14">
        <v>43927.708333333336</v>
      </c>
      <c r="B893" s="13" t="s">
        <v>23</v>
      </c>
      <c r="C893" s="2">
        <v>3</v>
      </c>
      <c r="D893" s="13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3" t="s">
        <v>27</v>
      </c>
      <c r="S893" s="13" t="s">
        <v>27</v>
      </c>
    </row>
    <row r="894" spans="1:19" hidden="1" x14ac:dyDescent="0.3">
      <c r="A894" s="14">
        <v>43927.708333333336</v>
      </c>
      <c r="B894" s="13" t="s">
        <v>23</v>
      </c>
      <c r="C894" s="2">
        <v>11</v>
      </c>
      <c r="D894" s="13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3" t="s">
        <v>27</v>
      </c>
      <c r="S894" s="13" t="s">
        <v>27</v>
      </c>
    </row>
    <row r="895" spans="1:19" hidden="1" x14ac:dyDescent="0.3">
      <c r="A895" s="14">
        <v>43927.708333333336</v>
      </c>
      <c r="B895" s="13" t="s">
        <v>23</v>
      </c>
      <c r="C895" s="2">
        <v>14</v>
      </c>
      <c r="D895" s="13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3" t="s">
        <v>27</v>
      </c>
      <c r="S895" s="13" t="s">
        <v>27</v>
      </c>
    </row>
    <row r="896" spans="1:19" hidden="1" x14ac:dyDescent="0.3">
      <c r="A896" s="14">
        <v>43927.708333333336</v>
      </c>
      <c r="B896" s="13" t="s">
        <v>23</v>
      </c>
      <c r="C896" s="2">
        <v>1</v>
      </c>
      <c r="D896" s="13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3" t="s">
        <v>27</v>
      </c>
      <c r="S896" s="13" t="s">
        <v>27</v>
      </c>
    </row>
    <row r="897" spans="1:19" hidden="1" x14ac:dyDescent="0.3">
      <c r="A897" s="14">
        <v>43927.708333333336</v>
      </c>
      <c r="B897" s="13" t="s">
        <v>23</v>
      </c>
      <c r="C897" s="2">
        <v>16</v>
      </c>
      <c r="D897" s="13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3" t="s">
        <v>27</v>
      </c>
      <c r="S897" s="13" t="s">
        <v>27</v>
      </c>
    </row>
    <row r="898" spans="1:19" hidden="1" x14ac:dyDescent="0.3">
      <c r="A898" s="14">
        <v>43927.708333333336</v>
      </c>
      <c r="B898" s="13" t="s">
        <v>23</v>
      </c>
      <c r="C898" s="2">
        <v>20</v>
      </c>
      <c r="D898" s="13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3" t="s">
        <v>27</v>
      </c>
      <c r="S898" s="13" t="s">
        <v>27</v>
      </c>
    </row>
    <row r="899" spans="1:19" hidden="1" x14ac:dyDescent="0.3">
      <c r="A899" s="14">
        <v>43927.708333333336</v>
      </c>
      <c r="B899" s="13" t="s">
        <v>23</v>
      </c>
      <c r="C899" s="2">
        <v>19</v>
      </c>
      <c r="D899" s="13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3" t="s">
        <v>27</v>
      </c>
      <c r="S899" s="13" t="s">
        <v>27</v>
      </c>
    </row>
    <row r="900" spans="1:19" hidden="1" x14ac:dyDescent="0.3">
      <c r="A900" s="14">
        <v>43927.708333333336</v>
      </c>
      <c r="B900" s="13" t="s">
        <v>23</v>
      </c>
      <c r="C900" s="2">
        <v>9</v>
      </c>
      <c r="D900" s="13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3" t="s">
        <v>27</v>
      </c>
      <c r="S900" s="13" t="s">
        <v>27</v>
      </c>
    </row>
    <row r="901" spans="1:19" hidden="1" x14ac:dyDescent="0.3">
      <c r="A901" s="14">
        <v>43927.708333333336</v>
      </c>
      <c r="B901" s="13" t="s">
        <v>23</v>
      </c>
      <c r="C901" s="2">
        <v>4</v>
      </c>
      <c r="D901" s="13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3" t="s">
        <v>27</v>
      </c>
      <c r="S901" s="13" t="s">
        <v>27</v>
      </c>
    </row>
    <row r="902" spans="1:19" hidden="1" x14ac:dyDescent="0.3">
      <c r="A902" s="14">
        <v>43927.708333333336</v>
      </c>
      <c r="B902" s="13" t="s">
        <v>23</v>
      </c>
      <c r="C902" s="2">
        <v>10</v>
      </c>
      <c r="D902" s="13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3" t="s">
        <v>27</v>
      </c>
      <c r="S902" s="13" t="s">
        <v>27</v>
      </c>
    </row>
    <row r="903" spans="1:19" hidden="1" x14ac:dyDescent="0.3">
      <c r="A903" s="14">
        <v>43927.708333333336</v>
      </c>
      <c r="B903" s="13" t="s">
        <v>23</v>
      </c>
      <c r="C903" s="2">
        <v>2</v>
      </c>
      <c r="D903" s="13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3" t="s">
        <v>27</v>
      </c>
      <c r="S903" s="13" t="s">
        <v>27</v>
      </c>
    </row>
    <row r="904" spans="1:19" hidden="1" x14ac:dyDescent="0.3">
      <c r="A904" s="14">
        <v>43927.708333333336</v>
      </c>
      <c r="B904" s="13" t="s">
        <v>23</v>
      </c>
      <c r="C904" s="2">
        <v>5</v>
      </c>
      <c r="D904" s="13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3" t="s">
        <v>27</v>
      </c>
      <c r="S904" s="13" t="s">
        <v>27</v>
      </c>
    </row>
    <row r="905" spans="1:19" hidden="1" x14ac:dyDescent="0.3">
      <c r="A905" s="14">
        <v>43928.708333333336</v>
      </c>
      <c r="B905" s="13" t="s">
        <v>23</v>
      </c>
      <c r="C905" s="2">
        <v>13</v>
      </c>
      <c r="D905" s="13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3" t="s">
        <v>27</v>
      </c>
      <c r="S905" s="13" t="s">
        <v>27</v>
      </c>
    </row>
    <row r="906" spans="1:19" hidden="1" x14ac:dyDescent="0.3">
      <c r="A906" s="14">
        <v>43928.708333333336</v>
      </c>
      <c r="B906" s="13" t="s">
        <v>23</v>
      </c>
      <c r="C906" s="2">
        <v>17</v>
      </c>
      <c r="D906" s="13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3" t="s">
        <v>27</v>
      </c>
      <c r="S906" s="13" t="s">
        <v>27</v>
      </c>
    </row>
    <row r="907" spans="1:19" hidden="1" x14ac:dyDescent="0.3">
      <c r="A907" s="14">
        <v>43928.708333333336</v>
      </c>
      <c r="B907" s="13" t="s">
        <v>23</v>
      </c>
      <c r="C907" s="2">
        <v>4</v>
      </c>
      <c r="D907" s="13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3" t="s">
        <v>27</v>
      </c>
      <c r="S907" s="13" t="s">
        <v>27</v>
      </c>
    </row>
    <row r="908" spans="1:19" hidden="1" x14ac:dyDescent="0.3">
      <c r="A908" s="14">
        <v>43928.708333333336</v>
      </c>
      <c r="B908" s="13" t="s">
        <v>23</v>
      </c>
      <c r="C908" s="2">
        <v>18</v>
      </c>
      <c r="D908" s="13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3" t="s">
        <v>27</v>
      </c>
      <c r="S908" s="13" t="s">
        <v>27</v>
      </c>
    </row>
    <row r="909" spans="1:19" hidden="1" x14ac:dyDescent="0.3">
      <c r="A909" s="14">
        <v>43928.708333333336</v>
      </c>
      <c r="B909" s="13" t="s">
        <v>23</v>
      </c>
      <c r="C909" s="2">
        <v>15</v>
      </c>
      <c r="D909" s="13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3" t="s">
        <v>27</v>
      </c>
      <c r="S909" s="13" t="s">
        <v>27</v>
      </c>
    </row>
    <row r="910" spans="1:19" hidden="1" x14ac:dyDescent="0.3">
      <c r="A910" s="14">
        <v>43928.708333333336</v>
      </c>
      <c r="B910" s="13" t="s">
        <v>23</v>
      </c>
      <c r="C910" s="2">
        <v>8</v>
      </c>
      <c r="D910" s="13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3" t="s">
        <v>27</v>
      </c>
      <c r="S910" s="13" t="s">
        <v>27</v>
      </c>
    </row>
    <row r="911" spans="1:19" hidden="1" x14ac:dyDescent="0.3">
      <c r="A911" s="14">
        <v>43928.708333333336</v>
      </c>
      <c r="B911" s="13" t="s">
        <v>23</v>
      </c>
      <c r="C911" s="2">
        <v>6</v>
      </c>
      <c r="D911" s="13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3" t="s">
        <v>27</v>
      </c>
      <c r="S911" s="13" t="s">
        <v>27</v>
      </c>
    </row>
    <row r="912" spans="1:19" hidden="1" x14ac:dyDescent="0.3">
      <c r="A912" s="14">
        <v>43928.708333333336</v>
      </c>
      <c r="B912" s="13" t="s">
        <v>23</v>
      </c>
      <c r="C912" s="2">
        <v>12</v>
      </c>
      <c r="D912" s="13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3" t="s">
        <v>27</v>
      </c>
      <c r="S912" s="13" t="s">
        <v>27</v>
      </c>
    </row>
    <row r="913" spans="1:19" hidden="1" x14ac:dyDescent="0.3">
      <c r="A913" s="14">
        <v>43928.708333333336</v>
      </c>
      <c r="B913" s="13" t="s">
        <v>23</v>
      </c>
      <c r="C913" s="2">
        <v>7</v>
      </c>
      <c r="D913" s="13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3" t="s">
        <v>27</v>
      </c>
      <c r="S913" s="13" t="s">
        <v>27</v>
      </c>
    </row>
    <row r="914" spans="1:19" x14ac:dyDescent="0.3">
      <c r="A914" s="14">
        <v>43928.708333333336</v>
      </c>
      <c r="B914" s="13" t="s">
        <v>23</v>
      </c>
      <c r="C914" s="2">
        <v>3</v>
      </c>
      <c r="D914" s="13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3" t="s">
        <v>27</v>
      </c>
      <c r="S914" s="13" t="s">
        <v>27</v>
      </c>
    </row>
    <row r="915" spans="1:19" hidden="1" x14ac:dyDescent="0.3">
      <c r="A915" s="14">
        <v>43928.708333333336</v>
      </c>
      <c r="B915" s="13" t="s">
        <v>23</v>
      </c>
      <c r="C915" s="2">
        <v>11</v>
      </c>
      <c r="D915" s="13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3" t="s">
        <v>27</v>
      </c>
      <c r="S915" s="13" t="s">
        <v>27</v>
      </c>
    </row>
    <row r="916" spans="1:19" hidden="1" x14ac:dyDescent="0.3">
      <c r="A916" s="14">
        <v>43928.708333333336</v>
      </c>
      <c r="B916" s="13" t="s">
        <v>23</v>
      </c>
      <c r="C916" s="2">
        <v>14</v>
      </c>
      <c r="D916" s="13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3" t="s">
        <v>27</v>
      </c>
      <c r="S916" s="13" t="s">
        <v>27</v>
      </c>
    </row>
    <row r="917" spans="1:19" hidden="1" x14ac:dyDescent="0.3">
      <c r="A917" s="14">
        <v>43928.708333333336</v>
      </c>
      <c r="B917" s="13" t="s">
        <v>23</v>
      </c>
      <c r="C917" s="2">
        <v>1</v>
      </c>
      <c r="D917" s="13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3" t="s">
        <v>27</v>
      </c>
      <c r="S917" s="13" t="s">
        <v>27</v>
      </c>
    </row>
    <row r="918" spans="1:19" hidden="1" x14ac:dyDescent="0.3">
      <c r="A918" s="14">
        <v>43928.708333333336</v>
      </c>
      <c r="B918" s="13" t="s">
        <v>23</v>
      </c>
      <c r="C918" s="2">
        <v>16</v>
      </c>
      <c r="D918" s="13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3" t="s">
        <v>27</v>
      </c>
      <c r="S918" s="13" t="s">
        <v>27</v>
      </c>
    </row>
    <row r="919" spans="1:19" hidden="1" x14ac:dyDescent="0.3">
      <c r="A919" s="14">
        <v>43928.708333333336</v>
      </c>
      <c r="B919" s="13" t="s">
        <v>23</v>
      </c>
      <c r="C919" s="2">
        <v>20</v>
      </c>
      <c r="D919" s="13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3" t="s">
        <v>27</v>
      </c>
      <c r="S919" s="13" t="s">
        <v>27</v>
      </c>
    </row>
    <row r="920" spans="1:19" hidden="1" x14ac:dyDescent="0.3">
      <c r="A920" s="14">
        <v>43928.708333333336</v>
      </c>
      <c r="B920" s="13" t="s">
        <v>23</v>
      </c>
      <c r="C920" s="2">
        <v>19</v>
      </c>
      <c r="D920" s="13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3" t="s">
        <v>27</v>
      </c>
      <c r="S920" s="13" t="s">
        <v>27</v>
      </c>
    </row>
    <row r="921" spans="1:19" hidden="1" x14ac:dyDescent="0.3">
      <c r="A921" s="14">
        <v>43928.708333333336</v>
      </c>
      <c r="B921" s="13" t="s">
        <v>23</v>
      </c>
      <c r="C921" s="2">
        <v>9</v>
      </c>
      <c r="D921" s="13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3" t="s">
        <v>27</v>
      </c>
      <c r="S921" s="13" t="s">
        <v>27</v>
      </c>
    </row>
    <row r="922" spans="1:19" hidden="1" x14ac:dyDescent="0.3">
      <c r="A922" s="14">
        <v>43928.708333333336</v>
      </c>
      <c r="B922" s="13" t="s">
        <v>23</v>
      </c>
      <c r="C922" s="2">
        <v>4</v>
      </c>
      <c r="D922" s="13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3" t="s">
        <v>27</v>
      </c>
      <c r="S922" s="13" t="s">
        <v>27</v>
      </c>
    </row>
    <row r="923" spans="1:19" hidden="1" x14ac:dyDescent="0.3">
      <c r="A923" s="14">
        <v>43928.708333333336</v>
      </c>
      <c r="B923" s="13" t="s">
        <v>23</v>
      </c>
      <c r="C923" s="2">
        <v>10</v>
      </c>
      <c r="D923" s="13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3" t="s">
        <v>27</v>
      </c>
      <c r="S923" s="13" t="s">
        <v>27</v>
      </c>
    </row>
    <row r="924" spans="1:19" hidden="1" x14ac:dyDescent="0.3">
      <c r="A924" s="14">
        <v>43928.708333333336</v>
      </c>
      <c r="B924" s="13" t="s">
        <v>23</v>
      </c>
      <c r="C924" s="2">
        <v>2</v>
      </c>
      <c r="D924" s="13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3" t="s">
        <v>27</v>
      </c>
      <c r="S924" s="13" t="s">
        <v>27</v>
      </c>
    </row>
    <row r="925" spans="1:19" hidden="1" x14ac:dyDescent="0.3">
      <c r="A925" s="14">
        <v>43928.708333333336</v>
      </c>
      <c r="B925" s="13" t="s">
        <v>23</v>
      </c>
      <c r="C925" s="2">
        <v>5</v>
      </c>
      <c r="D925" s="13" t="s">
        <v>63</v>
      </c>
      <c r="E925" s="2">
        <v>4543490485</v>
      </c>
      <c r="F925" s="2">
        <v>1233845213</v>
      </c>
      <c r="G925" s="2">
        <v>1579</v>
      </c>
      <c r="H925" s="2">
        <v>297</v>
      </c>
      <c r="I925" s="2">
        <v>1876</v>
      </c>
      <c r="J925" s="2">
        <v>8089</v>
      </c>
      <c r="K925" s="2">
        <v>9965</v>
      </c>
      <c r="L925" s="2">
        <v>243</v>
      </c>
      <c r="M925" s="2">
        <v>337</v>
      </c>
      <c r="N925" s="2">
        <v>1265</v>
      </c>
      <c r="O925" s="2">
        <v>695</v>
      </c>
      <c r="P925" s="2">
        <v>11925</v>
      </c>
      <c r="Q925" s="2">
        <v>153542</v>
      </c>
      <c r="R925" s="13" t="s">
        <v>27</v>
      </c>
      <c r="S925" s="13" t="s">
        <v>27</v>
      </c>
    </row>
    <row r="926" spans="1:19" hidden="1" x14ac:dyDescent="0.3">
      <c r="A926" s="14">
        <v>43929.708333333336</v>
      </c>
      <c r="B926" s="13" t="s">
        <v>23</v>
      </c>
      <c r="C926" s="2">
        <v>13</v>
      </c>
      <c r="D926" s="13" t="s">
        <v>44</v>
      </c>
      <c r="E926" s="2">
        <v>4235122196</v>
      </c>
      <c r="F926" s="2">
        <v>1339843823</v>
      </c>
      <c r="G926" s="2">
        <v>331</v>
      </c>
      <c r="H926" s="2">
        <v>62</v>
      </c>
      <c r="I926" s="2">
        <v>393</v>
      </c>
      <c r="J926" s="2">
        <v>1141</v>
      </c>
      <c r="K926" s="2">
        <v>1534</v>
      </c>
      <c r="L926" s="2">
        <v>43</v>
      </c>
      <c r="M926" s="2">
        <v>60</v>
      </c>
      <c r="N926" s="2">
        <v>146</v>
      </c>
      <c r="O926" s="2">
        <v>179</v>
      </c>
      <c r="P926" s="2">
        <v>1859</v>
      </c>
      <c r="Q926" s="2">
        <v>15846</v>
      </c>
      <c r="R926" s="13" t="s">
        <v>27</v>
      </c>
      <c r="S926" s="13" t="s">
        <v>27</v>
      </c>
    </row>
    <row r="927" spans="1:19" hidden="1" x14ac:dyDescent="0.3">
      <c r="A927" s="14">
        <v>43929.708333333336</v>
      </c>
      <c r="B927" s="13" t="s">
        <v>23</v>
      </c>
      <c r="C927" s="2">
        <v>17</v>
      </c>
      <c r="D927" s="13" t="s">
        <v>45</v>
      </c>
      <c r="E927" s="2">
        <v>4063947052</v>
      </c>
      <c r="F927" s="2">
        <v>1580514834</v>
      </c>
      <c r="G927" s="2">
        <v>48</v>
      </c>
      <c r="H927" s="2">
        <v>17</v>
      </c>
      <c r="I927" s="2">
        <v>65</v>
      </c>
      <c r="J927" s="2">
        <v>205</v>
      </c>
      <c r="K927" s="2">
        <v>270</v>
      </c>
      <c r="L927" s="2">
        <v>5</v>
      </c>
      <c r="M927" s="2">
        <v>6</v>
      </c>
      <c r="N927" s="2">
        <v>13</v>
      </c>
      <c r="O927" s="2">
        <v>14</v>
      </c>
      <c r="P927" s="2">
        <v>297</v>
      </c>
      <c r="Q927" s="2">
        <v>3296</v>
      </c>
      <c r="R927" s="13" t="s">
        <v>27</v>
      </c>
      <c r="S927" s="13" t="s">
        <v>27</v>
      </c>
    </row>
    <row r="928" spans="1:19" hidden="1" x14ac:dyDescent="0.3">
      <c r="A928" s="14">
        <v>43929.708333333336</v>
      </c>
      <c r="B928" s="13" t="s">
        <v>23</v>
      </c>
      <c r="C928" s="2">
        <v>4</v>
      </c>
      <c r="D928" s="13" t="s">
        <v>46</v>
      </c>
      <c r="E928" s="2">
        <v>4649933453</v>
      </c>
      <c r="F928" s="2">
        <v>1135662422</v>
      </c>
      <c r="G928" s="2">
        <v>268</v>
      </c>
      <c r="H928" s="2">
        <v>65</v>
      </c>
      <c r="I928" s="2">
        <v>333</v>
      </c>
      <c r="J928" s="2">
        <v>948</v>
      </c>
      <c r="K928" s="2">
        <v>1281</v>
      </c>
      <c r="L928" s="2">
        <v>-20</v>
      </c>
      <c r="M928" s="2">
        <v>24</v>
      </c>
      <c r="N928" s="2">
        <v>371</v>
      </c>
      <c r="O928" s="2">
        <v>183</v>
      </c>
      <c r="P928" s="2">
        <v>1835</v>
      </c>
      <c r="Q928" s="2">
        <v>18865</v>
      </c>
      <c r="R928" s="13" t="s">
        <v>27</v>
      </c>
      <c r="S928" s="13" t="s">
        <v>27</v>
      </c>
    </row>
    <row r="929" spans="1:19" hidden="1" x14ac:dyDescent="0.3">
      <c r="A929" s="14">
        <v>43929.708333333336</v>
      </c>
      <c r="B929" s="13" t="s">
        <v>23</v>
      </c>
      <c r="C929" s="2">
        <v>18</v>
      </c>
      <c r="D929" s="13" t="s">
        <v>47</v>
      </c>
      <c r="E929" s="2">
        <v>3890597598</v>
      </c>
      <c r="F929" s="2">
        <v>1659440194</v>
      </c>
      <c r="G929" s="2">
        <v>170</v>
      </c>
      <c r="H929" s="2">
        <v>15</v>
      </c>
      <c r="I929" s="2">
        <v>185</v>
      </c>
      <c r="J929" s="2">
        <v>570</v>
      </c>
      <c r="K929" s="2">
        <v>755</v>
      </c>
      <c r="L929" s="2">
        <v>22</v>
      </c>
      <c r="M929" s="2">
        <v>26</v>
      </c>
      <c r="N929" s="2">
        <v>44</v>
      </c>
      <c r="O929" s="2">
        <v>60</v>
      </c>
      <c r="P929" s="2">
        <v>859</v>
      </c>
      <c r="Q929" s="2">
        <v>14977</v>
      </c>
      <c r="R929" s="13" t="s">
        <v>27</v>
      </c>
      <c r="S929" s="13" t="s">
        <v>27</v>
      </c>
    </row>
    <row r="930" spans="1:19" hidden="1" x14ac:dyDescent="0.3">
      <c r="A930" s="14">
        <v>43929.708333333336</v>
      </c>
      <c r="B930" s="13" t="s">
        <v>23</v>
      </c>
      <c r="C930" s="2">
        <v>15</v>
      </c>
      <c r="D930" s="13" t="s">
        <v>48</v>
      </c>
      <c r="E930" s="2">
        <v>4083956555</v>
      </c>
      <c r="F930" s="2">
        <v>1425084984</v>
      </c>
      <c r="G930" s="2">
        <v>608</v>
      </c>
      <c r="H930" s="2">
        <v>97</v>
      </c>
      <c r="I930" s="2">
        <v>705</v>
      </c>
      <c r="J930" s="2">
        <v>2154</v>
      </c>
      <c r="K930" s="2">
        <v>2859</v>
      </c>
      <c r="L930" s="2">
        <v>94</v>
      </c>
      <c r="M930" s="2">
        <v>120</v>
      </c>
      <c r="N930" s="2">
        <v>188</v>
      </c>
      <c r="O930" s="2">
        <v>221</v>
      </c>
      <c r="P930" s="2">
        <v>3268</v>
      </c>
      <c r="Q930" s="2">
        <v>27784</v>
      </c>
      <c r="R930" s="13" t="s">
        <v>27</v>
      </c>
      <c r="S930" s="13" t="s">
        <v>27</v>
      </c>
    </row>
    <row r="931" spans="1:19" hidden="1" x14ac:dyDescent="0.3">
      <c r="A931" s="14">
        <v>43929.708333333336</v>
      </c>
      <c r="B931" s="13" t="s">
        <v>23</v>
      </c>
      <c r="C931" s="2">
        <v>8</v>
      </c>
      <c r="D931" s="13" t="s">
        <v>98</v>
      </c>
      <c r="E931" s="2">
        <v>4449436681</v>
      </c>
      <c r="F931" s="2">
        <v>113417208</v>
      </c>
      <c r="G931" s="2">
        <v>3769</v>
      </c>
      <c r="H931" s="2">
        <v>361</v>
      </c>
      <c r="I931" s="2">
        <v>4130</v>
      </c>
      <c r="J931" s="2">
        <v>8980</v>
      </c>
      <c r="K931" s="2">
        <v>13110</v>
      </c>
      <c r="L931" s="2">
        <v>62</v>
      </c>
      <c r="M931" s="2">
        <v>409</v>
      </c>
      <c r="N931" s="2">
        <v>2890</v>
      </c>
      <c r="O931" s="2">
        <v>2234</v>
      </c>
      <c r="P931" s="2">
        <v>18234</v>
      </c>
      <c r="Q931" s="2">
        <v>78367</v>
      </c>
      <c r="R931" s="13" t="s">
        <v>27</v>
      </c>
      <c r="S931" s="13" t="s">
        <v>27</v>
      </c>
    </row>
    <row r="932" spans="1:19" hidden="1" x14ac:dyDescent="0.3">
      <c r="A932" s="14">
        <v>43929.708333333336</v>
      </c>
      <c r="B932" s="13" t="s">
        <v>23</v>
      </c>
      <c r="C932" s="2">
        <v>6</v>
      </c>
      <c r="D932" s="13" t="s">
        <v>49</v>
      </c>
      <c r="E932" s="2">
        <v>456494354</v>
      </c>
      <c r="F932" s="2">
        <v>1376813649</v>
      </c>
      <c r="G932" s="2">
        <v>162</v>
      </c>
      <c r="H932" s="2">
        <v>41</v>
      </c>
      <c r="I932" s="2">
        <v>203</v>
      </c>
      <c r="J932" s="2">
        <v>1212</v>
      </c>
      <c r="K932" s="2">
        <v>1415</v>
      </c>
      <c r="L932" s="2">
        <v>36</v>
      </c>
      <c r="M932" s="2">
        <v>65</v>
      </c>
      <c r="N932" s="2">
        <v>634</v>
      </c>
      <c r="O932" s="2">
        <v>169</v>
      </c>
      <c r="P932" s="2">
        <v>2218</v>
      </c>
      <c r="Q932" s="2">
        <v>24798</v>
      </c>
      <c r="R932" s="13" t="s">
        <v>27</v>
      </c>
      <c r="S932" s="13" t="s">
        <v>27</v>
      </c>
    </row>
    <row r="933" spans="1:19" hidden="1" x14ac:dyDescent="0.3">
      <c r="A933" s="14">
        <v>43929.708333333336</v>
      </c>
      <c r="B933" s="13" t="s">
        <v>23</v>
      </c>
      <c r="C933" s="2">
        <v>12</v>
      </c>
      <c r="D933" s="13" t="s">
        <v>50</v>
      </c>
      <c r="E933" s="2">
        <v>4189277044</v>
      </c>
      <c r="F933" s="2">
        <v>1248366722</v>
      </c>
      <c r="G933" s="2">
        <v>1241</v>
      </c>
      <c r="H933" s="2">
        <v>196</v>
      </c>
      <c r="I933" s="2">
        <v>1437</v>
      </c>
      <c r="J933" s="2">
        <v>2011</v>
      </c>
      <c r="K933" s="2">
        <v>3448</v>
      </c>
      <c r="L933" s="2">
        <v>83</v>
      </c>
      <c r="M933" s="2">
        <v>117</v>
      </c>
      <c r="N933" s="2">
        <v>574</v>
      </c>
      <c r="O933" s="2">
        <v>244</v>
      </c>
      <c r="P933" s="2">
        <v>4266</v>
      </c>
      <c r="Q933" s="2">
        <v>55113</v>
      </c>
      <c r="R933" s="13" t="s">
        <v>27</v>
      </c>
      <c r="S933" s="13" t="s">
        <v>27</v>
      </c>
    </row>
    <row r="934" spans="1:19" hidden="1" x14ac:dyDescent="0.3">
      <c r="A934" s="14">
        <v>43929.708333333336</v>
      </c>
      <c r="B934" s="13" t="s">
        <v>23</v>
      </c>
      <c r="C934" s="2">
        <v>7</v>
      </c>
      <c r="D934" s="13" t="s">
        <v>51</v>
      </c>
      <c r="E934" s="2">
        <v>4441149315</v>
      </c>
      <c r="F934" s="2">
        <v>89326992</v>
      </c>
      <c r="G934" s="2">
        <v>1109</v>
      </c>
      <c r="H934" s="2">
        <v>153</v>
      </c>
      <c r="I934" s="2">
        <v>1262</v>
      </c>
      <c r="J934" s="2">
        <v>1983</v>
      </c>
      <c r="K934" s="2">
        <v>3245</v>
      </c>
      <c r="L934" s="2">
        <v>33</v>
      </c>
      <c r="M934" s="2">
        <v>149</v>
      </c>
      <c r="N934" s="2">
        <v>1007</v>
      </c>
      <c r="O934" s="2">
        <v>654</v>
      </c>
      <c r="P934" s="2">
        <v>4906</v>
      </c>
      <c r="Q934" s="2">
        <v>17521</v>
      </c>
      <c r="R934" s="13" t="s">
        <v>27</v>
      </c>
      <c r="S934" s="13" t="s">
        <v>27</v>
      </c>
    </row>
    <row r="935" spans="1:19" x14ac:dyDescent="0.3">
      <c r="A935" s="14">
        <v>43929.708333333336</v>
      </c>
      <c r="B935" s="13" t="s">
        <v>23</v>
      </c>
      <c r="C935" s="2">
        <v>3</v>
      </c>
      <c r="D935" s="13" t="s">
        <v>52</v>
      </c>
      <c r="E935" s="2">
        <v>4546679409</v>
      </c>
      <c r="F935" s="2">
        <v>9190347404</v>
      </c>
      <c r="G935" s="2">
        <v>11719</v>
      </c>
      <c r="H935" s="2">
        <v>1257</v>
      </c>
      <c r="I935" s="2">
        <v>12976</v>
      </c>
      <c r="J935" s="2">
        <v>15569</v>
      </c>
      <c r="K935" s="2">
        <v>28545</v>
      </c>
      <c r="L935" s="2">
        <v>202</v>
      </c>
      <c r="M935" s="2">
        <v>1089</v>
      </c>
      <c r="N935" s="2">
        <v>15147</v>
      </c>
      <c r="O935" s="2">
        <v>9722</v>
      </c>
      <c r="P935" s="2">
        <v>53414</v>
      </c>
      <c r="Q935" s="2">
        <v>167557</v>
      </c>
      <c r="R935" s="13" t="s">
        <v>27</v>
      </c>
      <c r="S935" s="13" t="s">
        <v>27</v>
      </c>
    </row>
    <row r="936" spans="1:19" hidden="1" x14ac:dyDescent="0.3">
      <c r="A936" s="14">
        <v>43929.708333333336</v>
      </c>
      <c r="B936" s="13" t="s">
        <v>23</v>
      </c>
      <c r="C936" s="2">
        <v>11</v>
      </c>
      <c r="D936" s="13" t="s">
        <v>53</v>
      </c>
      <c r="E936" s="2">
        <v>4361675973</v>
      </c>
      <c r="F936" s="2">
        <v>135188753</v>
      </c>
      <c r="G936" s="2">
        <v>974</v>
      </c>
      <c r="H936" s="2">
        <v>133</v>
      </c>
      <c r="I936" s="2">
        <v>1107</v>
      </c>
      <c r="J936" s="2">
        <v>2455</v>
      </c>
      <c r="K936" s="2">
        <v>3562</v>
      </c>
      <c r="L936" s="2">
        <v>-176</v>
      </c>
      <c r="M936" s="2">
        <v>149</v>
      </c>
      <c r="N936" s="2">
        <v>645</v>
      </c>
      <c r="O936" s="2">
        <v>652</v>
      </c>
      <c r="P936" s="2">
        <v>4859</v>
      </c>
      <c r="Q936" s="2">
        <v>17532</v>
      </c>
      <c r="R936" s="13" t="s">
        <v>27</v>
      </c>
      <c r="S936" s="13" t="s">
        <v>27</v>
      </c>
    </row>
    <row r="937" spans="1:19" hidden="1" x14ac:dyDescent="0.3">
      <c r="A937" s="14">
        <v>43929.708333333336</v>
      </c>
      <c r="B937" s="13" t="s">
        <v>23</v>
      </c>
      <c r="C937" s="2">
        <v>14</v>
      </c>
      <c r="D937" s="13" t="s">
        <v>54</v>
      </c>
      <c r="E937" s="2">
        <v>4155774754</v>
      </c>
      <c r="F937" s="2">
        <v>1465916051</v>
      </c>
      <c r="G937" s="2">
        <v>30</v>
      </c>
      <c r="H937" s="2">
        <v>4</v>
      </c>
      <c r="I937" s="2">
        <v>34</v>
      </c>
      <c r="J937" s="2">
        <v>147</v>
      </c>
      <c r="K937" s="2">
        <v>181</v>
      </c>
      <c r="L937" s="2">
        <v>-4</v>
      </c>
      <c r="M937" s="2">
        <v>2</v>
      </c>
      <c r="N937" s="2">
        <v>32</v>
      </c>
      <c r="O937" s="2">
        <v>13</v>
      </c>
      <c r="P937" s="2">
        <v>226</v>
      </c>
      <c r="Q937" s="2">
        <v>2002</v>
      </c>
      <c r="R937" s="13" t="s">
        <v>27</v>
      </c>
      <c r="S937" s="13" t="s">
        <v>27</v>
      </c>
    </row>
    <row r="938" spans="1:19" hidden="1" x14ac:dyDescent="0.3">
      <c r="A938" s="14">
        <v>43929.708333333336</v>
      </c>
      <c r="B938" s="13" t="s">
        <v>23</v>
      </c>
      <c r="C938" s="2">
        <v>1</v>
      </c>
      <c r="D938" s="13" t="s">
        <v>55</v>
      </c>
      <c r="E938" s="2">
        <v>450732745</v>
      </c>
      <c r="F938" s="2">
        <v>7680687483</v>
      </c>
      <c r="G938" s="2">
        <v>3493</v>
      </c>
      <c r="H938" s="2">
        <v>423</v>
      </c>
      <c r="I938" s="2">
        <v>3916</v>
      </c>
      <c r="J938" s="2">
        <v>7073</v>
      </c>
      <c r="K938" s="2">
        <v>10989</v>
      </c>
      <c r="L938" s="2">
        <v>285</v>
      </c>
      <c r="M938" s="2">
        <v>540</v>
      </c>
      <c r="N938" s="2">
        <v>1516</v>
      </c>
      <c r="O938" s="2">
        <v>1378</v>
      </c>
      <c r="P938" s="2">
        <v>13883</v>
      </c>
      <c r="Q938" s="2">
        <v>48495</v>
      </c>
      <c r="R938" s="13" t="s">
        <v>27</v>
      </c>
      <c r="S938" s="13" t="s">
        <v>27</v>
      </c>
    </row>
    <row r="939" spans="1:19" hidden="1" x14ac:dyDescent="0.3">
      <c r="A939" s="14">
        <v>43929.708333333336</v>
      </c>
      <c r="B939" s="13" t="s">
        <v>23</v>
      </c>
      <c r="C939" s="2">
        <v>16</v>
      </c>
      <c r="D939" s="13" t="s">
        <v>56</v>
      </c>
      <c r="E939" s="2">
        <v>4112559576</v>
      </c>
      <c r="F939" s="2">
        <v>1686736689</v>
      </c>
      <c r="G939" s="2">
        <v>639</v>
      </c>
      <c r="H939" s="2">
        <v>90</v>
      </c>
      <c r="I939" s="2">
        <v>729</v>
      </c>
      <c r="J939" s="2">
        <v>1509</v>
      </c>
      <c r="K939" s="2">
        <v>2238</v>
      </c>
      <c r="L939" s="2">
        <v>101</v>
      </c>
      <c r="M939" s="2">
        <v>120</v>
      </c>
      <c r="N939" s="2">
        <v>177</v>
      </c>
      <c r="O939" s="2">
        <v>219</v>
      </c>
      <c r="P939" s="2">
        <v>2634</v>
      </c>
      <c r="Q939" s="2">
        <v>24493</v>
      </c>
      <c r="R939" s="13" t="s">
        <v>27</v>
      </c>
      <c r="S939" s="13" t="s">
        <v>27</v>
      </c>
    </row>
    <row r="940" spans="1:19" hidden="1" x14ac:dyDescent="0.3">
      <c r="A940" s="14">
        <v>43929.708333333336</v>
      </c>
      <c r="B940" s="13" t="s">
        <v>23</v>
      </c>
      <c r="C940" s="2">
        <v>20</v>
      </c>
      <c r="D940" s="13" t="s">
        <v>57</v>
      </c>
      <c r="E940" s="2">
        <v>3921531192</v>
      </c>
      <c r="F940" s="2">
        <v>9110616306</v>
      </c>
      <c r="G940" s="2">
        <v>112</v>
      </c>
      <c r="H940" s="2">
        <v>31</v>
      </c>
      <c r="I940" s="2">
        <v>143</v>
      </c>
      <c r="J940" s="2">
        <v>697</v>
      </c>
      <c r="K940" s="2">
        <v>840</v>
      </c>
      <c r="L940" s="2">
        <v>19</v>
      </c>
      <c r="M940" s="2">
        <v>40</v>
      </c>
      <c r="N940" s="2">
        <v>76</v>
      </c>
      <c r="O940" s="2">
        <v>59</v>
      </c>
      <c r="P940" s="2">
        <v>975</v>
      </c>
      <c r="Q940" s="2">
        <v>8493</v>
      </c>
      <c r="R940" s="13" t="s">
        <v>27</v>
      </c>
      <c r="S940" s="13" t="s">
        <v>27</v>
      </c>
    </row>
    <row r="941" spans="1:19" hidden="1" x14ac:dyDescent="0.3">
      <c r="A941" s="14">
        <v>43929.708333333336</v>
      </c>
      <c r="B941" s="13" t="s">
        <v>23</v>
      </c>
      <c r="C941" s="2">
        <v>19</v>
      </c>
      <c r="D941" s="13" t="s">
        <v>58</v>
      </c>
      <c r="E941" s="2">
        <v>3811569725</v>
      </c>
      <c r="F941" s="2">
        <v>133623567</v>
      </c>
      <c r="G941" s="2">
        <v>563</v>
      </c>
      <c r="H941" s="2">
        <v>65</v>
      </c>
      <c r="I941" s="2">
        <v>628</v>
      </c>
      <c r="J941" s="2">
        <v>1265</v>
      </c>
      <c r="K941" s="2">
        <v>1893</v>
      </c>
      <c r="L941" s="2">
        <v>34</v>
      </c>
      <c r="M941" s="2">
        <v>62</v>
      </c>
      <c r="N941" s="2">
        <v>133</v>
      </c>
      <c r="O941" s="2">
        <v>133</v>
      </c>
      <c r="P941" s="2">
        <v>2159</v>
      </c>
      <c r="Q941" s="2">
        <v>27438</v>
      </c>
      <c r="R941" s="13" t="s">
        <v>27</v>
      </c>
      <c r="S941" s="13" t="s">
        <v>27</v>
      </c>
    </row>
    <row r="942" spans="1:19" hidden="1" x14ac:dyDescent="0.3">
      <c r="A942" s="14">
        <v>43929.708333333336</v>
      </c>
      <c r="B942" s="13" t="s">
        <v>23</v>
      </c>
      <c r="C942" s="2">
        <v>9</v>
      </c>
      <c r="D942" s="13" t="s">
        <v>59</v>
      </c>
      <c r="E942" s="2">
        <v>4376923077</v>
      </c>
      <c r="F942" s="2">
        <v>1125588885</v>
      </c>
      <c r="G942" s="2">
        <v>1066</v>
      </c>
      <c r="H942" s="2">
        <v>260</v>
      </c>
      <c r="I942" s="2">
        <v>1326</v>
      </c>
      <c r="J942" s="2">
        <v>4231</v>
      </c>
      <c r="K942" s="2">
        <v>5557</v>
      </c>
      <c r="L942" s="2">
        <v>130</v>
      </c>
      <c r="M942" s="2">
        <v>206</v>
      </c>
      <c r="N942" s="2">
        <v>430</v>
      </c>
      <c r="O942" s="2">
        <v>392</v>
      </c>
      <c r="P942" s="2">
        <v>6379</v>
      </c>
      <c r="Q942" s="2">
        <v>60985</v>
      </c>
      <c r="R942" s="13" t="s">
        <v>27</v>
      </c>
      <c r="S942" s="13" t="s">
        <v>27</v>
      </c>
    </row>
    <row r="943" spans="1:19" hidden="1" x14ac:dyDescent="0.3">
      <c r="A943" s="14">
        <v>43929.708333333336</v>
      </c>
      <c r="B943" s="13" t="s">
        <v>23</v>
      </c>
      <c r="C943" s="2">
        <v>4</v>
      </c>
      <c r="D943" s="13" t="s">
        <v>60</v>
      </c>
      <c r="E943" s="2">
        <v>4606893511</v>
      </c>
      <c r="F943" s="2">
        <v>1112123097</v>
      </c>
      <c r="G943" s="2">
        <v>354</v>
      </c>
      <c r="H943" s="2">
        <v>77</v>
      </c>
      <c r="I943" s="2">
        <v>431</v>
      </c>
      <c r="J943" s="2">
        <v>1509</v>
      </c>
      <c r="K943" s="2">
        <v>1940</v>
      </c>
      <c r="L943" s="2">
        <v>50</v>
      </c>
      <c r="M943" s="2">
        <v>126</v>
      </c>
      <c r="N943" s="2">
        <v>407</v>
      </c>
      <c r="O943" s="2">
        <v>255</v>
      </c>
      <c r="P943" s="2">
        <v>2602</v>
      </c>
      <c r="Q943" s="2">
        <v>13258</v>
      </c>
      <c r="R943" s="13" t="s">
        <v>27</v>
      </c>
      <c r="S943" s="13" t="s">
        <v>27</v>
      </c>
    </row>
    <row r="944" spans="1:19" hidden="1" x14ac:dyDescent="0.3">
      <c r="A944" s="14">
        <v>43929.708333333336</v>
      </c>
      <c r="B944" s="13" t="s">
        <v>23</v>
      </c>
      <c r="C944" s="2">
        <v>10</v>
      </c>
      <c r="D944" s="13" t="s">
        <v>61</v>
      </c>
      <c r="E944" s="2">
        <v>4310675841</v>
      </c>
      <c r="F944" s="2">
        <v>1238824698</v>
      </c>
      <c r="G944" s="2">
        <v>155</v>
      </c>
      <c r="H944" s="2">
        <v>41</v>
      </c>
      <c r="I944" s="2">
        <v>196</v>
      </c>
      <c r="J944" s="2">
        <v>627</v>
      </c>
      <c r="K944" s="2">
        <v>823</v>
      </c>
      <c r="L944" s="2">
        <v>-23</v>
      </c>
      <c r="M944" s="2">
        <v>26</v>
      </c>
      <c r="N944" s="2">
        <v>416</v>
      </c>
      <c r="O944" s="2">
        <v>50</v>
      </c>
      <c r="P944" s="2">
        <v>1289</v>
      </c>
      <c r="Q944" s="2">
        <v>14105</v>
      </c>
      <c r="R944" s="13" t="s">
        <v>27</v>
      </c>
      <c r="S944" s="13" t="s">
        <v>27</v>
      </c>
    </row>
    <row r="945" spans="1:19" hidden="1" x14ac:dyDescent="0.3">
      <c r="A945" s="14">
        <v>43929.708333333336</v>
      </c>
      <c r="B945" s="13" t="s">
        <v>23</v>
      </c>
      <c r="C945" s="2">
        <v>2</v>
      </c>
      <c r="D945" s="13" t="s">
        <v>62</v>
      </c>
      <c r="E945" s="2">
        <v>4573750286</v>
      </c>
      <c r="F945" s="2">
        <v>7320149366</v>
      </c>
      <c r="G945" s="2">
        <v>120</v>
      </c>
      <c r="H945" s="2">
        <v>20</v>
      </c>
      <c r="I945" s="2">
        <v>140</v>
      </c>
      <c r="J945" s="2">
        <v>466</v>
      </c>
      <c r="K945" s="2">
        <v>606</v>
      </c>
      <c r="L945" s="2">
        <v>13</v>
      </c>
      <c r="M945" s="2">
        <v>15</v>
      </c>
      <c r="N945" s="2">
        <v>142</v>
      </c>
      <c r="O945" s="2">
        <v>102</v>
      </c>
      <c r="P945" s="2">
        <v>850</v>
      </c>
      <c r="Q945" s="2">
        <v>2953</v>
      </c>
      <c r="R945" s="13" t="s">
        <v>27</v>
      </c>
      <c r="S945" s="13" t="s">
        <v>27</v>
      </c>
    </row>
    <row r="946" spans="1:19" hidden="1" x14ac:dyDescent="0.3">
      <c r="A946" s="14">
        <v>43929.708333333336</v>
      </c>
      <c r="B946" s="13" t="s">
        <v>23</v>
      </c>
      <c r="C946" s="2">
        <v>5</v>
      </c>
      <c r="D946" s="13" t="s">
        <v>63</v>
      </c>
      <c r="E946" s="2">
        <v>4543490485</v>
      </c>
      <c r="F946" s="2">
        <v>1233845213</v>
      </c>
      <c r="G946" s="2">
        <v>1554</v>
      </c>
      <c r="H946" s="2">
        <v>285</v>
      </c>
      <c r="I946" s="2">
        <v>1839</v>
      </c>
      <c r="J946" s="2">
        <v>8332</v>
      </c>
      <c r="K946" s="2">
        <v>10171</v>
      </c>
      <c r="L946" s="2">
        <v>206</v>
      </c>
      <c r="M946" s="2">
        <v>485</v>
      </c>
      <c r="N946" s="2">
        <v>1503</v>
      </c>
      <c r="O946" s="2">
        <v>736</v>
      </c>
      <c r="P946" s="2">
        <v>12410</v>
      </c>
      <c r="Q946" s="2">
        <v>163247</v>
      </c>
      <c r="R946" s="13" t="s">
        <v>27</v>
      </c>
      <c r="S946" s="13" t="s">
        <v>27</v>
      </c>
    </row>
    <row r="947" spans="1:19" hidden="1" x14ac:dyDescent="0.3">
      <c r="A947" s="14">
        <v>43930.708333333336</v>
      </c>
      <c r="B947" s="13" t="s">
        <v>23</v>
      </c>
      <c r="C947" s="2">
        <v>13</v>
      </c>
      <c r="D947" s="13" t="s">
        <v>44</v>
      </c>
      <c r="E947" s="2">
        <v>4235122196</v>
      </c>
      <c r="F947" s="2">
        <v>1339843823</v>
      </c>
      <c r="G947" s="2">
        <v>306</v>
      </c>
      <c r="H947" s="2">
        <v>57</v>
      </c>
      <c r="I947" s="2">
        <v>363</v>
      </c>
      <c r="J947" s="2">
        <v>1203</v>
      </c>
      <c r="K947" s="2">
        <v>1566</v>
      </c>
      <c r="L947" s="2">
        <v>32</v>
      </c>
      <c r="M947" s="2">
        <v>72</v>
      </c>
      <c r="N947" s="2">
        <v>171</v>
      </c>
      <c r="O947" s="2">
        <v>194</v>
      </c>
      <c r="P947" s="2">
        <v>1931</v>
      </c>
      <c r="Q947" s="2">
        <v>16847</v>
      </c>
      <c r="R947" s="13" t="s">
        <v>27</v>
      </c>
      <c r="S947" s="13" t="s">
        <v>27</v>
      </c>
    </row>
    <row r="948" spans="1:19" hidden="1" x14ac:dyDescent="0.3">
      <c r="A948" s="14">
        <v>43930.708333333336</v>
      </c>
      <c r="B948" s="13" t="s">
        <v>23</v>
      </c>
      <c r="C948" s="2">
        <v>17</v>
      </c>
      <c r="D948" s="13" t="s">
        <v>45</v>
      </c>
      <c r="E948" s="2">
        <v>4063947052</v>
      </c>
      <c r="F948" s="2">
        <v>1580514834</v>
      </c>
      <c r="G948" s="2">
        <v>50</v>
      </c>
      <c r="H948" s="2">
        <v>17</v>
      </c>
      <c r="I948" s="2">
        <v>67</v>
      </c>
      <c r="J948" s="2">
        <v>208</v>
      </c>
      <c r="K948" s="2">
        <v>275</v>
      </c>
      <c r="L948" s="2">
        <v>5</v>
      </c>
      <c r="M948" s="2">
        <v>6</v>
      </c>
      <c r="N948" s="2">
        <v>13</v>
      </c>
      <c r="O948" s="2">
        <v>15</v>
      </c>
      <c r="P948" s="2">
        <v>303</v>
      </c>
      <c r="Q948" s="2">
        <v>3474</v>
      </c>
      <c r="R948" s="13" t="s">
        <v>27</v>
      </c>
      <c r="S948" s="13" t="s">
        <v>27</v>
      </c>
    </row>
    <row r="949" spans="1:19" hidden="1" x14ac:dyDescent="0.3">
      <c r="A949" s="14">
        <v>43930.708333333336</v>
      </c>
      <c r="B949" s="13" t="s">
        <v>23</v>
      </c>
      <c r="C949" s="2">
        <v>4</v>
      </c>
      <c r="D949" s="13" t="s">
        <v>46</v>
      </c>
      <c r="E949" s="2">
        <v>4649933453</v>
      </c>
      <c r="F949" s="2">
        <v>1135662422</v>
      </c>
      <c r="G949" s="2">
        <v>263</v>
      </c>
      <c r="H949" s="2">
        <v>64</v>
      </c>
      <c r="I949" s="2">
        <v>327</v>
      </c>
      <c r="J949" s="2">
        <v>988</v>
      </c>
      <c r="K949" s="2">
        <v>1315</v>
      </c>
      <c r="L949" s="2">
        <v>34</v>
      </c>
      <c r="M949" s="2">
        <v>68</v>
      </c>
      <c r="N949" s="2">
        <v>401</v>
      </c>
      <c r="O949" s="2">
        <v>187</v>
      </c>
      <c r="P949" s="2">
        <v>1903</v>
      </c>
      <c r="Q949" s="2">
        <v>19875</v>
      </c>
      <c r="R949" s="13" t="s">
        <v>27</v>
      </c>
      <c r="S949" s="13" t="s">
        <v>27</v>
      </c>
    </row>
    <row r="950" spans="1:19" hidden="1" x14ac:dyDescent="0.3">
      <c r="A950" s="14">
        <v>43930.708333333336</v>
      </c>
      <c r="B950" s="13" t="s">
        <v>23</v>
      </c>
      <c r="C950" s="2">
        <v>18</v>
      </c>
      <c r="D950" s="13" t="s">
        <v>47</v>
      </c>
      <c r="E950" s="2">
        <v>3890597598</v>
      </c>
      <c r="F950" s="2">
        <v>1659440194</v>
      </c>
      <c r="G950" s="2">
        <v>168</v>
      </c>
      <c r="H950" s="2">
        <v>15</v>
      </c>
      <c r="I950" s="2">
        <v>183</v>
      </c>
      <c r="J950" s="2">
        <v>582</v>
      </c>
      <c r="K950" s="2">
        <v>765</v>
      </c>
      <c r="L950" s="2">
        <v>10</v>
      </c>
      <c r="M950" s="2">
        <v>15</v>
      </c>
      <c r="N950" s="2">
        <v>48</v>
      </c>
      <c r="O950" s="2">
        <v>61</v>
      </c>
      <c r="P950" s="2">
        <v>874</v>
      </c>
      <c r="Q950" s="2">
        <v>15698</v>
      </c>
      <c r="R950" s="13" t="s">
        <v>27</v>
      </c>
      <c r="S950" s="13" t="s">
        <v>27</v>
      </c>
    </row>
    <row r="951" spans="1:19" hidden="1" x14ac:dyDescent="0.3">
      <c r="A951" s="14">
        <v>43930.708333333336</v>
      </c>
      <c r="B951" s="13" t="s">
        <v>23</v>
      </c>
      <c r="C951" s="2">
        <v>15</v>
      </c>
      <c r="D951" s="13" t="s">
        <v>48</v>
      </c>
      <c r="E951" s="2">
        <v>4083956555</v>
      </c>
      <c r="F951" s="2">
        <v>1425084984</v>
      </c>
      <c r="G951" s="2">
        <v>604</v>
      </c>
      <c r="H951" s="2">
        <v>94</v>
      </c>
      <c r="I951" s="2">
        <v>698</v>
      </c>
      <c r="J951" s="2">
        <v>2175</v>
      </c>
      <c r="K951" s="2">
        <v>2873</v>
      </c>
      <c r="L951" s="2">
        <v>14</v>
      </c>
      <c r="M951" s="2">
        <v>76</v>
      </c>
      <c r="N951" s="2">
        <v>244</v>
      </c>
      <c r="O951" s="2">
        <v>227</v>
      </c>
      <c r="P951" s="2">
        <v>3344</v>
      </c>
      <c r="Q951" s="2">
        <v>29664</v>
      </c>
      <c r="R951" s="13" t="s">
        <v>27</v>
      </c>
      <c r="S951" s="13" t="s">
        <v>27</v>
      </c>
    </row>
    <row r="952" spans="1:19" hidden="1" x14ac:dyDescent="0.3">
      <c r="A952" s="14">
        <v>43930.708333333336</v>
      </c>
      <c r="B952" s="13" t="s">
        <v>23</v>
      </c>
      <c r="C952" s="2">
        <v>8</v>
      </c>
      <c r="D952" s="13" t="s">
        <v>98</v>
      </c>
      <c r="E952" s="2">
        <v>4449436681</v>
      </c>
      <c r="F952" s="2">
        <v>113417208</v>
      </c>
      <c r="G952" s="2">
        <v>3722</v>
      </c>
      <c r="H952" s="2">
        <v>355</v>
      </c>
      <c r="I952" s="2">
        <v>4077</v>
      </c>
      <c r="J952" s="2">
        <v>9181</v>
      </c>
      <c r="K952" s="2">
        <v>13258</v>
      </c>
      <c r="L952" s="2">
        <v>148</v>
      </c>
      <c r="M952" s="2">
        <v>443</v>
      </c>
      <c r="N952" s="2">
        <v>3103</v>
      </c>
      <c r="O952" s="2">
        <v>2316</v>
      </c>
      <c r="P952" s="2">
        <v>18677</v>
      </c>
      <c r="Q952" s="2">
        <v>81715</v>
      </c>
      <c r="R952" s="13" t="s">
        <v>27</v>
      </c>
      <c r="S952" s="13" t="s">
        <v>27</v>
      </c>
    </row>
    <row r="953" spans="1:19" hidden="1" x14ac:dyDescent="0.3">
      <c r="A953" s="14">
        <v>43930.708333333336</v>
      </c>
      <c r="B953" s="13" t="s">
        <v>23</v>
      </c>
      <c r="C953" s="2">
        <v>6</v>
      </c>
      <c r="D953" s="13" t="s">
        <v>49</v>
      </c>
      <c r="E953" s="2">
        <v>456494354</v>
      </c>
      <c r="F953" s="2">
        <v>1376813649</v>
      </c>
      <c r="G953" s="2">
        <v>167</v>
      </c>
      <c r="H953" s="2">
        <v>37</v>
      </c>
      <c r="I953" s="2">
        <v>204</v>
      </c>
      <c r="J953" s="2">
        <v>1186</v>
      </c>
      <c r="K953" s="2">
        <v>1390</v>
      </c>
      <c r="L953" s="2">
        <v>-25</v>
      </c>
      <c r="M953" s="2">
        <v>81</v>
      </c>
      <c r="N953" s="2">
        <v>738</v>
      </c>
      <c r="O953" s="2">
        <v>171</v>
      </c>
      <c r="P953" s="2">
        <v>2299</v>
      </c>
      <c r="Q953" s="2">
        <v>26205</v>
      </c>
      <c r="R953" s="13" t="s">
        <v>27</v>
      </c>
      <c r="S953" s="13" t="s">
        <v>27</v>
      </c>
    </row>
    <row r="954" spans="1:19" hidden="1" x14ac:dyDescent="0.3">
      <c r="A954" s="14">
        <v>43930.708333333336</v>
      </c>
      <c r="B954" s="13" t="s">
        <v>23</v>
      </c>
      <c r="C954" s="2">
        <v>12</v>
      </c>
      <c r="D954" s="13" t="s">
        <v>50</v>
      </c>
      <c r="E954" s="2">
        <v>4189277044</v>
      </c>
      <c r="F954" s="2">
        <v>1248366722</v>
      </c>
      <c r="G954" s="2">
        <v>1244</v>
      </c>
      <c r="H954" s="2">
        <v>198</v>
      </c>
      <c r="I954" s="2">
        <v>1442</v>
      </c>
      <c r="J954" s="2">
        <v>2090</v>
      </c>
      <c r="K954" s="2">
        <v>3532</v>
      </c>
      <c r="L954" s="2">
        <v>84</v>
      </c>
      <c r="M954" s="2">
        <v>163</v>
      </c>
      <c r="N954" s="2">
        <v>644</v>
      </c>
      <c r="O954" s="2">
        <v>253</v>
      </c>
      <c r="P954" s="2">
        <v>4429</v>
      </c>
      <c r="Q954" s="2">
        <v>58107</v>
      </c>
      <c r="R954" s="13" t="s">
        <v>27</v>
      </c>
      <c r="S954" s="13" t="s">
        <v>27</v>
      </c>
    </row>
    <row r="955" spans="1:19" hidden="1" x14ac:dyDescent="0.3">
      <c r="A955" s="14">
        <v>43930.708333333336</v>
      </c>
      <c r="B955" s="13" t="s">
        <v>23</v>
      </c>
      <c r="C955" s="2">
        <v>7</v>
      </c>
      <c r="D955" s="13" t="s">
        <v>51</v>
      </c>
      <c r="E955" s="2">
        <v>4441149315</v>
      </c>
      <c r="F955" s="2">
        <v>89326992</v>
      </c>
      <c r="G955" s="2">
        <v>1103</v>
      </c>
      <c r="H955" s="2">
        <v>154</v>
      </c>
      <c r="I955" s="2">
        <v>1257</v>
      </c>
      <c r="J955" s="2">
        <v>1996</v>
      </c>
      <c r="K955" s="2">
        <v>3253</v>
      </c>
      <c r="L955" s="2">
        <v>8</v>
      </c>
      <c r="M955" s="2">
        <v>114</v>
      </c>
      <c r="N955" s="2">
        <v>1085</v>
      </c>
      <c r="O955" s="2">
        <v>682</v>
      </c>
      <c r="P955" s="2">
        <v>5020</v>
      </c>
      <c r="Q955" s="2">
        <v>18446</v>
      </c>
      <c r="R955" s="13" t="s">
        <v>27</v>
      </c>
      <c r="S955" s="13" t="s">
        <v>27</v>
      </c>
    </row>
    <row r="956" spans="1:19" x14ac:dyDescent="0.3">
      <c r="A956" s="14">
        <v>43930.708333333336</v>
      </c>
      <c r="B956" s="13" t="s">
        <v>23</v>
      </c>
      <c r="C956" s="2">
        <v>3</v>
      </c>
      <c r="D956" s="13" t="s">
        <v>52</v>
      </c>
      <c r="E956" s="2">
        <v>4546679409</v>
      </c>
      <c r="F956" s="2">
        <v>9190347404</v>
      </c>
      <c r="G956" s="2">
        <v>11796</v>
      </c>
      <c r="H956" s="2">
        <v>1236</v>
      </c>
      <c r="I956" s="2">
        <v>13032</v>
      </c>
      <c r="J956" s="2">
        <v>16042</v>
      </c>
      <c r="K956" s="2">
        <v>29074</v>
      </c>
      <c r="L956" s="2">
        <v>529</v>
      </c>
      <c r="M956" s="2">
        <v>1388</v>
      </c>
      <c r="N956" s="2">
        <v>15706</v>
      </c>
      <c r="O956" s="2">
        <v>10022</v>
      </c>
      <c r="P956" s="2">
        <v>54802</v>
      </c>
      <c r="Q956" s="2">
        <v>176953</v>
      </c>
      <c r="R956" s="13" t="s">
        <v>27</v>
      </c>
      <c r="S956" s="13" t="s">
        <v>27</v>
      </c>
    </row>
    <row r="957" spans="1:19" hidden="1" x14ac:dyDescent="0.3">
      <c r="A957" s="14">
        <v>43930.708333333336</v>
      </c>
      <c r="B957" s="13" t="s">
        <v>23</v>
      </c>
      <c r="C957" s="2">
        <v>11</v>
      </c>
      <c r="D957" s="13" t="s">
        <v>53</v>
      </c>
      <c r="E957" s="2">
        <v>4361675973</v>
      </c>
      <c r="F957" s="2">
        <v>135188753</v>
      </c>
      <c r="G957" s="2">
        <v>945</v>
      </c>
      <c r="H957" s="2">
        <v>133</v>
      </c>
      <c r="I957" s="2">
        <v>1078</v>
      </c>
      <c r="J957" s="2">
        <v>2323</v>
      </c>
      <c r="K957" s="2">
        <v>3401</v>
      </c>
      <c r="L957" s="2">
        <v>-161</v>
      </c>
      <c r="M957" s="2">
        <v>96</v>
      </c>
      <c r="N957" s="2">
        <v>885</v>
      </c>
      <c r="O957" s="2">
        <v>669</v>
      </c>
      <c r="P957" s="2">
        <v>4955</v>
      </c>
      <c r="Q957" s="2">
        <v>18194</v>
      </c>
      <c r="R957" s="13" t="s">
        <v>27</v>
      </c>
      <c r="S957" s="13" t="s">
        <v>27</v>
      </c>
    </row>
    <row r="958" spans="1:19" hidden="1" x14ac:dyDescent="0.3">
      <c r="A958" s="14">
        <v>43930.708333333336</v>
      </c>
      <c r="B958" s="13" t="s">
        <v>23</v>
      </c>
      <c r="C958" s="2">
        <v>14</v>
      </c>
      <c r="D958" s="13" t="s">
        <v>54</v>
      </c>
      <c r="E958" s="2">
        <v>4155774754</v>
      </c>
      <c r="F958" s="2">
        <v>1465916051</v>
      </c>
      <c r="G958" s="2">
        <v>30</v>
      </c>
      <c r="H958" s="2">
        <v>4</v>
      </c>
      <c r="I958" s="2">
        <v>34</v>
      </c>
      <c r="J958" s="2">
        <v>155</v>
      </c>
      <c r="K958" s="2">
        <v>189</v>
      </c>
      <c r="L958" s="2">
        <v>8</v>
      </c>
      <c r="M958" s="2">
        <v>8</v>
      </c>
      <c r="N958" s="2">
        <v>32</v>
      </c>
      <c r="O958" s="2">
        <v>13</v>
      </c>
      <c r="P958" s="2">
        <v>234</v>
      </c>
      <c r="Q958" s="2">
        <v>2069</v>
      </c>
      <c r="R958" s="13" t="s">
        <v>27</v>
      </c>
      <c r="S958" s="13" t="s">
        <v>27</v>
      </c>
    </row>
    <row r="959" spans="1:19" hidden="1" x14ac:dyDescent="0.3">
      <c r="A959" s="14">
        <v>43930.708333333336</v>
      </c>
      <c r="B959" s="13" t="s">
        <v>23</v>
      </c>
      <c r="C959" s="2">
        <v>1</v>
      </c>
      <c r="D959" s="13" t="s">
        <v>55</v>
      </c>
      <c r="E959" s="2">
        <v>450732745</v>
      </c>
      <c r="F959" s="2">
        <v>7680687483</v>
      </c>
      <c r="G959" s="2">
        <v>3514</v>
      </c>
      <c r="H959" s="2">
        <v>412</v>
      </c>
      <c r="I959" s="2">
        <v>3926</v>
      </c>
      <c r="J959" s="2">
        <v>7410</v>
      </c>
      <c r="K959" s="2">
        <v>11336</v>
      </c>
      <c r="L959" s="2">
        <v>347</v>
      </c>
      <c r="M959" s="2">
        <v>639</v>
      </c>
      <c r="N959" s="2">
        <v>1732</v>
      </c>
      <c r="O959" s="2">
        <v>1454</v>
      </c>
      <c r="P959" s="2">
        <v>14522</v>
      </c>
      <c r="Q959" s="2">
        <v>52807</v>
      </c>
      <c r="R959" s="13" t="s">
        <v>27</v>
      </c>
      <c r="S959" s="13" t="s">
        <v>27</v>
      </c>
    </row>
    <row r="960" spans="1:19" hidden="1" x14ac:dyDescent="0.3">
      <c r="A960" s="14">
        <v>43930.708333333336</v>
      </c>
      <c r="B960" s="13" t="s">
        <v>23</v>
      </c>
      <c r="C960" s="2">
        <v>16</v>
      </c>
      <c r="D960" s="13" t="s">
        <v>56</v>
      </c>
      <c r="E960" s="2">
        <v>4112559576</v>
      </c>
      <c r="F960" s="2">
        <v>1686736689</v>
      </c>
      <c r="G960" s="2">
        <v>630</v>
      </c>
      <c r="H960" s="2">
        <v>86</v>
      </c>
      <c r="I960" s="2">
        <v>716</v>
      </c>
      <c r="J960" s="2">
        <v>1585</v>
      </c>
      <c r="K960" s="2">
        <v>2301</v>
      </c>
      <c r="L960" s="2">
        <v>63</v>
      </c>
      <c r="M960" s="2">
        <v>82</v>
      </c>
      <c r="N960" s="2">
        <v>190</v>
      </c>
      <c r="O960" s="2">
        <v>225</v>
      </c>
      <c r="P960" s="2">
        <v>2716</v>
      </c>
      <c r="Q960" s="2">
        <v>26088</v>
      </c>
      <c r="R960" s="13" t="s">
        <v>27</v>
      </c>
      <c r="S960" s="13" t="s">
        <v>27</v>
      </c>
    </row>
    <row r="961" spans="1:19" hidden="1" x14ac:dyDescent="0.3">
      <c r="A961" s="14">
        <v>43930.708333333336</v>
      </c>
      <c r="B961" s="13" t="s">
        <v>23</v>
      </c>
      <c r="C961" s="2">
        <v>20</v>
      </c>
      <c r="D961" s="13" t="s">
        <v>57</v>
      </c>
      <c r="E961" s="2">
        <v>3921531192</v>
      </c>
      <c r="F961" s="2">
        <v>9110616306</v>
      </c>
      <c r="G961" s="2">
        <v>106</v>
      </c>
      <c r="H961" s="2">
        <v>25</v>
      </c>
      <c r="I961" s="2">
        <v>131</v>
      </c>
      <c r="J961" s="2">
        <v>745</v>
      </c>
      <c r="K961" s="2">
        <v>876</v>
      </c>
      <c r="L961" s="2">
        <v>36</v>
      </c>
      <c r="M961" s="2">
        <v>51</v>
      </c>
      <c r="N961" s="2">
        <v>86</v>
      </c>
      <c r="O961" s="2">
        <v>64</v>
      </c>
      <c r="P961" s="2">
        <v>1026</v>
      </c>
      <c r="Q961" s="2">
        <v>8918</v>
      </c>
      <c r="R961" s="13" t="s">
        <v>27</v>
      </c>
      <c r="S961" s="13" t="s">
        <v>27</v>
      </c>
    </row>
    <row r="962" spans="1:19" hidden="1" x14ac:dyDescent="0.3">
      <c r="A962" s="14">
        <v>43930.708333333336</v>
      </c>
      <c r="B962" s="13" t="s">
        <v>23</v>
      </c>
      <c r="C962" s="2">
        <v>19</v>
      </c>
      <c r="D962" s="13" t="s">
        <v>58</v>
      </c>
      <c r="E962" s="2">
        <v>3811569725</v>
      </c>
      <c r="F962" s="2">
        <v>133623567</v>
      </c>
      <c r="G962" s="2">
        <v>566</v>
      </c>
      <c r="H962" s="2">
        <v>63</v>
      </c>
      <c r="I962" s="2">
        <v>629</v>
      </c>
      <c r="J962" s="2">
        <v>1313</v>
      </c>
      <c r="K962" s="2">
        <v>1942</v>
      </c>
      <c r="L962" s="2">
        <v>49</v>
      </c>
      <c r="M962" s="2">
        <v>73</v>
      </c>
      <c r="N962" s="2">
        <v>152</v>
      </c>
      <c r="O962" s="2">
        <v>138</v>
      </c>
      <c r="P962" s="2">
        <v>2232</v>
      </c>
      <c r="Q962" s="2">
        <v>28742</v>
      </c>
      <c r="R962" s="13" t="s">
        <v>27</v>
      </c>
      <c r="S962" s="13" t="s">
        <v>27</v>
      </c>
    </row>
    <row r="963" spans="1:19" hidden="1" x14ac:dyDescent="0.3">
      <c r="A963" s="14">
        <v>43930.708333333336</v>
      </c>
      <c r="B963" s="13" t="s">
        <v>23</v>
      </c>
      <c r="C963" s="2">
        <v>9</v>
      </c>
      <c r="D963" s="13" t="s">
        <v>59</v>
      </c>
      <c r="E963" s="2">
        <v>4376923077</v>
      </c>
      <c r="F963" s="2">
        <v>1125588885</v>
      </c>
      <c r="G963" s="2">
        <v>1038</v>
      </c>
      <c r="H963" s="2">
        <v>256</v>
      </c>
      <c r="I963" s="2">
        <v>1294</v>
      </c>
      <c r="J963" s="2">
        <v>4409</v>
      </c>
      <c r="K963" s="2">
        <v>5703</v>
      </c>
      <c r="L963" s="2">
        <v>146</v>
      </c>
      <c r="M963" s="2">
        <v>173</v>
      </c>
      <c r="N963" s="2">
        <v>441</v>
      </c>
      <c r="O963" s="2">
        <v>408</v>
      </c>
      <c r="P963" s="2">
        <v>6552</v>
      </c>
      <c r="Q963" s="2">
        <v>65461</v>
      </c>
      <c r="R963" s="13" t="s">
        <v>27</v>
      </c>
      <c r="S963" s="13" t="s">
        <v>27</v>
      </c>
    </row>
    <row r="964" spans="1:19" hidden="1" x14ac:dyDescent="0.3">
      <c r="A964" s="14">
        <v>43930.708333333336</v>
      </c>
      <c r="B964" s="13" t="s">
        <v>23</v>
      </c>
      <c r="C964" s="2">
        <v>4</v>
      </c>
      <c r="D964" s="13" t="s">
        <v>60</v>
      </c>
      <c r="E964" s="2">
        <v>4606893511</v>
      </c>
      <c r="F964" s="2">
        <v>1112123097</v>
      </c>
      <c r="G964" s="2">
        <v>345</v>
      </c>
      <c r="H964" s="2">
        <v>69</v>
      </c>
      <c r="I964" s="2">
        <v>414</v>
      </c>
      <c r="J964" s="2">
        <v>1564</v>
      </c>
      <c r="K964" s="2">
        <v>1978</v>
      </c>
      <c r="L964" s="2">
        <v>38</v>
      </c>
      <c r="M964" s="2">
        <v>106</v>
      </c>
      <c r="N964" s="2">
        <v>462</v>
      </c>
      <c r="O964" s="2">
        <v>268</v>
      </c>
      <c r="P964" s="2">
        <v>2708</v>
      </c>
      <c r="Q964" s="2">
        <v>14338</v>
      </c>
      <c r="R964" s="13" t="s">
        <v>27</v>
      </c>
      <c r="S964" s="13" t="s">
        <v>27</v>
      </c>
    </row>
    <row r="965" spans="1:19" hidden="1" x14ac:dyDescent="0.3">
      <c r="A965" s="14">
        <v>43930.708333333336</v>
      </c>
      <c r="B965" s="13" t="s">
        <v>23</v>
      </c>
      <c r="C965" s="2">
        <v>10</v>
      </c>
      <c r="D965" s="13" t="s">
        <v>61</v>
      </c>
      <c r="E965" s="2">
        <v>4310675841</v>
      </c>
      <c r="F965" s="2">
        <v>1238824698</v>
      </c>
      <c r="G965" s="2">
        <v>154</v>
      </c>
      <c r="H965" s="2">
        <v>38</v>
      </c>
      <c r="I965" s="2">
        <v>192</v>
      </c>
      <c r="J965" s="2">
        <v>600</v>
      </c>
      <c r="K965" s="2">
        <v>792</v>
      </c>
      <c r="L965" s="2">
        <v>-31</v>
      </c>
      <c r="M965" s="2">
        <v>9</v>
      </c>
      <c r="N965" s="2">
        <v>455</v>
      </c>
      <c r="O965" s="2">
        <v>51</v>
      </c>
      <c r="P965" s="2">
        <v>1298</v>
      </c>
      <c r="Q965" s="2">
        <v>15170</v>
      </c>
      <c r="R965" s="13" t="s">
        <v>27</v>
      </c>
      <c r="S965" s="13" t="s">
        <v>27</v>
      </c>
    </row>
    <row r="966" spans="1:19" hidden="1" x14ac:dyDescent="0.3">
      <c r="A966" s="14">
        <v>43930.708333333336</v>
      </c>
      <c r="B966" s="13" t="s">
        <v>23</v>
      </c>
      <c r="C966" s="2">
        <v>2</v>
      </c>
      <c r="D966" s="13" t="s">
        <v>62</v>
      </c>
      <c r="E966" s="2">
        <v>4573750286</v>
      </c>
      <c r="F966" s="2">
        <v>7320149366</v>
      </c>
      <c r="G966" s="2">
        <v>118</v>
      </c>
      <c r="H966" s="2">
        <v>18</v>
      </c>
      <c r="I966" s="2">
        <v>136</v>
      </c>
      <c r="J966" s="2">
        <v>473</v>
      </c>
      <c r="K966" s="2">
        <v>609</v>
      </c>
      <c r="L966" s="2">
        <v>3</v>
      </c>
      <c r="M966" s="2">
        <v>18</v>
      </c>
      <c r="N966" s="2">
        <v>154</v>
      </c>
      <c r="O966" s="2">
        <v>105</v>
      </c>
      <c r="P966" s="2">
        <v>868</v>
      </c>
      <c r="Q966" s="2">
        <v>3142</v>
      </c>
      <c r="R966" s="13" t="s">
        <v>27</v>
      </c>
      <c r="S966" s="13" t="s">
        <v>27</v>
      </c>
    </row>
    <row r="967" spans="1:19" hidden="1" x14ac:dyDescent="0.3">
      <c r="A967" s="14">
        <v>43930.708333333336</v>
      </c>
      <c r="B967" s="13" t="s">
        <v>23</v>
      </c>
      <c r="C967" s="2">
        <v>5</v>
      </c>
      <c r="D967" s="13" t="s">
        <v>63</v>
      </c>
      <c r="E967" s="2">
        <v>4543490485</v>
      </c>
      <c r="F967" s="2">
        <v>1233845213</v>
      </c>
      <c r="G967" s="2">
        <v>1530</v>
      </c>
      <c r="H967" s="2">
        <v>274</v>
      </c>
      <c r="I967" s="2">
        <v>1804</v>
      </c>
      <c r="J967" s="2">
        <v>8645</v>
      </c>
      <c r="K967" s="2">
        <v>10449</v>
      </c>
      <c r="L967" s="2">
        <v>278</v>
      </c>
      <c r="M967" s="2">
        <v>523</v>
      </c>
      <c r="N967" s="2">
        <v>1728</v>
      </c>
      <c r="O967" s="2">
        <v>756</v>
      </c>
      <c r="P967" s="2">
        <v>12933</v>
      </c>
      <c r="Q967" s="2">
        <v>171456</v>
      </c>
      <c r="R967" s="13" t="s">
        <v>27</v>
      </c>
      <c r="S967" s="13" t="s">
        <v>27</v>
      </c>
    </row>
    <row r="968" spans="1:19" hidden="1" x14ac:dyDescent="0.3">
      <c r="A968" s="14">
        <v>43931.708333333336</v>
      </c>
      <c r="B968" s="13" t="s">
        <v>23</v>
      </c>
      <c r="C968" s="2">
        <v>13</v>
      </c>
      <c r="D968" s="13" t="s">
        <v>44</v>
      </c>
      <c r="E968" s="2">
        <v>4235122196</v>
      </c>
      <c r="F968" s="2">
        <v>1339843823</v>
      </c>
      <c r="G968" s="2">
        <v>305</v>
      </c>
      <c r="H968" s="2">
        <v>53</v>
      </c>
      <c r="I968" s="2">
        <v>358</v>
      </c>
      <c r="J968" s="2">
        <v>1277</v>
      </c>
      <c r="K968" s="2">
        <v>1635</v>
      </c>
      <c r="L968" s="2">
        <v>69</v>
      </c>
      <c r="M968" s="2">
        <v>83</v>
      </c>
      <c r="N968" s="2">
        <v>181</v>
      </c>
      <c r="O968" s="2">
        <v>198</v>
      </c>
      <c r="P968" s="2">
        <v>2014</v>
      </c>
      <c r="Q968" s="2">
        <v>18088</v>
      </c>
      <c r="R968" s="13" t="s">
        <v>27</v>
      </c>
      <c r="S968" s="13" t="s">
        <v>27</v>
      </c>
    </row>
    <row r="969" spans="1:19" hidden="1" x14ac:dyDescent="0.3">
      <c r="A969" s="14">
        <v>43931.708333333336</v>
      </c>
      <c r="B969" s="13" t="s">
        <v>23</v>
      </c>
      <c r="C969" s="2">
        <v>17</v>
      </c>
      <c r="D969" s="13" t="s">
        <v>45</v>
      </c>
      <c r="E969" s="2">
        <v>4063947052</v>
      </c>
      <c r="F969" s="2">
        <v>1580514834</v>
      </c>
      <c r="G969" s="2">
        <v>59</v>
      </c>
      <c r="H969" s="2">
        <v>15</v>
      </c>
      <c r="I969" s="2">
        <v>74</v>
      </c>
      <c r="J969" s="2">
        <v>205</v>
      </c>
      <c r="K969" s="2">
        <v>279</v>
      </c>
      <c r="L969" s="2">
        <v>4</v>
      </c>
      <c r="M969" s="2">
        <v>5</v>
      </c>
      <c r="N969" s="2">
        <v>14</v>
      </c>
      <c r="O969" s="2">
        <v>15</v>
      </c>
      <c r="P969" s="2">
        <v>308</v>
      </c>
      <c r="Q969" s="2">
        <v>3696</v>
      </c>
      <c r="R969" s="13" t="s">
        <v>27</v>
      </c>
      <c r="S969" s="13" t="s">
        <v>27</v>
      </c>
    </row>
    <row r="970" spans="1:19" hidden="1" x14ac:dyDescent="0.3">
      <c r="A970" s="14">
        <v>43931.708333333336</v>
      </c>
      <c r="B970" s="13" t="s">
        <v>23</v>
      </c>
      <c r="C970" s="2">
        <v>4</v>
      </c>
      <c r="D970" s="13" t="s">
        <v>46</v>
      </c>
      <c r="E970" s="2">
        <v>4649933453</v>
      </c>
      <c r="F970" s="2">
        <v>1135662422</v>
      </c>
      <c r="G970" s="2">
        <v>258</v>
      </c>
      <c r="H970" s="2">
        <v>58</v>
      </c>
      <c r="I970" s="2">
        <v>316</v>
      </c>
      <c r="J970" s="2">
        <v>1001</v>
      </c>
      <c r="K970" s="2">
        <v>1317</v>
      </c>
      <c r="L970" s="2">
        <v>2</v>
      </c>
      <c r="M970" s="2">
        <v>52</v>
      </c>
      <c r="N970" s="2">
        <v>447</v>
      </c>
      <c r="O970" s="2">
        <v>191</v>
      </c>
      <c r="P970" s="2">
        <v>1955</v>
      </c>
      <c r="Q970" s="2">
        <v>20866</v>
      </c>
      <c r="R970" s="13" t="s">
        <v>27</v>
      </c>
      <c r="S970" s="13" t="s">
        <v>27</v>
      </c>
    </row>
    <row r="971" spans="1:19" hidden="1" x14ac:dyDescent="0.3">
      <c r="A971" s="14">
        <v>43931.708333333336</v>
      </c>
      <c r="B971" s="13" t="s">
        <v>23</v>
      </c>
      <c r="C971" s="2">
        <v>18</v>
      </c>
      <c r="D971" s="13" t="s">
        <v>47</v>
      </c>
      <c r="E971" s="2">
        <v>3890597598</v>
      </c>
      <c r="F971" s="2">
        <v>1659440194</v>
      </c>
      <c r="G971" s="2">
        <v>168</v>
      </c>
      <c r="H971" s="2">
        <v>14</v>
      </c>
      <c r="I971" s="2">
        <v>182</v>
      </c>
      <c r="J971" s="2">
        <v>604</v>
      </c>
      <c r="K971" s="2">
        <v>786</v>
      </c>
      <c r="L971" s="2">
        <v>21</v>
      </c>
      <c r="M971" s="2">
        <v>27</v>
      </c>
      <c r="N971" s="2">
        <v>50</v>
      </c>
      <c r="O971" s="2">
        <v>65</v>
      </c>
      <c r="P971" s="2">
        <v>901</v>
      </c>
      <c r="Q971" s="2">
        <v>16637</v>
      </c>
      <c r="R971" s="13" t="s">
        <v>27</v>
      </c>
      <c r="S971" s="13" t="s">
        <v>27</v>
      </c>
    </row>
    <row r="972" spans="1:19" hidden="1" x14ac:dyDescent="0.3">
      <c r="A972" s="14">
        <v>43931.708333333336</v>
      </c>
      <c r="B972" s="13" t="s">
        <v>23</v>
      </c>
      <c r="C972" s="2">
        <v>15</v>
      </c>
      <c r="D972" s="13" t="s">
        <v>48</v>
      </c>
      <c r="E972" s="2">
        <v>4083956555</v>
      </c>
      <c r="F972" s="2">
        <v>1425084984</v>
      </c>
      <c r="G972" s="2">
        <v>600</v>
      </c>
      <c r="H972" s="2">
        <v>90</v>
      </c>
      <c r="I972" s="2">
        <v>690</v>
      </c>
      <c r="J972" s="2">
        <v>2273</v>
      </c>
      <c r="K972" s="2">
        <v>2963</v>
      </c>
      <c r="L972" s="2">
        <v>90</v>
      </c>
      <c r="M972" s="2">
        <v>98</v>
      </c>
      <c r="N972" s="2">
        <v>248</v>
      </c>
      <c r="O972" s="2">
        <v>231</v>
      </c>
      <c r="P972" s="2">
        <v>3442</v>
      </c>
      <c r="Q972" s="2">
        <v>31745</v>
      </c>
      <c r="R972" s="13" t="s">
        <v>27</v>
      </c>
      <c r="S972" s="13" t="s">
        <v>27</v>
      </c>
    </row>
    <row r="973" spans="1:19" hidden="1" x14ac:dyDescent="0.3">
      <c r="A973" s="14">
        <v>43931.708333333336</v>
      </c>
      <c r="B973" s="13" t="s">
        <v>23</v>
      </c>
      <c r="C973" s="2">
        <v>8</v>
      </c>
      <c r="D973" s="13" t="s">
        <v>98</v>
      </c>
      <c r="E973" s="2">
        <v>4449436681</v>
      </c>
      <c r="F973" s="2">
        <v>113417208</v>
      </c>
      <c r="G973" s="2">
        <v>3596</v>
      </c>
      <c r="H973" s="2">
        <v>349</v>
      </c>
      <c r="I973" s="2">
        <v>3945</v>
      </c>
      <c r="J973" s="2">
        <v>9405</v>
      </c>
      <c r="K973" s="2">
        <v>13350</v>
      </c>
      <c r="L973" s="2">
        <v>92</v>
      </c>
      <c r="M973" s="2">
        <v>451</v>
      </c>
      <c r="N973" s="2">
        <v>3381</v>
      </c>
      <c r="O973" s="2">
        <v>2397</v>
      </c>
      <c r="P973" s="2">
        <v>19128</v>
      </c>
      <c r="Q973" s="2">
        <v>85884</v>
      </c>
      <c r="R973" s="13" t="s">
        <v>27</v>
      </c>
      <c r="S973" s="13" t="s">
        <v>27</v>
      </c>
    </row>
    <row r="974" spans="1:19" hidden="1" x14ac:dyDescent="0.3">
      <c r="A974" s="14">
        <v>43931.708333333336</v>
      </c>
      <c r="B974" s="13" t="s">
        <v>23</v>
      </c>
      <c r="C974" s="2">
        <v>6</v>
      </c>
      <c r="D974" s="13" t="s">
        <v>49</v>
      </c>
      <c r="E974" s="2">
        <v>456494354</v>
      </c>
      <c r="F974" s="2">
        <v>1376813649</v>
      </c>
      <c r="G974" s="2">
        <v>167</v>
      </c>
      <c r="H974" s="2">
        <v>33</v>
      </c>
      <c r="I974" s="2">
        <v>200</v>
      </c>
      <c r="J974" s="2">
        <v>1198</v>
      </c>
      <c r="K974" s="2">
        <v>1398</v>
      </c>
      <c r="L974" s="2">
        <v>8</v>
      </c>
      <c r="M974" s="2">
        <v>50</v>
      </c>
      <c r="N974" s="2">
        <v>772</v>
      </c>
      <c r="O974" s="2">
        <v>179</v>
      </c>
      <c r="P974" s="2">
        <v>2349</v>
      </c>
      <c r="Q974" s="2">
        <v>28097</v>
      </c>
      <c r="R974" s="13" t="s">
        <v>27</v>
      </c>
      <c r="S974" s="13" t="s">
        <v>27</v>
      </c>
    </row>
    <row r="975" spans="1:19" hidden="1" x14ac:dyDescent="0.3">
      <c r="A975" s="14">
        <v>43931.708333333336</v>
      </c>
      <c r="B975" s="13" t="s">
        <v>23</v>
      </c>
      <c r="C975" s="2">
        <v>12</v>
      </c>
      <c r="D975" s="13" t="s">
        <v>50</v>
      </c>
      <c r="E975" s="2">
        <v>4189277044</v>
      </c>
      <c r="F975" s="2">
        <v>1248366722</v>
      </c>
      <c r="G975" s="2">
        <v>1236</v>
      </c>
      <c r="H975" s="2">
        <v>201</v>
      </c>
      <c r="I975" s="2">
        <v>1437</v>
      </c>
      <c r="J975" s="2">
        <v>2196</v>
      </c>
      <c r="K975" s="2">
        <v>3633</v>
      </c>
      <c r="L975" s="2">
        <v>101</v>
      </c>
      <c r="M975" s="2">
        <v>154</v>
      </c>
      <c r="N975" s="2">
        <v>687</v>
      </c>
      <c r="O975" s="2">
        <v>263</v>
      </c>
      <c r="P975" s="2">
        <v>4583</v>
      </c>
      <c r="Q975" s="2">
        <v>61769</v>
      </c>
      <c r="R975" s="13" t="s">
        <v>27</v>
      </c>
      <c r="S975" s="13" t="s">
        <v>27</v>
      </c>
    </row>
    <row r="976" spans="1:19" hidden="1" x14ac:dyDescent="0.3">
      <c r="A976" s="14">
        <v>43931.708333333336</v>
      </c>
      <c r="B976" s="13" t="s">
        <v>23</v>
      </c>
      <c r="C976" s="2">
        <v>7</v>
      </c>
      <c r="D976" s="13" t="s">
        <v>51</v>
      </c>
      <c r="E976" s="2">
        <v>4441149315</v>
      </c>
      <c r="F976" s="2">
        <v>89326992</v>
      </c>
      <c r="G976" s="2">
        <v>1076</v>
      </c>
      <c r="H976" s="2">
        <v>151</v>
      </c>
      <c r="I976" s="2">
        <v>1227</v>
      </c>
      <c r="J976" s="2">
        <v>2074</v>
      </c>
      <c r="K976" s="2">
        <v>3301</v>
      </c>
      <c r="L976" s="2">
        <v>48</v>
      </c>
      <c r="M976" s="2">
        <v>171</v>
      </c>
      <c r="N976" s="2">
        <v>1181</v>
      </c>
      <c r="O976" s="2">
        <v>709</v>
      </c>
      <c r="P976" s="2">
        <v>5191</v>
      </c>
      <c r="Q976" s="2">
        <v>19514</v>
      </c>
      <c r="R976" s="13" t="s">
        <v>27</v>
      </c>
      <c r="S976" s="13" t="s">
        <v>27</v>
      </c>
    </row>
    <row r="977" spans="1:19" x14ac:dyDescent="0.3">
      <c r="A977" s="14">
        <v>43931.708333333336</v>
      </c>
      <c r="B977" s="13" t="s">
        <v>23</v>
      </c>
      <c r="C977" s="2">
        <v>3</v>
      </c>
      <c r="D977" s="13" t="s">
        <v>52</v>
      </c>
      <c r="E977" s="2">
        <v>4546679409</v>
      </c>
      <c r="F977" s="2">
        <v>9190347404</v>
      </c>
      <c r="G977" s="2">
        <v>11877</v>
      </c>
      <c r="H977" s="2">
        <v>1202</v>
      </c>
      <c r="I977" s="2">
        <v>13079</v>
      </c>
      <c r="J977" s="2">
        <v>16451</v>
      </c>
      <c r="K977" s="2">
        <v>29530</v>
      </c>
      <c r="L977" s="2">
        <v>456</v>
      </c>
      <c r="M977" s="2">
        <v>1246</v>
      </c>
      <c r="N977" s="2">
        <v>16280</v>
      </c>
      <c r="O977" s="2">
        <v>10238</v>
      </c>
      <c r="P977" s="2">
        <v>56048</v>
      </c>
      <c r="Q977" s="2">
        <v>186325</v>
      </c>
      <c r="R977" s="13" t="s">
        <v>27</v>
      </c>
      <c r="S977" s="13" t="s">
        <v>27</v>
      </c>
    </row>
    <row r="978" spans="1:19" hidden="1" x14ac:dyDescent="0.3">
      <c r="A978" s="14">
        <v>43931.708333333336</v>
      </c>
      <c r="B978" s="13" t="s">
        <v>23</v>
      </c>
      <c r="C978" s="2">
        <v>11</v>
      </c>
      <c r="D978" s="13" t="s">
        <v>53</v>
      </c>
      <c r="E978" s="2">
        <v>4361675973</v>
      </c>
      <c r="F978" s="2">
        <v>135188753</v>
      </c>
      <c r="G978" s="2">
        <v>925</v>
      </c>
      <c r="H978" s="2">
        <v>127</v>
      </c>
      <c r="I978" s="2">
        <v>1052</v>
      </c>
      <c r="J978" s="2">
        <v>2264</v>
      </c>
      <c r="K978" s="2">
        <v>3316</v>
      </c>
      <c r="L978" s="2">
        <v>-85</v>
      </c>
      <c r="M978" s="2">
        <v>129</v>
      </c>
      <c r="N978" s="2">
        <v>1086</v>
      </c>
      <c r="O978" s="2">
        <v>682</v>
      </c>
      <c r="P978" s="2">
        <v>5084</v>
      </c>
      <c r="Q978" s="2">
        <v>18970</v>
      </c>
      <c r="R978" s="13" t="s">
        <v>27</v>
      </c>
      <c r="S978" s="13" t="s">
        <v>27</v>
      </c>
    </row>
    <row r="979" spans="1:19" hidden="1" x14ac:dyDescent="0.3">
      <c r="A979" s="14">
        <v>43931.708333333336</v>
      </c>
      <c r="B979" s="13" t="s">
        <v>23</v>
      </c>
      <c r="C979" s="2">
        <v>14</v>
      </c>
      <c r="D979" s="13" t="s">
        <v>54</v>
      </c>
      <c r="E979" s="2">
        <v>4155774754</v>
      </c>
      <c r="F979" s="2">
        <v>1465916051</v>
      </c>
      <c r="G979" s="2">
        <v>28</v>
      </c>
      <c r="H979" s="2">
        <v>4</v>
      </c>
      <c r="I979" s="2">
        <v>32</v>
      </c>
      <c r="J979" s="2">
        <v>161</v>
      </c>
      <c r="K979" s="2">
        <v>193</v>
      </c>
      <c r="L979" s="2">
        <v>4</v>
      </c>
      <c r="M979" s="2">
        <v>9</v>
      </c>
      <c r="N979" s="2">
        <v>37</v>
      </c>
      <c r="O979" s="2">
        <v>13</v>
      </c>
      <c r="P979" s="2">
        <v>243</v>
      </c>
      <c r="Q979" s="2">
        <v>2069</v>
      </c>
      <c r="R979" s="13" t="s">
        <v>126</v>
      </c>
      <c r="S979" s="13" t="s">
        <v>127</v>
      </c>
    </row>
    <row r="980" spans="1:19" hidden="1" x14ac:dyDescent="0.3">
      <c r="A980" s="14">
        <v>43931.708333333336</v>
      </c>
      <c r="B980" s="13" t="s">
        <v>23</v>
      </c>
      <c r="C980" s="2">
        <v>1</v>
      </c>
      <c r="D980" s="13" t="s">
        <v>55</v>
      </c>
      <c r="E980" s="2">
        <v>450732745</v>
      </c>
      <c r="F980" s="2">
        <v>7680687483</v>
      </c>
      <c r="G980" s="2">
        <v>3497</v>
      </c>
      <c r="H980" s="2">
        <v>394</v>
      </c>
      <c r="I980" s="2">
        <v>3891</v>
      </c>
      <c r="J980" s="2">
        <v>7685</v>
      </c>
      <c r="K980" s="2">
        <v>11576</v>
      </c>
      <c r="L980" s="2">
        <v>240</v>
      </c>
      <c r="M980" s="2">
        <v>490</v>
      </c>
      <c r="N980" s="2">
        <v>1904</v>
      </c>
      <c r="O980" s="2">
        <v>1532</v>
      </c>
      <c r="P980" s="2">
        <v>15012</v>
      </c>
      <c r="Q980" s="2">
        <v>57457</v>
      </c>
      <c r="R980" s="13" t="s">
        <v>27</v>
      </c>
      <c r="S980" s="13" t="s">
        <v>27</v>
      </c>
    </row>
    <row r="981" spans="1:19" hidden="1" x14ac:dyDescent="0.3">
      <c r="A981" s="14">
        <v>43931.708333333336</v>
      </c>
      <c r="B981" s="13" t="s">
        <v>23</v>
      </c>
      <c r="C981" s="2">
        <v>16</v>
      </c>
      <c r="D981" s="13" t="s">
        <v>56</v>
      </c>
      <c r="E981" s="2">
        <v>4112559576</v>
      </c>
      <c r="F981" s="2">
        <v>1686736689</v>
      </c>
      <c r="G981" s="2">
        <v>631</v>
      </c>
      <c r="H981" s="2">
        <v>80</v>
      </c>
      <c r="I981" s="2">
        <v>711</v>
      </c>
      <c r="J981" s="2">
        <v>1625</v>
      </c>
      <c r="K981" s="2">
        <v>2336</v>
      </c>
      <c r="L981" s="2">
        <v>35</v>
      </c>
      <c r="M981" s="2">
        <v>93</v>
      </c>
      <c r="N981" s="2">
        <v>235</v>
      </c>
      <c r="O981" s="2">
        <v>238</v>
      </c>
      <c r="P981" s="2">
        <v>2809</v>
      </c>
      <c r="Q981" s="2">
        <v>27812</v>
      </c>
      <c r="R981" s="13" t="s">
        <v>27</v>
      </c>
      <c r="S981" s="13" t="s">
        <v>27</v>
      </c>
    </row>
    <row r="982" spans="1:19" hidden="1" x14ac:dyDescent="0.3">
      <c r="A982" s="14">
        <v>43931.708333333336</v>
      </c>
      <c r="B982" s="13" t="s">
        <v>23</v>
      </c>
      <c r="C982" s="2">
        <v>20</v>
      </c>
      <c r="D982" s="13" t="s">
        <v>57</v>
      </c>
      <c r="E982" s="2">
        <v>3921531192</v>
      </c>
      <c r="F982" s="2">
        <v>9110616306</v>
      </c>
      <c r="G982" s="2">
        <v>107</v>
      </c>
      <c r="H982" s="2">
        <v>26</v>
      </c>
      <c r="I982" s="2">
        <v>133</v>
      </c>
      <c r="J982" s="2">
        <v>743</v>
      </c>
      <c r="K982" s="2">
        <v>876</v>
      </c>
      <c r="L982" s="2">
        <v>0</v>
      </c>
      <c r="M982" s="2">
        <v>37</v>
      </c>
      <c r="N982" s="2">
        <v>118</v>
      </c>
      <c r="O982" s="2">
        <v>69</v>
      </c>
      <c r="P982" s="2">
        <v>1063</v>
      </c>
      <c r="Q982" s="2">
        <v>9444</v>
      </c>
      <c r="R982" s="13" t="s">
        <v>27</v>
      </c>
      <c r="S982" s="13" t="s">
        <v>27</v>
      </c>
    </row>
    <row r="983" spans="1:19" hidden="1" x14ac:dyDescent="0.3">
      <c r="A983" s="14">
        <v>43931.708333333336</v>
      </c>
      <c r="B983" s="13" t="s">
        <v>23</v>
      </c>
      <c r="C983" s="2">
        <v>19</v>
      </c>
      <c r="D983" s="13" t="s">
        <v>58</v>
      </c>
      <c r="E983" s="2">
        <v>3811569725</v>
      </c>
      <c r="F983" s="2">
        <v>133623567</v>
      </c>
      <c r="G983" s="2">
        <v>568</v>
      </c>
      <c r="H983" s="2">
        <v>62</v>
      </c>
      <c r="I983" s="2">
        <v>630</v>
      </c>
      <c r="J983" s="2">
        <v>1337</v>
      </c>
      <c r="K983" s="2">
        <v>1967</v>
      </c>
      <c r="L983" s="2">
        <v>25</v>
      </c>
      <c r="M983" s="2">
        <v>70</v>
      </c>
      <c r="N983" s="2">
        <v>187</v>
      </c>
      <c r="O983" s="2">
        <v>148</v>
      </c>
      <c r="P983" s="2">
        <v>2302</v>
      </c>
      <c r="Q983" s="2">
        <v>31156</v>
      </c>
      <c r="R983" s="13" t="s">
        <v>27</v>
      </c>
      <c r="S983" s="13" t="s">
        <v>27</v>
      </c>
    </row>
    <row r="984" spans="1:19" hidden="1" x14ac:dyDescent="0.3">
      <c r="A984" s="14">
        <v>43931.708333333336</v>
      </c>
      <c r="B984" s="13" t="s">
        <v>23</v>
      </c>
      <c r="C984" s="2">
        <v>9</v>
      </c>
      <c r="D984" s="13" t="s">
        <v>59</v>
      </c>
      <c r="E984" s="2">
        <v>4376923077</v>
      </c>
      <c r="F984" s="2">
        <v>1125588885</v>
      </c>
      <c r="G984" s="2">
        <v>1011</v>
      </c>
      <c r="H984" s="2">
        <v>256</v>
      </c>
      <c r="I984" s="2">
        <v>1267</v>
      </c>
      <c r="J984" s="2">
        <v>4555</v>
      </c>
      <c r="K984" s="2">
        <v>5822</v>
      </c>
      <c r="L984" s="2">
        <v>119</v>
      </c>
      <c r="M984" s="2">
        <v>175</v>
      </c>
      <c r="N984" s="2">
        <v>451</v>
      </c>
      <c r="O984" s="2">
        <v>454</v>
      </c>
      <c r="P984" s="2">
        <v>6727</v>
      </c>
      <c r="Q984" s="2">
        <v>72001</v>
      </c>
      <c r="R984" s="13" t="s">
        <v>27</v>
      </c>
      <c r="S984" s="13" t="s">
        <v>27</v>
      </c>
    </row>
    <row r="985" spans="1:19" hidden="1" x14ac:dyDescent="0.3">
      <c r="A985" s="14">
        <v>43931.708333333336</v>
      </c>
      <c r="B985" s="13" t="s">
        <v>23</v>
      </c>
      <c r="C985" s="2">
        <v>4</v>
      </c>
      <c r="D985" s="13" t="s">
        <v>60</v>
      </c>
      <c r="E985" s="2">
        <v>4606893511</v>
      </c>
      <c r="F985" s="2">
        <v>1112123097</v>
      </c>
      <c r="G985" s="2">
        <v>335</v>
      </c>
      <c r="H985" s="2">
        <v>70</v>
      </c>
      <c r="I985" s="2">
        <v>405</v>
      </c>
      <c r="J985" s="2">
        <v>1589</v>
      </c>
      <c r="K985" s="2">
        <v>1994</v>
      </c>
      <c r="L985" s="2">
        <v>16</v>
      </c>
      <c r="M985" s="2">
        <v>108</v>
      </c>
      <c r="N985" s="2">
        <v>547</v>
      </c>
      <c r="O985" s="2">
        <v>275</v>
      </c>
      <c r="P985" s="2">
        <v>2816</v>
      </c>
      <c r="Q985" s="2">
        <v>14981</v>
      </c>
      <c r="R985" s="13" t="s">
        <v>27</v>
      </c>
      <c r="S985" s="13" t="s">
        <v>27</v>
      </c>
    </row>
    <row r="986" spans="1:19" hidden="1" x14ac:dyDescent="0.3">
      <c r="A986" s="14">
        <v>43931.708333333336</v>
      </c>
      <c r="B986" s="13" t="s">
        <v>23</v>
      </c>
      <c r="C986" s="2">
        <v>10</v>
      </c>
      <c r="D986" s="13" t="s">
        <v>61</v>
      </c>
      <c r="E986" s="2">
        <v>4310675841</v>
      </c>
      <c r="F986" s="2">
        <v>1238824698</v>
      </c>
      <c r="G986" s="2">
        <v>146</v>
      </c>
      <c r="H986" s="2">
        <v>39</v>
      </c>
      <c r="I986" s="2">
        <v>185</v>
      </c>
      <c r="J986" s="2">
        <v>567</v>
      </c>
      <c r="K986" s="2">
        <v>752</v>
      </c>
      <c r="L986" s="2">
        <v>-40</v>
      </c>
      <c r="M986" s="2">
        <v>4</v>
      </c>
      <c r="N986" s="2">
        <v>498</v>
      </c>
      <c r="O986" s="2">
        <v>52</v>
      </c>
      <c r="P986" s="2">
        <v>1302</v>
      </c>
      <c r="Q986" s="2">
        <v>16325</v>
      </c>
      <c r="R986" s="13" t="s">
        <v>27</v>
      </c>
      <c r="S986" s="13" t="s">
        <v>27</v>
      </c>
    </row>
    <row r="987" spans="1:19" hidden="1" x14ac:dyDescent="0.3">
      <c r="A987" s="14">
        <v>43931.708333333336</v>
      </c>
      <c r="B987" s="13" t="s">
        <v>23</v>
      </c>
      <c r="C987" s="2">
        <v>2</v>
      </c>
      <c r="D987" s="13" t="s">
        <v>62</v>
      </c>
      <c r="E987" s="2">
        <v>4573750286</v>
      </c>
      <c r="F987" s="2">
        <v>7320149366</v>
      </c>
      <c r="G987" s="2">
        <v>131</v>
      </c>
      <c r="H987" s="2">
        <v>16</v>
      </c>
      <c r="I987" s="2">
        <v>147</v>
      </c>
      <c r="J987" s="2">
        <v>455</v>
      </c>
      <c r="K987" s="2">
        <v>602</v>
      </c>
      <c r="L987" s="2">
        <v>-7</v>
      </c>
      <c r="M987" s="2">
        <v>11</v>
      </c>
      <c r="N987" s="2">
        <v>170</v>
      </c>
      <c r="O987" s="2">
        <v>107</v>
      </c>
      <c r="P987" s="2">
        <v>879</v>
      </c>
      <c r="Q987" s="2">
        <v>3328</v>
      </c>
      <c r="R987" s="13" t="s">
        <v>27</v>
      </c>
      <c r="S987" s="13" t="s">
        <v>27</v>
      </c>
    </row>
    <row r="988" spans="1:19" hidden="1" x14ac:dyDescent="0.3">
      <c r="A988" s="14">
        <v>43931.708333333336</v>
      </c>
      <c r="B988" s="13" t="s">
        <v>23</v>
      </c>
      <c r="C988" s="2">
        <v>5</v>
      </c>
      <c r="D988" s="13" t="s">
        <v>63</v>
      </c>
      <c r="E988" s="2">
        <v>4543490485</v>
      </c>
      <c r="F988" s="2">
        <v>1233845213</v>
      </c>
      <c r="G988" s="2">
        <v>1521</v>
      </c>
      <c r="H988" s="2">
        <v>257</v>
      </c>
      <c r="I988" s="2">
        <v>1778</v>
      </c>
      <c r="J988" s="2">
        <v>8869</v>
      </c>
      <c r="K988" s="2">
        <v>10647</v>
      </c>
      <c r="L988" s="2">
        <v>198</v>
      </c>
      <c r="M988" s="2">
        <v>488</v>
      </c>
      <c r="N988" s="2">
        <v>1981</v>
      </c>
      <c r="O988" s="2">
        <v>793</v>
      </c>
      <c r="P988" s="2">
        <v>13421</v>
      </c>
      <c r="Q988" s="2">
        <v>180700</v>
      </c>
      <c r="R988" s="13" t="s">
        <v>27</v>
      </c>
      <c r="S988" s="13" t="s">
        <v>27</v>
      </c>
    </row>
    <row r="989" spans="1:19" hidden="1" x14ac:dyDescent="0.3">
      <c r="A989" s="14">
        <v>43932.708333333336</v>
      </c>
      <c r="B989" s="13" t="s">
        <v>23</v>
      </c>
      <c r="C989" s="2">
        <v>13</v>
      </c>
      <c r="D989" s="13" t="s">
        <v>44</v>
      </c>
      <c r="E989" s="2">
        <v>4235122196</v>
      </c>
      <c r="F989" s="2">
        <v>1339843823</v>
      </c>
      <c r="G989" s="2">
        <v>315</v>
      </c>
      <c r="H989" s="2">
        <v>54</v>
      </c>
      <c r="I989" s="2">
        <v>369</v>
      </c>
      <c r="J989" s="2">
        <v>1355</v>
      </c>
      <c r="K989" s="2">
        <v>1724</v>
      </c>
      <c r="L989" s="2">
        <v>89</v>
      </c>
      <c r="M989" s="2">
        <v>106</v>
      </c>
      <c r="N989" s="2">
        <v>190</v>
      </c>
      <c r="O989" s="2">
        <v>206</v>
      </c>
      <c r="P989" s="2">
        <v>2120</v>
      </c>
      <c r="Q989" s="2">
        <v>19441</v>
      </c>
      <c r="R989" s="13" t="s">
        <v>27</v>
      </c>
      <c r="S989" s="13" t="s">
        <v>27</v>
      </c>
    </row>
    <row r="990" spans="1:19" hidden="1" x14ac:dyDescent="0.3">
      <c r="A990" s="14">
        <v>43932.708333333336</v>
      </c>
      <c r="B990" s="13" t="s">
        <v>23</v>
      </c>
      <c r="C990" s="2">
        <v>17</v>
      </c>
      <c r="D990" s="13" t="s">
        <v>45</v>
      </c>
      <c r="E990" s="2">
        <v>4063947052</v>
      </c>
      <c r="F990" s="2">
        <v>1580514834</v>
      </c>
      <c r="G990" s="2">
        <v>60</v>
      </c>
      <c r="H990" s="2">
        <v>12</v>
      </c>
      <c r="I990" s="2">
        <v>72</v>
      </c>
      <c r="J990" s="2">
        <v>209</v>
      </c>
      <c r="K990" s="2">
        <v>281</v>
      </c>
      <c r="L990" s="2">
        <v>2</v>
      </c>
      <c r="M990" s="2">
        <v>4</v>
      </c>
      <c r="N990" s="2">
        <v>14</v>
      </c>
      <c r="O990" s="2">
        <v>17</v>
      </c>
      <c r="P990" s="2">
        <v>312</v>
      </c>
      <c r="Q990" s="2">
        <v>4050</v>
      </c>
      <c r="R990" s="13" t="s">
        <v>27</v>
      </c>
      <c r="S990" s="13" t="s">
        <v>27</v>
      </c>
    </row>
    <row r="991" spans="1:19" hidden="1" x14ac:dyDescent="0.3">
      <c r="A991" s="14">
        <v>43932.708333333336</v>
      </c>
      <c r="B991" s="13" t="s">
        <v>23</v>
      </c>
      <c r="C991" s="2">
        <v>4</v>
      </c>
      <c r="D991" s="13" t="s">
        <v>46</v>
      </c>
      <c r="E991" s="2">
        <v>4649933453</v>
      </c>
      <c r="F991" s="2">
        <v>1135662422</v>
      </c>
      <c r="G991" s="2">
        <v>246</v>
      </c>
      <c r="H991" s="2">
        <v>56</v>
      </c>
      <c r="I991" s="2">
        <v>302</v>
      </c>
      <c r="J991" s="2">
        <v>967</v>
      </c>
      <c r="K991" s="2">
        <v>1269</v>
      </c>
      <c r="L991" s="2">
        <v>-48</v>
      </c>
      <c r="M991" s="2">
        <v>2</v>
      </c>
      <c r="N991" s="2">
        <v>488</v>
      </c>
      <c r="O991" s="2">
        <v>200</v>
      </c>
      <c r="P991" s="2">
        <v>1957</v>
      </c>
      <c r="Q991" s="2">
        <v>22186</v>
      </c>
      <c r="R991" s="13" t="s">
        <v>27</v>
      </c>
      <c r="S991" s="13" t="s">
        <v>27</v>
      </c>
    </row>
    <row r="992" spans="1:19" hidden="1" x14ac:dyDescent="0.3">
      <c r="A992" s="14">
        <v>43932.708333333336</v>
      </c>
      <c r="B992" s="13" t="s">
        <v>23</v>
      </c>
      <c r="C992" s="2">
        <v>18</v>
      </c>
      <c r="D992" s="13" t="s">
        <v>47</v>
      </c>
      <c r="E992" s="2">
        <v>3890597598</v>
      </c>
      <c r="F992" s="2">
        <v>1659440194</v>
      </c>
      <c r="G992" s="2">
        <v>169</v>
      </c>
      <c r="H992" s="2">
        <v>15</v>
      </c>
      <c r="I992" s="2">
        <v>184</v>
      </c>
      <c r="J992" s="2">
        <v>608</v>
      </c>
      <c r="K992" s="2">
        <v>792</v>
      </c>
      <c r="L992" s="2">
        <v>6</v>
      </c>
      <c r="M992" s="2">
        <v>14</v>
      </c>
      <c r="N992" s="2">
        <v>57</v>
      </c>
      <c r="O992" s="2">
        <v>66</v>
      </c>
      <c r="P992" s="2">
        <v>915</v>
      </c>
      <c r="Q992" s="2">
        <v>17493</v>
      </c>
      <c r="R992" s="13" t="s">
        <v>27</v>
      </c>
      <c r="S992" s="13" t="s">
        <v>27</v>
      </c>
    </row>
    <row r="993" spans="1:19" hidden="1" x14ac:dyDescent="0.3">
      <c r="A993" s="14">
        <v>43932.708333333336</v>
      </c>
      <c r="B993" s="13" t="s">
        <v>23</v>
      </c>
      <c r="C993" s="2">
        <v>15</v>
      </c>
      <c r="D993" s="13" t="s">
        <v>48</v>
      </c>
      <c r="E993" s="2">
        <v>4083956555</v>
      </c>
      <c r="F993" s="2">
        <v>1425084984</v>
      </c>
      <c r="G993" s="2">
        <v>582</v>
      </c>
      <c r="H993" s="2">
        <v>85</v>
      </c>
      <c r="I993" s="2">
        <v>667</v>
      </c>
      <c r="J993" s="2">
        <v>2335</v>
      </c>
      <c r="K993" s="2">
        <v>3002</v>
      </c>
      <c r="L993" s="2">
        <v>39</v>
      </c>
      <c r="M993" s="2">
        <v>75</v>
      </c>
      <c r="N993" s="2">
        <v>277</v>
      </c>
      <c r="O993" s="2">
        <v>238</v>
      </c>
      <c r="P993" s="2">
        <v>3517</v>
      </c>
      <c r="Q993" s="2">
        <v>33781</v>
      </c>
      <c r="R993" s="13" t="s">
        <v>27</v>
      </c>
      <c r="S993" s="13" t="s">
        <v>27</v>
      </c>
    </row>
    <row r="994" spans="1:19" hidden="1" x14ac:dyDescent="0.3">
      <c r="A994" s="14">
        <v>43932.708333333336</v>
      </c>
      <c r="B994" s="13" t="s">
        <v>23</v>
      </c>
      <c r="C994" s="2">
        <v>8</v>
      </c>
      <c r="D994" s="13" t="s">
        <v>98</v>
      </c>
      <c r="E994" s="2">
        <v>4449436681</v>
      </c>
      <c r="F994" s="2">
        <v>113417208</v>
      </c>
      <c r="G994" s="2">
        <v>3530</v>
      </c>
      <c r="H994" s="2">
        <v>341</v>
      </c>
      <c r="I994" s="2">
        <v>3871</v>
      </c>
      <c r="J994" s="2">
        <v>9624</v>
      </c>
      <c r="K994" s="2">
        <v>13495</v>
      </c>
      <c r="L994" s="2">
        <v>145</v>
      </c>
      <c r="M994" s="2">
        <v>507</v>
      </c>
      <c r="N994" s="2">
        <v>3659</v>
      </c>
      <c r="O994" s="2">
        <v>2481</v>
      </c>
      <c r="P994" s="2">
        <v>19635</v>
      </c>
      <c r="Q994" s="2">
        <v>91759</v>
      </c>
      <c r="R994" s="13" t="s">
        <v>27</v>
      </c>
      <c r="S994" s="13" t="s">
        <v>27</v>
      </c>
    </row>
    <row r="995" spans="1:19" hidden="1" x14ac:dyDescent="0.3">
      <c r="A995" s="14">
        <v>43932.708333333336</v>
      </c>
      <c r="B995" s="13" t="s">
        <v>23</v>
      </c>
      <c r="C995" s="2">
        <v>6</v>
      </c>
      <c r="D995" s="13" t="s">
        <v>49</v>
      </c>
      <c r="E995" s="2">
        <v>456494354</v>
      </c>
      <c r="F995" s="2">
        <v>1376813649</v>
      </c>
      <c r="G995" s="2">
        <v>172</v>
      </c>
      <c r="H995" s="2">
        <v>28</v>
      </c>
      <c r="I995" s="2">
        <v>200</v>
      </c>
      <c r="J995" s="2">
        <v>1182</v>
      </c>
      <c r="K995" s="2">
        <v>1382</v>
      </c>
      <c r="L995" s="2">
        <v>-16</v>
      </c>
      <c r="M995" s="2">
        <v>44</v>
      </c>
      <c r="N995" s="2">
        <v>826</v>
      </c>
      <c r="O995" s="2">
        <v>185</v>
      </c>
      <c r="P995" s="2">
        <v>2393</v>
      </c>
      <c r="Q995" s="2">
        <v>29685</v>
      </c>
      <c r="R995" s="13" t="s">
        <v>27</v>
      </c>
      <c r="S995" s="13" t="s">
        <v>27</v>
      </c>
    </row>
    <row r="996" spans="1:19" hidden="1" x14ac:dyDescent="0.3">
      <c r="A996" s="14">
        <v>43932.708333333336</v>
      </c>
      <c r="B996" s="13" t="s">
        <v>23</v>
      </c>
      <c r="C996" s="2">
        <v>12</v>
      </c>
      <c r="D996" s="13" t="s">
        <v>50</v>
      </c>
      <c r="E996" s="2">
        <v>4189277044</v>
      </c>
      <c r="F996" s="2">
        <v>1248366722</v>
      </c>
      <c r="G996" s="2">
        <v>1264</v>
      </c>
      <c r="H996" s="2">
        <v>203</v>
      </c>
      <c r="I996" s="2">
        <v>1467</v>
      </c>
      <c r="J996" s="2">
        <v>2263</v>
      </c>
      <c r="K996" s="2">
        <v>3730</v>
      </c>
      <c r="L996" s="2">
        <v>97</v>
      </c>
      <c r="M996" s="2">
        <v>140</v>
      </c>
      <c r="N996" s="2">
        <v>720</v>
      </c>
      <c r="O996" s="2">
        <v>273</v>
      </c>
      <c r="P996" s="2">
        <v>4723</v>
      </c>
      <c r="Q996" s="2">
        <v>65241</v>
      </c>
      <c r="R996" s="13" t="s">
        <v>27</v>
      </c>
      <c r="S996" s="13" t="s">
        <v>27</v>
      </c>
    </row>
    <row r="997" spans="1:19" hidden="1" x14ac:dyDescent="0.3">
      <c r="A997" s="14">
        <v>43932.708333333336</v>
      </c>
      <c r="B997" s="13" t="s">
        <v>23</v>
      </c>
      <c r="C997" s="2">
        <v>7</v>
      </c>
      <c r="D997" s="13" t="s">
        <v>51</v>
      </c>
      <c r="E997" s="2">
        <v>4441149315</v>
      </c>
      <c r="F997" s="2">
        <v>89326992</v>
      </c>
      <c r="G997" s="2">
        <v>1003</v>
      </c>
      <c r="H997" s="2">
        <v>146</v>
      </c>
      <c r="I997" s="2">
        <v>1149</v>
      </c>
      <c r="J997" s="2">
        <v>2184</v>
      </c>
      <c r="K997" s="2">
        <v>3333</v>
      </c>
      <c r="L997" s="2">
        <v>32</v>
      </c>
      <c r="M997" s="2">
        <v>185</v>
      </c>
      <c r="N997" s="2">
        <v>1309</v>
      </c>
      <c r="O997" s="2">
        <v>734</v>
      </c>
      <c r="P997" s="2">
        <v>5376</v>
      </c>
      <c r="Q997" s="2">
        <v>20888</v>
      </c>
      <c r="R997" s="13" t="s">
        <v>27</v>
      </c>
      <c r="S997" s="13" t="s">
        <v>27</v>
      </c>
    </row>
    <row r="998" spans="1:19" x14ac:dyDescent="0.3">
      <c r="A998" s="14">
        <v>43932.708333333336</v>
      </c>
      <c r="B998" s="13" t="s">
        <v>23</v>
      </c>
      <c r="C998" s="2">
        <v>3</v>
      </c>
      <c r="D998" s="13" t="s">
        <v>52</v>
      </c>
      <c r="E998" s="2">
        <v>4546679409</v>
      </c>
      <c r="F998" s="2">
        <v>9190347404</v>
      </c>
      <c r="G998" s="2">
        <v>12026</v>
      </c>
      <c r="H998" s="2">
        <v>1174</v>
      </c>
      <c r="I998" s="2">
        <v>13200</v>
      </c>
      <c r="J998" s="2">
        <v>17058</v>
      </c>
      <c r="K998" s="2">
        <v>30258</v>
      </c>
      <c r="L998" s="2">
        <v>728</v>
      </c>
      <c r="M998" s="2">
        <v>1544</v>
      </c>
      <c r="N998" s="2">
        <v>16823</v>
      </c>
      <c r="O998" s="2">
        <v>10511</v>
      </c>
      <c r="P998" s="2">
        <v>57592</v>
      </c>
      <c r="Q998" s="2">
        <v>196302</v>
      </c>
      <c r="R998" s="13" t="s">
        <v>27</v>
      </c>
      <c r="S998" s="13" t="s">
        <v>27</v>
      </c>
    </row>
    <row r="999" spans="1:19" hidden="1" x14ac:dyDescent="0.3">
      <c r="A999" s="14">
        <v>43932.708333333336</v>
      </c>
      <c r="B999" s="13" t="s">
        <v>23</v>
      </c>
      <c r="C999" s="2">
        <v>11</v>
      </c>
      <c r="D999" s="13" t="s">
        <v>53</v>
      </c>
      <c r="E999" s="2">
        <v>4361675973</v>
      </c>
      <c r="F999" s="2">
        <v>135188753</v>
      </c>
      <c r="G999" s="2">
        <v>960</v>
      </c>
      <c r="H999" s="2">
        <v>118</v>
      </c>
      <c r="I999" s="2">
        <v>1078</v>
      </c>
      <c r="J999" s="2">
        <v>2153</v>
      </c>
      <c r="K999" s="2">
        <v>3231</v>
      </c>
      <c r="L999" s="2">
        <v>-85</v>
      </c>
      <c r="M999" s="2">
        <v>127</v>
      </c>
      <c r="N999" s="2">
        <v>1291</v>
      </c>
      <c r="O999" s="2">
        <v>689</v>
      </c>
      <c r="P999" s="2">
        <v>5211</v>
      </c>
      <c r="Q999" s="2">
        <v>20060</v>
      </c>
      <c r="R999" s="13" t="s">
        <v>27</v>
      </c>
      <c r="S999" s="13" t="s">
        <v>27</v>
      </c>
    </row>
    <row r="1000" spans="1:19" hidden="1" x14ac:dyDescent="0.3">
      <c r="A1000" s="14">
        <v>43932.708333333336</v>
      </c>
      <c r="B1000" s="13" t="s">
        <v>23</v>
      </c>
      <c r="C1000" s="2">
        <v>14</v>
      </c>
      <c r="D1000" s="13" t="s">
        <v>54</v>
      </c>
      <c r="E1000" s="2">
        <v>4155774754</v>
      </c>
      <c r="F1000" s="2">
        <v>1465916051</v>
      </c>
      <c r="G1000" s="2">
        <v>28</v>
      </c>
      <c r="H1000" s="2">
        <v>4</v>
      </c>
      <c r="I1000" s="2">
        <v>32</v>
      </c>
      <c r="J1000" s="2">
        <v>161</v>
      </c>
      <c r="K1000" s="2">
        <v>193</v>
      </c>
      <c r="L1000" s="2">
        <v>0</v>
      </c>
      <c r="M1000" s="2">
        <v>3</v>
      </c>
      <c r="N1000" s="2">
        <v>39</v>
      </c>
      <c r="O1000" s="2">
        <v>14</v>
      </c>
      <c r="P1000" s="2">
        <v>246</v>
      </c>
      <c r="Q1000" s="2">
        <v>2201</v>
      </c>
      <c r="R1000" s="13" t="s">
        <v>27</v>
      </c>
      <c r="S1000" s="13" t="s">
        <v>27</v>
      </c>
    </row>
    <row r="1001" spans="1:19" hidden="1" x14ac:dyDescent="0.3">
      <c r="A1001" s="14">
        <v>43932.708333333336</v>
      </c>
      <c r="B1001" s="13" t="s">
        <v>23</v>
      </c>
      <c r="C1001" s="2">
        <v>1</v>
      </c>
      <c r="D1001" s="13" t="s">
        <v>55</v>
      </c>
      <c r="E1001" s="2">
        <v>450732745</v>
      </c>
      <c r="F1001" s="2">
        <v>7680687483</v>
      </c>
      <c r="G1001" s="2">
        <v>3435</v>
      </c>
      <c r="H1001" s="2">
        <v>384</v>
      </c>
      <c r="I1001" s="2">
        <v>3819</v>
      </c>
      <c r="J1001" s="2">
        <v>8351</v>
      </c>
      <c r="K1001" s="2">
        <v>12170</v>
      </c>
      <c r="L1001" s="2">
        <v>594</v>
      </c>
      <c r="M1001" s="2">
        <v>996</v>
      </c>
      <c r="N1001" s="2">
        <v>2205</v>
      </c>
      <c r="O1001" s="2">
        <v>1633</v>
      </c>
      <c r="P1001" s="2">
        <v>16008</v>
      </c>
      <c r="Q1001" s="2">
        <v>62577</v>
      </c>
      <c r="R1001" s="13" t="s">
        <v>27</v>
      </c>
      <c r="S1001" s="13" t="s">
        <v>27</v>
      </c>
    </row>
    <row r="1002" spans="1:19" hidden="1" x14ac:dyDescent="0.3">
      <c r="A1002" s="14">
        <v>43932.708333333336</v>
      </c>
      <c r="B1002" s="13" t="s">
        <v>23</v>
      </c>
      <c r="C1002" s="2">
        <v>16</v>
      </c>
      <c r="D1002" s="13" t="s">
        <v>56</v>
      </c>
      <c r="E1002" s="2">
        <v>4112559576</v>
      </c>
      <c r="F1002" s="2">
        <v>1686736689</v>
      </c>
      <c r="G1002" s="2">
        <v>627</v>
      </c>
      <c r="H1002" s="2">
        <v>73</v>
      </c>
      <c r="I1002" s="2">
        <v>700</v>
      </c>
      <c r="J1002" s="2">
        <v>1702</v>
      </c>
      <c r="K1002" s="2">
        <v>2402</v>
      </c>
      <c r="L1002" s="2">
        <v>66</v>
      </c>
      <c r="M1002" s="2">
        <v>95</v>
      </c>
      <c r="N1002" s="2">
        <v>249</v>
      </c>
      <c r="O1002" s="2">
        <v>253</v>
      </c>
      <c r="P1002" s="2">
        <v>2904</v>
      </c>
      <c r="Q1002" s="2">
        <v>29463</v>
      </c>
      <c r="R1002" s="13" t="s">
        <v>27</v>
      </c>
      <c r="S1002" s="13" t="s">
        <v>27</v>
      </c>
    </row>
    <row r="1003" spans="1:19" hidden="1" x14ac:dyDescent="0.3">
      <c r="A1003" s="14">
        <v>43932.708333333336</v>
      </c>
      <c r="B1003" s="13" t="s">
        <v>23</v>
      </c>
      <c r="C1003" s="2">
        <v>20</v>
      </c>
      <c r="D1003" s="13" t="s">
        <v>57</v>
      </c>
      <c r="E1003" s="2">
        <v>3921531192</v>
      </c>
      <c r="F1003" s="2">
        <v>9110616306</v>
      </c>
      <c r="G1003" s="2">
        <v>113</v>
      </c>
      <c r="H1003" s="2">
        <v>24</v>
      </c>
      <c r="I1003" s="2">
        <v>137</v>
      </c>
      <c r="J1003" s="2">
        <v>751</v>
      </c>
      <c r="K1003" s="2">
        <v>888</v>
      </c>
      <c r="L1003" s="2">
        <v>12</v>
      </c>
      <c r="M1003" s="2">
        <v>28</v>
      </c>
      <c r="N1003" s="2">
        <v>130</v>
      </c>
      <c r="O1003" s="2">
        <v>73</v>
      </c>
      <c r="P1003" s="2">
        <v>1091</v>
      </c>
      <c r="Q1003" s="2">
        <v>10120</v>
      </c>
      <c r="R1003" s="13" t="s">
        <v>27</v>
      </c>
      <c r="S1003" s="13" t="s">
        <v>27</v>
      </c>
    </row>
    <row r="1004" spans="1:19" hidden="1" x14ac:dyDescent="0.3">
      <c r="A1004" s="14">
        <v>43932.708333333336</v>
      </c>
      <c r="B1004" s="13" t="s">
        <v>23</v>
      </c>
      <c r="C1004" s="2">
        <v>19</v>
      </c>
      <c r="D1004" s="13" t="s">
        <v>58</v>
      </c>
      <c r="E1004" s="2">
        <v>3811569725</v>
      </c>
      <c r="F1004" s="2">
        <v>133623567</v>
      </c>
      <c r="G1004" s="2">
        <v>562</v>
      </c>
      <c r="H1004" s="2">
        <v>58</v>
      </c>
      <c r="I1004" s="2">
        <v>620</v>
      </c>
      <c r="J1004" s="2">
        <v>1381</v>
      </c>
      <c r="K1004" s="2">
        <v>2001</v>
      </c>
      <c r="L1004" s="2">
        <v>34</v>
      </c>
      <c r="M1004" s="2">
        <v>62</v>
      </c>
      <c r="N1004" s="2">
        <v>209</v>
      </c>
      <c r="O1004" s="2">
        <v>154</v>
      </c>
      <c r="P1004" s="2">
        <v>2364</v>
      </c>
      <c r="Q1004" s="2">
        <v>33787</v>
      </c>
      <c r="R1004" s="13" t="s">
        <v>27</v>
      </c>
      <c r="S1004" s="13" t="s">
        <v>27</v>
      </c>
    </row>
    <row r="1005" spans="1:19" hidden="1" x14ac:dyDescent="0.3">
      <c r="A1005" s="14">
        <v>43932.708333333336</v>
      </c>
      <c r="B1005" s="13" t="s">
        <v>23</v>
      </c>
      <c r="C1005" s="2">
        <v>9</v>
      </c>
      <c r="D1005" s="13" t="s">
        <v>59</v>
      </c>
      <c r="E1005" s="2">
        <v>4376923077</v>
      </c>
      <c r="F1005" s="2">
        <v>1125588885</v>
      </c>
      <c r="G1005" s="2">
        <v>997</v>
      </c>
      <c r="H1005" s="2">
        <v>237</v>
      </c>
      <c r="I1005" s="2">
        <v>1234</v>
      </c>
      <c r="J1005" s="2">
        <v>4758</v>
      </c>
      <c r="K1005" s="2">
        <v>5992</v>
      </c>
      <c r="L1005" s="2">
        <v>170</v>
      </c>
      <c r="M1005" s="2">
        <v>231</v>
      </c>
      <c r="N1005" s="2">
        <v>499</v>
      </c>
      <c r="O1005" s="2">
        <v>467</v>
      </c>
      <c r="P1005" s="2">
        <v>6958</v>
      </c>
      <c r="Q1005" s="2">
        <v>75756</v>
      </c>
      <c r="R1005" s="13" t="s">
        <v>27</v>
      </c>
      <c r="S1005" s="13" t="s">
        <v>27</v>
      </c>
    </row>
    <row r="1006" spans="1:19" hidden="1" x14ac:dyDescent="0.3">
      <c r="A1006" s="14">
        <v>43932.708333333336</v>
      </c>
      <c r="B1006" s="13" t="s">
        <v>23</v>
      </c>
      <c r="C1006" s="2">
        <v>4</v>
      </c>
      <c r="D1006" s="13" t="s">
        <v>60</v>
      </c>
      <c r="E1006" s="2">
        <v>4606893511</v>
      </c>
      <c r="F1006" s="2">
        <v>1112123097</v>
      </c>
      <c r="G1006" s="2">
        <v>335</v>
      </c>
      <c r="H1006" s="2">
        <v>62</v>
      </c>
      <c r="I1006" s="2">
        <v>397</v>
      </c>
      <c r="J1006" s="2">
        <v>1667</v>
      </c>
      <c r="K1006" s="2">
        <v>2064</v>
      </c>
      <c r="L1006" s="2">
        <v>70</v>
      </c>
      <c r="M1006" s="2">
        <v>154</v>
      </c>
      <c r="N1006" s="2">
        <v>622</v>
      </c>
      <c r="O1006" s="2">
        <v>284</v>
      </c>
      <c r="P1006" s="2">
        <v>2970</v>
      </c>
      <c r="Q1006" s="2">
        <v>16646</v>
      </c>
      <c r="R1006" s="13" t="s">
        <v>27</v>
      </c>
      <c r="S1006" s="13" t="s">
        <v>27</v>
      </c>
    </row>
    <row r="1007" spans="1:19" hidden="1" x14ac:dyDescent="0.3">
      <c r="A1007" s="14">
        <v>43932.708333333336</v>
      </c>
      <c r="B1007" s="13" t="s">
        <v>23</v>
      </c>
      <c r="C1007" s="2">
        <v>10</v>
      </c>
      <c r="D1007" s="13" t="s">
        <v>61</v>
      </c>
      <c r="E1007" s="2">
        <v>4310675841</v>
      </c>
      <c r="F1007" s="2">
        <v>1238824698</v>
      </c>
      <c r="G1007" s="2">
        <v>137</v>
      </c>
      <c r="H1007" s="2">
        <v>39</v>
      </c>
      <c r="I1007" s="2">
        <v>176</v>
      </c>
      <c r="J1007" s="2">
        <v>547</v>
      </c>
      <c r="K1007" s="2">
        <v>723</v>
      </c>
      <c r="L1007" s="2">
        <v>-29</v>
      </c>
      <c r="M1007" s="2">
        <v>7</v>
      </c>
      <c r="N1007" s="2">
        <v>534</v>
      </c>
      <c r="O1007" s="2">
        <v>52</v>
      </c>
      <c r="P1007" s="2">
        <v>1309</v>
      </c>
      <c r="Q1007" s="2">
        <v>17661</v>
      </c>
      <c r="R1007" s="13" t="s">
        <v>27</v>
      </c>
      <c r="S1007" s="13" t="s">
        <v>27</v>
      </c>
    </row>
    <row r="1008" spans="1:19" hidden="1" x14ac:dyDescent="0.3">
      <c r="A1008" s="14">
        <v>43932.708333333336</v>
      </c>
      <c r="B1008" s="13" t="s">
        <v>23</v>
      </c>
      <c r="C1008" s="2">
        <v>2</v>
      </c>
      <c r="D1008" s="13" t="s">
        <v>62</v>
      </c>
      <c r="E1008" s="2">
        <v>4573750286</v>
      </c>
      <c r="F1008" s="2">
        <v>7320149366</v>
      </c>
      <c r="G1008" s="2">
        <v>118</v>
      </c>
      <c r="H1008" s="2">
        <v>17</v>
      </c>
      <c r="I1008" s="2">
        <v>135</v>
      </c>
      <c r="J1008" s="2">
        <v>455</v>
      </c>
      <c r="K1008" s="2">
        <v>590</v>
      </c>
      <c r="L1008" s="2">
        <v>-12</v>
      </c>
      <c r="M1008" s="2">
        <v>23</v>
      </c>
      <c r="N1008" s="2">
        <v>205</v>
      </c>
      <c r="O1008" s="2">
        <v>107</v>
      </c>
      <c r="P1008" s="2">
        <v>902</v>
      </c>
      <c r="Q1008" s="2">
        <v>3464</v>
      </c>
      <c r="R1008" s="13" t="s">
        <v>27</v>
      </c>
      <c r="S1008" s="13" t="s">
        <v>27</v>
      </c>
    </row>
    <row r="1009" spans="1:19" hidden="1" x14ac:dyDescent="0.3">
      <c r="A1009" s="14">
        <v>43932.708333333336</v>
      </c>
      <c r="B1009" s="13" t="s">
        <v>23</v>
      </c>
      <c r="C1009" s="2">
        <v>5</v>
      </c>
      <c r="D1009" s="13" t="s">
        <v>63</v>
      </c>
      <c r="E1009" s="2">
        <v>4543490485</v>
      </c>
      <c r="F1009" s="2">
        <v>1233845213</v>
      </c>
      <c r="G1009" s="2">
        <v>1465</v>
      </c>
      <c r="H1009" s="2">
        <v>251</v>
      </c>
      <c r="I1009" s="2">
        <v>1716</v>
      </c>
      <c r="J1009" s="2">
        <v>9033</v>
      </c>
      <c r="K1009" s="2">
        <v>10749</v>
      </c>
      <c r="L1009" s="2">
        <v>102</v>
      </c>
      <c r="M1009" s="2">
        <v>347</v>
      </c>
      <c r="N1009" s="2">
        <v>2188</v>
      </c>
      <c r="O1009" s="2">
        <v>831</v>
      </c>
      <c r="P1009" s="2">
        <v>13768</v>
      </c>
      <c r="Q1009" s="2">
        <v>190912</v>
      </c>
      <c r="R1009" s="13" t="s">
        <v>27</v>
      </c>
      <c r="S1009" s="13" t="s">
        <v>27</v>
      </c>
    </row>
    <row r="1010" spans="1:19" hidden="1" x14ac:dyDescent="0.3">
      <c r="A1010" s="14">
        <v>43933.708333333336</v>
      </c>
      <c r="B1010" s="13" t="s">
        <v>23</v>
      </c>
      <c r="C1010" s="2">
        <v>13</v>
      </c>
      <c r="D1010" s="13" t="s">
        <v>44</v>
      </c>
      <c r="E1010" s="2">
        <v>4235122196</v>
      </c>
      <c r="F1010" s="2">
        <v>1339843823</v>
      </c>
      <c r="G1010" s="2">
        <v>346</v>
      </c>
      <c r="H1010" s="2">
        <v>54</v>
      </c>
      <c r="I1010" s="2">
        <v>400</v>
      </c>
      <c r="J1010" s="2">
        <v>1342</v>
      </c>
      <c r="K1010" s="2">
        <v>1742</v>
      </c>
      <c r="L1010" s="2">
        <v>18</v>
      </c>
      <c r="M1010" s="2">
        <v>40</v>
      </c>
      <c r="N1010" s="2">
        <v>206</v>
      </c>
      <c r="O1010" s="2">
        <v>212</v>
      </c>
      <c r="P1010" s="2">
        <v>2160</v>
      </c>
      <c r="Q1010" s="2">
        <v>20594</v>
      </c>
      <c r="R1010" s="13" t="s">
        <v>27</v>
      </c>
      <c r="S1010" s="13" t="s">
        <v>27</v>
      </c>
    </row>
    <row r="1011" spans="1:19" hidden="1" x14ac:dyDescent="0.3">
      <c r="A1011" s="14">
        <v>43933.708333333336</v>
      </c>
      <c r="B1011" s="13" t="s">
        <v>23</v>
      </c>
      <c r="C1011" s="2">
        <v>17</v>
      </c>
      <c r="D1011" s="13" t="s">
        <v>45</v>
      </c>
      <c r="E1011" s="2">
        <v>4063947052</v>
      </c>
      <c r="F1011" s="2">
        <v>1580514834</v>
      </c>
      <c r="G1011" s="2">
        <v>61</v>
      </c>
      <c r="H1011" s="2">
        <v>12</v>
      </c>
      <c r="I1011" s="2">
        <v>73</v>
      </c>
      <c r="J1011" s="2">
        <v>204</v>
      </c>
      <c r="K1011" s="2">
        <v>277</v>
      </c>
      <c r="L1011" s="2">
        <v>-4</v>
      </c>
      <c r="M1011" s="2">
        <v>3</v>
      </c>
      <c r="N1011" s="2">
        <v>20</v>
      </c>
      <c r="O1011" s="2">
        <v>18</v>
      </c>
      <c r="P1011" s="2">
        <v>315</v>
      </c>
      <c r="Q1011" s="2">
        <v>4355</v>
      </c>
      <c r="R1011" s="13" t="s">
        <v>27</v>
      </c>
      <c r="S1011" s="13" t="s">
        <v>27</v>
      </c>
    </row>
    <row r="1012" spans="1:19" hidden="1" x14ac:dyDescent="0.3">
      <c r="A1012" s="14">
        <v>43933.708333333336</v>
      </c>
      <c r="B1012" s="13" t="s">
        <v>23</v>
      </c>
      <c r="C1012" s="2">
        <v>4</v>
      </c>
      <c r="D1012" s="13" t="s">
        <v>46</v>
      </c>
      <c r="E1012" s="2">
        <v>4649933453</v>
      </c>
      <c r="F1012" s="2">
        <v>1135662422</v>
      </c>
      <c r="G1012" s="2">
        <v>183</v>
      </c>
      <c r="H1012" s="2">
        <v>45</v>
      </c>
      <c r="I1012" s="2">
        <v>228</v>
      </c>
      <c r="J1012" s="2">
        <v>1287</v>
      </c>
      <c r="K1012" s="2">
        <v>1515</v>
      </c>
      <c r="L1012" s="2">
        <v>246</v>
      </c>
      <c r="M1012" s="2">
        <v>141</v>
      </c>
      <c r="N1012" s="2">
        <v>378</v>
      </c>
      <c r="O1012" s="2">
        <v>205</v>
      </c>
      <c r="P1012" s="2">
        <v>2098</v>
      </c>
      <c r="Q1012" s="2">
        <v>23246</v>
      </c>
      <c r="R1012" s="13" t="s">
        <v>128</v>
      </c>
      <c r="S1012" s="13" t="s">
        <v>129</v>
      </c>
    </row>
    <row r="1013" spans="1:19" hidden="1" x14ac:dyDescent="0.3">
      <c r="A1013" s="14">
        <v>43933.708333333336</v>
      </c>
      <c r="B1013" s="13" t="s">
        <v>23</v>
      </c>
      <c r="C1013" s="2">
        <v>18</v>
      </c>
      <c r="D1013" s="13" t="s">
        <v>47</v>
      </c>
      <c r="E1013" s="2">
        <v>3890597598</v>
      </c>
      <c r="F1013" s="2">
        <v>1659440194</v>
      </c>
      <c r="G1013" s="2">
        <v>165</v>
      </c>
      <c r="H1013" s="2">
        <v>14</v>
      </c>
      <c r="I1013" s="2">
        <v>179</v>
      </c>
      <c r="J1013" s="2">
        <v>616</v>
      </c>
      <c r="K1013" s="2">
        <v>795</v>
      </c>
      <c r="L1013" s="2">
        <v>3</v>
      </c>
      <c r="M1013" s="2">
        <v>8</v>
      </c>
      <c r="N1013" s="2">
        <v>62</v>
      </c>
      <c r="O1013" s="2">
        <v>66</v>
      </c>
      <c r="P1013" s="2">
        <v>923</v>
      </c>
      <c r="Q1013" s="2">
        <v>18211</v>
      </c>
      <c r="R1013" s="13" t="s">
        <v>27</v>
      </c>
      <c r="S1013" s="13" t="s">
        <v>27</v>
      </c>
    </row>
    <row r="1014" spans="1:19" hidden="1" x14ac:dyDescent="0.3">
      <c r="A1014" s="14">
        <v>43933.708333333336</v>
      </c>
      <c r="B1014" s="13" t="s">
        <v>23</v>
      </c>
      <c r="C1014" s="2">
        <v>15</v>
      </c>
      <c r="D1014" s="13" t="s">
        <v>48</v>
      </c>
      <c r="E1014" s="2">
        <v>4083956555</v>
      </c>
      <c r="F1014" s="2">
        <v>1425084984</v>
      </c>
      <c r="G1014" s="2">
        <v>526</v>
      </c>
      <c r="H1014" s="2">
        <v>82</v>
      </c>
      <c r="I1014" s="2">
        <v>608</v>
      </c>
      <c r="J1014" s="2">
        <v>2449</v>
      </c>
      <c r="K1014" s="2">
        <v>3057</v>
      </c>
      <c r="L1014" s="2">
        <v>55</v>
      </c>
      <c r="M1014" s="2">
        <v>87</v>
      </c>
      <c r="N1014" s="2">
        <v>305</v>
      </c>
      <c r="O1014" s="2">
        <v>242</v>
      </c>
      <c r="P1014" s="2">
        <v>3604</v>
      </c>
      <c r="Q1014" s="2">
        <v>35448</v>
      </c>
      <c r="R1014" s="13" t="s">
        <v>27</v>
      </c>
      <c r="S1014" s="13" t="s">
        <v>27</v>
      </c>
    </row>
    <row r="1015" spans="1:19" hidden="1" x14ac:dyDescent="0.3">
      <c r="A1015" s="14">
        <v>43933.708333333336</v>
      </c>
      <c r="B1015" s="13" t="s">
        <v>23</v>
      </c>
      <c r="C1015" s="2">
        <v>8</v>
      </c>
      <c r="D1015" s="13" t="s">
        <v>98</v>
      </c>
      <c r="E1015" s="2">
        <v>4449436681</v>
      </c>
      <c r="F1015" s="2">
        <v>113417208</v>
      </c>
      <c r="G1015" s="2">
        <v>3491</v>
      </c>
      <c r="H1015" s="2">
        <v>335</v>
      </c>
      <c r="I1015" s="2">
        <v>3826</v>
      </c>
      <c r="J1015" s="2">
        <v>9846</v>
      </c>
      <c r="K1015" s="2">
        <v>13672</v>
      </c>
      <c r="L1015" s="2">
        <v>177</v>
      </c>
      <c r="M1015" s="2">
        <v>463</v>
      </c>
      <c r="N1015" s="2">
        <v>3862</v>
      </c>
      <c r="O1015" s="2">
        <v>2564</v>
      </c>
      <c r="P1015" s="2">
        <v>20098</v>
      </c>
      <c r="Q1015" s="2">
        <v>96704</v>
      </c>
      <c r="R1015" s="13" t="s">
        <v>27</v>
      </c>
      <c r="S1015" s="13" t="s">
        <v>27</v>
      </c>
    </row>
    <row r="1016" spans="1:19" hidden="1" x14ac:dyDescent="0.3">
      <c r="A1016" s="14">
        <v>43933.708333333336</v>
      </c>
      <c r="B1016" s="13" t="s">
        <v>23</v>
      </c>
      <c r="C1016" s="2">
        <v>6</v>
      </c>
      <c r="D1016" s="13" t="s">
        <v>49</v>
      </c>
      <c r="E1016" s="2">
        <v>456494354</v>
      </c>
      <c r="F1016" s="2">
        <v>1376813649</v>
      </c>
      <c r="G1016" s="2">
        <v>160</v>
      </c>
      <c r="H1016" s="2">
        <v>28</v>
      </c>
      <c r="I1016" s="2">
        <v>188</v>
      </c>
      <c r="J1016" s="2">
        <v>1138</v>
      </c>
      <c r="K1016" s="2">
        <v>1326</v>
      </c>
      <c r="L1016" s="2">
        <v>-56</v>
      </c>
      <c r="M1016" s="2">
        <v>38</v>
      </c>
      <c r="N1016" s="2">
        <v>910</v>
      </c>
      <c r="O1016" s="2">
        <v>195</v>
      </c>
      <c r="P1016" s="2">
        <v>2431</v>
      </c>
      <c r="Q1016" s="2">
        <v>29988</v>
      </c>
      <c r="R1016" s="13" t="s">
        <v>27</v>
      </c>
      <c r="S1016" s="13" t="s">
        <v>27</v>
      </c>
    </row>
    <row r="1017" spans="1:19" hidden="1" x14ac:dyDescent="0.3">
      <c r="A1017" s="14">
        <v>43933.708333333336</v>
      </c>
      <c r="B1017" s="13" t="s">
        <v>23</v>
      </c>
      <c r="C1017" s="2">
        <v>12</v>
      </c>
      <c r="D1017" s="13" t="s">
        <v>50</v>
      </c>
      <c r="E1017" s="2">
        <v>4189277044</v>
      </c>
      <c r="F1017" s="2">
        <v>1248366722</v>
      </c>
      <c r="G1017" s="2">
        <v>1268</v>
      </c>
      <c r="H1017" s="2">
        <v>201</v>
      </c>
      <c r="I1017" s="2">
        <v>1469</v>
      </c>
      <c r="J1017" s="2">
        <v>2348</v>
      </c>
      <c r="K1017" s="2">
        <v>3817</v>
      </c>
      <c r="L1017" s="2">
        <v>87</v>
      </c>
      <c r="M1017" s="2">
        <v>122</v>
      </c>
      <c r="N1017" s="2">
        <v>749</v>
      </c>
      <c r="O1017" s="2">
        <v>279</v>
      </c>
      <c r="P1017" s="2">
        <v>4845</v>
      </c>
      <c r="Q1017" s="2">
        <v>68954</v>
      </c>
      <c r="R1017" s="13" t="s">
        <v>27</v>
      </c>
      <c r="S1017" s="13" t="s">
        <v>27</v>
      </c>
    </row>
    <row r="1018" spans="1:19" hidden="1" x14ac:dyDescent="0.3">
      <c r="A1018" s="14">
        <v>43933.708333333336</v>
      </c>
      <c r="B1018" s="13" t="s">
        <v>23</v>
      </c>
      <c r="C1018" s="2">
        <v>7</v>
      </c>
      <c r="D1018" s="13" t="s">
        <v>51</v>
      </c>
      <c r="E1018" s="2">
        <v>4441149315</v>
      </c>
      <c r="F1018" s="2">
        <v>89326992</v>
      </c>
      <c r="G1018" s="2">
        <v>1032</v>
      </c>
      <c r="H1018" s="2">
        <v>144</v>
      </c>
      <c r="I1018" s="2">
        <v>1176</v>
      </c>
      <c r="J1018" s="2">
        <v>2157</v>
      </c>
      <c r="K1018" s="2">
        <v>3333</v>
      </c>
      <c r="L1018" s="2">
        <v>0</v>
      </c>
      <c r="M1018" s="2">
        <v>118</v>
      </c>
      <c r="N1018" s="2">
        <v>1412</v>
      </c>
      <c r="O1018" s="2">
        <v>749</v>
      </c>
      <c r="P1018" s="2">
        <v>5494</v>
      </c>
      <c r="Q1018" s="2">
        <v>21983</v>
      </c>
      <c r="R1018" s="13" t="s">
        <v>27</v>
      </c>
      <c r="S1018" s="13" t="s">
        <v>27</v>
      </c>
    </row>
    <row r="1019" spans="1:19" x14ac:dyDescent="0.3">
      <c r="A1019" s="14">
        <v>43933.708333333336</v>
      </c>
      <c r="B1019" s="13" t="s">
        <v>23</v>
      </c>
      <c r="C1019" s="2">
        <v>3</v>
      </c>
      <c r="D1019" s="13" t="s">
        <v>52</v>
      </c>
      <c r="E1019" s="2">
        <v>4546679409</v>
      </c>
      <c r="F1019" s="2">
        <v>9190347404</v>
      </c>
      <c r="G1019" s="2">
        <v>11969</v>
      </c>
      <c r="H1019" s="2">
        <v>1176</v>
      </c>
      <c r="I1019" s="2">
        <v>13145</v>
      </c>
      <c r="J1019" s="2">
        <v>18120</v>
      </c>
      <c r="K1019" s="2">
        <v>31265</v>
      </c>
      <c r="L1019" s="2">
        <v>1007</v>
      </c>
      <c r="M1019" s="2">
        <v>1460</v>
      </c>
      <c r="N1019" s="2">
        <v>17166</v>
      </c>
      <c r="O1019" s="2">
        <v>10621</v>
      </c>
      <c r="P1019" s="2">
        <v>59052</v>
      </c>
      <c r="Q1019" s="2">
        <v>205832</v>
      </c>
      <c r="R1019" s="13" t="s">
        <v>27</v>
      </c>
      <c r="S1019" s="13" t="s">
        <v>27</v>
      </c>
    </row>
    <row r="1020" spans="1:19" hidden="1" x14ac:dyDescent="0.3">
      <c r="A1020" s="14">
        <v>43933.708333333336</v>
      </c>
      <c r="B1020" s="13" t="s">
        <v>23</v>
      </c>
      <c r="C1020" s="2">
        <v>11</v>
      </c>
      <c r="D1020" s="13" t="s">
        <v>53</v>
      </c>
      <c r="E1020" s="2">
        <v>4361675973</v>
      </c>
      <c r="F1020" s="2">
        <v>135188753</v>
      </c>
      <c r="G1020" s="2">
        <v>949</v>
      </c>
      <c r="H1020" s="2">
        <v>114</v>
      </c>
      <c r="I1020" s="2">
        <v>1063</v>
      </c>
      <c r="J1020" s="2">
        <v>2051</v>
      </c>
      <c r="K1020" s="2">
        <v>3114</v>
      </c>
      <c r="L1020" s="2">
        <v>-117</v>
      </c>
      <c r="M1020" s="2">
        <v>92</v>
      </c>
      <c r="N1020" s="2">
        <v>1489</v>
      </c>
      <c r="O1020" s="2">
        <v>700</v>
      </c>
      <c r="P1020" s="2">
        <v>5303</v>
      </c>
      <c r="Q1020" s="2">
        <v>21057</v>
      </c>
      <c r="R1020" s="13" t="s">
        <v>27</v>
      </c>
      <c r="S1020" s="13" t="s">
        <v>27</v>
      </c>
    </row>
    <row r="1021" spans="1:19" hidden="1" x14ac:dyDescent="0.3">
      <c r="A1021" s="14">
        <v>43933.708333333336</v>
      </c>
      <c r="B1021" s="13" t="s">
        <v>23</v>
      </c>
      <c r="C1021" s="2">
        <v>14</v>
      </c>
      <c r="D1021" s="13" t="s">
        <v>54</v>
      </c>
      <c r="E1021" s="2">
        <v>4155774754</v>
      </c>
      <c r="F1021" s="2">
        <v>1465916051</v>
      </c>
      <c r="G1021" s="2">
        <v>27</v>
      </c>
      <c r="H1021" s="2">
        <v>4</v>
      </c>
      <c r="I1021" s="2">
        <v>31</v>
      </c>
      <c r="J1021" s="2">
        <v>171</v>
      </c>
      <c r="K1021" s="2">
        <v>202</v>
      </c>
      <c r="L1021" s="2">
        <v>9</v>
      </c>
      <c r="M1021" s="2">
        <v>11</v>
      </c>
      <c r="N1021" s="2">
        <v>40</v>
      </c>
      <c r="O1021" s="2">
        <v>15</v>
      </c>
      <c r="P1021" s="2">
        <v>257</v>
      </c>
      <c r="Q1021" s="2">
        <v>2471</v>
      </c>
      <c r="R1021" s="13" t="s">
        <v>27</v>
      </c>
      <c r="S1021" s="13" t="s">
        <v>27</v>
      </c>
    </row>
    <row r="1022" spans="1:19" hidden="1" x14ac:dyDescent="0.3">
      <c r="A1022" s="14">
        <v>43933.708333333336</v>
      </c>
      <c r="B1022" s="13" t="s">
        <v>23</v>
      </c>
      <c r="C1022" s="2">
        <v>1</v>
      </c>
      <c r="D1022" s="13" t="s">
        <v>55</v>
      </c>
      <c r="E1022" s="2">
        <v>450732745</v>
      </c>
      <c r="F1022" s="2">
        <v>7680687483</v>
      </c>
      <c r="G1022" s="2">
        <v>3429</v>
      </c>
      <c r="H1022" s="2">
        <v>381</v>
      </c>
      <c r="I1022" s="2">
        <v>3810</v>
      </c>
      <c r="J1022" s="2">
        <v>8695</v>
      </c>
      <c r="K1022" s="2">
        <v>12505</v>
      </c>
      <c r="L1022" s="2">
        <v>335</v>
      </c>
      <c r="M1022" s="2">
        <v>652</v>
      </c>
      <c r="N1022" s="2">
        <v>2426</v>
      </c>
      <c r="O1022" s="2">
        <v>1729</v>
      </c>
      <c r="P1022" s="2">
        <v>16660</v>
      </c>
      <c r="Q1022" s="2">
        <v>66555</v>
      </c>
      <c r="R1022" s="13" t="s">
        <v>27</v>
      </c>
      <c r="S1022" s="13" t="s">
        <v>27</v>
      </c>
    </row>
    <row r="1023" spans="1:19" hidden="1" x14ac:dyDescent="0.3">
      <c r="A1023" s="14">
        <v>43933.708333333336</v>
      </c>
      <c r="B1023" s="13" t="s">
        <v>23</v>
      </c>
      <c r="C1023" s="2">
        <v>16</v>
      </c>
      <c r="D1023" s="13" t="s">
        <v>56</v>
      </c>
      <c r="E1023" s="2">
        <v>4112559576</v>
      </c>
      <c r="F1023" s="2">
        <v>1686736689</v>
      </c>
      <c r="G1023" s="2">
        <v>609</v>
      </c>
      <c r="H1023" s="2">
        <v>71</v>
      </c>
      <c r="I1023" s="2">
        <v>680</v>
      </c>
      <c r="J1023" s="2">
        <v>1772</v>
      </c>
      <c r="K1023" s="2">
        <v>2452</v>
      </c>
      <c r="L1023" s="2">
        <v>50</v>
      </c>
      <c r="M1023" s="2">
        <v>85</v>
      </c>
      <c r="N1023" s="2">
        <v>277</v>
      </c>
      <c r="O1023" s="2">
        <v>260</v>
      </c>
      <c r="P1023" s="2">
        <v>2989</v>
      </c>
      <c r="Q1023" s="2">
        <v>30973</v>
      </c>
      <c r="R1023" s="13" t="s">
        <v>27</v>
      </c>
      <c r="S1023" s="13" t="s">
        <v>27</v>
      </c>
    </row>
    <row r="1024" spans="1:19" hidden="1" x14ac:dyDescent="0.3">
      <c r="A1024" s="14">
        <v>43933.708333333336</v>
      </c>
      <c r="B1024" s="13" t="s">
        <v>23</v>
      </c>
      <c r="C1024" s="2">
        <v>20</v>
      </c>
      <c r="D1024" s="13" t="s">
        <v>57</v>
      </c>
      <c r="E1024" s="2">
        <v>3921531192</v>
      </c>
      <c r="F1024" s="2">
        <v>9110616306</v>
      </c>
      <c r="G1024" s="2">
        <v>109</v>
      </c>
      <c r="H1024" s="2">
        <v>26</v>
      </c>
      <c r="I1024" s="2">
        <v>135</v>
      </c>
      <c r="J1024" s="2">
        <v>768</v>
      </c>
      <c r="K1024" s="2">
        <v>903</v>
      </c>
      <c r="L1024" s="2">
        <v>15</v>
      </c>
      <c r="M1024" s="2">
        <v>22</v>
      </c>
      <c r="N1024" s="2">
        <v>137</v>
      </c>
      <c r="O1024" s="2">
        <v>73</v>
      </c>
      <c r="P1024" s="2">
        <v>1113</v>
      </c>
      <c r="Q1024" s="2">
        <v>10663</v>
      </c>
      <c r="R1024" s="13" t="s">
        <v>27</v>
      </c>
      <c r="S1024" s="13" t="s">
        <v>27</v>
      </c>
    </row>
    <row r="1025" spans="1:19" hidden="1" x14ac:dyDescent="0.3">
      <c r="A1025" s="14">
        <v>43933.708333333336</v>
      </c>
      <c r="B1025" s="13" t="s">
        <v>23</v>
      </c>
      <c r="C1025" s="2">
        <v>19</v>
      </c>
      <c r="D1025" s="13" t="s">
        <v>58</v>
      </c>
      <c r="E1025" s="2">
        <v>3811569725</v>
      </c>
      <c r="F1025" s="2">
        <v>133623567</v>
      </c>
      <c r="G1025" s="2">
        <v>552</v>
      </c>
      <c r="H1025" s="2">
        <v>53</v>
      </c>
      <c r="I1025" s="2">
        <v>605</v>
      </c>
      <c r="J1025" s="2">
        <v>1425</v>
      </c>
      <c r="K1025" s="2">
        <v>2030</v>
      </c>
      <c r="L1025" s="2">
        <v>29</v>
      </c>
      <c r="M1025" s="2">
        <v>52</v>
      </c>
      <c r="N1025" s="2">
        <v>223</v>
      </c>
      <c r="O1025" s="2">
        <v>163</v>
      </c>
      <c r="P1025" s="2">
        <v>2416</v>
      </c>
      <c r="Q1025" s="2">
        <v>36098</v>
      </c>
      <c r="R1025" s="13" t="s">
        <v>27</v>
      </c>
      <c r="S1025" s="13" t="s">
        <v>27</v>
      </c>
    </row>
    <row r="1026" spans="1:19" hidden="1" x14ac:dyDescent="0.3">
      <c r="A1026" s="14">
        <v>43933.708333333336</v>
      </c>
      <c r="B1026" s="13" t="s">
        <v>23</v>
      </c>
      <c r="C1026" s="2">
        <v>9</v>
      </c>
      <c r="D1026" s="13" t="s">
        <v>59</v>
      </c>
      <c r="E1026" s="2">
        <v>4376923077</v>
      </c>
      <c r="F1026" s="2">
        <v>1125588885</v>
      </c>
      <c r="G1026" s="2">
        <v>983</v>
      </c>
      <c r="H1026" s="2">
        <v>238</v>
      </c>
      <c r="I1026" s="2">
        <v>1221</v>
      </c>
      <c r="J1026" s="2">
        <v>4941</v>
      </c>
      <c r="K1026" s="2">
        <v>6162</v>
      </c>
      <c r="L1026" s="2">
        <v>170</v>
      </c>
      <c r="M1026" s="2">
        <v>277</v>
      </c>
      <c r="N1026" s="2">
        <v>578</v>
      </c>
      <c r="O1026" s="2">
        <v>495</v>
      </c>
      <c r="P1026" s="2">
        <v>7235</v>
      </c>
      <c r="Q1026" s="2">
        <v>78640</v>
      </c>
      <c r="R1026" s="13" t="s">
        <v>27</v>
      </c>
      <c r="S1026" s="13" t="s">
        <v>27</v>
      </c>
    </row>
    <row r="1027" spans="1:19" hidden="1" x14ac:dyDescent="0.3">
      <c r="A1027" s="14">
        <v>43933.708333333336</v>
      </c>
      <c r="B1027" s="13" t="s">
        <v>23</v>
      </c>
      <c r="C1027" s="2">
        <v>4</v>
      </c>
      <c r="D1027" s="13" t="s">
        <v>60</v>
      </c>
      <c r="E1027" s="2">
        <v>4606893511</v>
      </c>
      <c r="F1027" s="2">
        <v>1112123097</v>
      </c>
      <c r="G1027" s="2">
        <v>322</v>
      </c>
      <c r="H1027" s="2">
        <v>61</v>
      </c>
      <c r="I1027" s="2">
        <v>383</v>
      </c>
      <c r="J1027" s="2">
        <v>1699</v>
      </c>
      <c r="K1027" s="2">
        <v>2082</v>
      </c>
      <c r="L1027" s="2">
        <v>18</v>
      </c>
      <c r="M1027" s="2">
        <v>83</v>
      </c>
      <c r="N1027" s="2">
        <v>678</v>
      </c>
      <c r="O1027" s="2">
        <v>293</v>
      </c>
      <c r="P1027" s="2">
        <v>3053</v>
      </c>
      <c r="Q1027" s="2">
        <v>17797</v>
      </c>
      <c r="R1027" s="13" t="s">
        <v>27</v>
      </c>
      <c r="S1027" s="13" t="s">
        <v>27</v>
      </c>
    </row>
    <row r="1028" spans="1:19" hidden="1" x14ac:dyDescent="0.3">
      <c r="A1028" s="14">
        <v>43933.708333333336</v>
      </c>
      <c r="B1028" s="13" t="s">
        <v>23</v>
      </c>
      <c r="C1028" s="2">
        <v>10</v>
      </c>
      <c r="D1028" s="13" t="s">
        <v>61</v>
      </c>
      <c r="E1028" s="2">
        <v>4310675841</v>
      </c>
      <c r="F1028" s="2">
        <v>1238824698</v>
      </c>
      <c r="G1028" s="2">
        <v>129</v>
      </c>
      <c r="H1028" s="2">
        <v>39</v>
      </c>
      <c r="I1028" s="2">
        <v>168</v>
      </c>
      <c r="J1028" s="2">
        <v>519</v>
      </c>
      <c r="K1028" s="2">
        <v>687</v>
      </c>
      <c r="L1028" s="2">
        <v>-36</v>
      </c>
      <c r="M1028" s="2">
        <v>10</v>
      </c>
      <c r="N1028" s="2">
        <v>580</v>
      </c>
      <c r="O1028" s="2">
        <v>52</v>
      </c>
      <c r="P1028" s="2">
        <v>1319</v>
      </c>
      <c r="Q1028" s="2">
        <v>18672</v>
      </c>
      <c r="R1028" s="13" t="s">
        <v>27</v>
      </c>
      <c r="S1028" s="13" t="s">
        <v>27</v>
      </c>
    </row>
    <row r="1029" spans="1:19" hidden="1" x14ac:dyDescent="0.3">
      <c r="A1029" s="14">
        <v>43933.708333333336</v>
      </c>
      <c r="B1029" s="13" t="s">
        <v>23</v>
      </c>
      <c r="C1029" s="2">
        <v>2</v>
      </c>
      <c r="D1029" s="13" t="s">
        <v>62</v>
      </c>
      <c r="E1029" s="2">
        <v>4573750286</v>
      </c>
      <c r="F1029" s="2">
        <v>7320149366</v>
      </c>
      <c r="G1029" s="2">
        <v>109</v>
      </c>
      <c r="H1029" s="2">
        <v>16</v>
      </c>
      <c r="I1029" s="2">
        <v>125</v>
      </c>
      <c r="J1029" s="2">
        <v>463</v>
      </c>
      <c r="K1029" s="2">
        <v>588</v>
      </c>
      <c r="L1029" s="2">
        <v>-2</v>
      </c>
      <c r="M1029" s="2">
        <v>19</v>
      </c>
      <c r="N1029" s="2">
        <v>221</v>
      </c>
      <c r="O1029" s="2">
        <v>112</v>
      </c>
      <c r="P1029" s="2">
        <v>921</v>
      </c>
      <c r="Q1029" s="2">
        <v>3510</v>
      </c>
      <c r="R1029" s="13" t="s">
        <v>27</v>
      </c>
      <c r="S1029" s="13" t="s">
        <v>27</v>
      </c>
    </row>
    <row r="1030" spans="1:19" hidden="1" x14ac:dyDescent="0.3">
      <c r="A1030" s="14">
        <v>43933.708333333336</v>
      </c>
      <c r="B1030" s="13" t="s">
        <v>23</v>
      </c>
      <c r="C1030" s="79">
        <v>5</v>
      </c>
      <c r="D1030" s="13" t="s">
        <v>63</v>
      </c>
      <c r="E1030" s="79">
        <v>4543490485</v>
      </c>
      <c r="F1030" s="79">
        <v>1233845213</v>
      </c>
      <c r="G1030" s="79">
        <v>1428</v>
      </c>
      <c r="H1030" s="79">
        <v>249</v>
      </c>
      <c r="I1030" s="79">
        <v>1677</v>
      </c>
      <c r="J1030" s="79">
        <v>9052</v>
      </c>
      <c r="K1030" s="79">
        <v>10729</v>
      </c>
      <c r="L1030" s="79">
        <v>-20</v>
      </c>
      <c r="M1030" s="79">
        <v>309</v>
      </c>
      <c r="N1030" s="79">
        <v>2492</v>
      </c>
      <c r="O1030" s="79">
        <v>856</v>
      </c>
      <c r="P1030" s="79">
        <v>14077</v>
      </c>
      <c r="Q1030" s="79">
        <v>198442</v>
      </c>
      <c r="R1030" s="13" t="s">
        <v>27</v>
      </c>
      <c r="S1030" s="13" t="s">
        <v>27</v>
      </c>
    </row>
    <row r="1031" spans="1:19" hidden="1" x14ac:dyDescent="0.3">
      <c r="A1031" s="14">
        <v>43934.708333333336</v>
      </c>
      <c r="B1031" s="13" t="s">
        <v>23</v>
      </c>
      <c r="C1031" s="79">
        <v>13</v>
      </c>
      <c r="D1031" s="13" t="s">
        <v>44</v>
      </c>
      <c r="E1031" s="79">
        <v>4235122196</v>
      </c>
      <c r="F1031" s="79">
        <v>1339843823</v>
      </c>
      <c r="G1031" s="79">
        <v>351</v>
      </c>
      <c r="H1031" s="79">
        <v>54</v>
      </c>
      <c r="I1031" s="79">
        <v>405</v>
      </c>
      <c r="J1031" s="79">
        <v>1373</v>
      </c>
      <c r="K1031" s="79">
        <v>1778</v>
      </c>
      <c r="L1031" s="79">
        <v>36</v>
      </c>
      <c r="M1031" s="79">
        <v>53</v>
      </c>
      <c r="N1031" s="79">
        <v>211</v>
      </c>
      <c r="O1031" s="79">
        <v>224</v>
      </c>
      <c r="P1031" s="79">
        <v>2213</v>
      </c>
      <c r="Q1031" s="79">
        <v>20667</v>
      </c>
      <c r="R1031" s="13" t="s">
        <v>27</v>
      </c>
      <c r="S1031" s="13" t="s">
        <v>27</v>
      </c>
    </row>
    <row r="1032" spans="1:19" hidden="1" x14ac:dyDescent="0.3">
      <c r="A1032" s="14">
        <v>43934.708333333336</v>
      </c>
      <c r="B1032" s="13" t="s">
        <v>23</v>
      </c>
      <c r="C1032" s="79">
        <v>17</v>
      </c>
      <c r="D1032" s="13" t="s">
        <v>45</v>
      </c>
      <c r="E1032" s="79">
        <v>4063947052</v>
      </c>
      <c r="F1032" s="79">
        <v>1580514834</v>
      </c>
      <c r="G1032" s="79">
        <v>64</v>
      </c>
      <c r="H1032" s="79">
        <v>12</v>
      </c>
      <c r="I1032" s="79">
        <v>76</v>
      </c>
      <c r="J1032" s="79">
        <v>194</v>
      </c>
      <c r="K1032" s="79">
        <v>270</v>
      </c>
      <c r="L1032" s="79">
        <v>-7</v>
      </c>
      <c r="M1032" s="79">
        <v>4</v>
      </c>
      <c r="N1032" s="79">
        <v>31</v>
      </c>
      <c r="O1032" s="79">
        <v>18</v>
      </c>
      <c r="P1032" s="79">
        <v>319</v>
      </c>
      <c r="Q1032" s="79">
        <v>4545</v>
      </c>
      <c r="R1032" s="13" t="s">
        <v>27</v>
      </c>
      <c r="S1032" s="13" t="s">
        <v>27</v>
      </c>
    </row>
    <row r="1033" spans="1:19" hidden="1" x14ac:dyDescent="0.3">
      <c r="A1033" s="14">
        <v>43934.708333333336</v>
      </c>
      <c r="B1033" s="13" t="s">
        <v>23</v>
      </c>
      <c r="C1033" s="79">
        <v>4</v>
      </c>
      <c r="D1033" s="13" t="s">
        <v>46</v>
      </c>
      <c r="E1033" s="79">
        <v>4649933453</v>
      </c>
      <c r="F1033" s="79">
        <v>1135662422</v>
      </c>
      <c r="G1033" s="79">
        <v>190</v>
      </c>
      <c r="H1033" s="79">
        <v>41</v>
      </c>
      <c r="I1033" s="79">
        <v>231</v>
      </c>
      <c r="J1033" s="79">
        <v>1306</v>
      </c>
      <c r="K1033" s="79">
        <v>1537</v>
      </c>
      <c r="L1033" s="79">
        <v>22</v>
      </c>
      <c r="M1033" s="79">
        <v>51</v>
      </c>
      <c r="N1033" s="79">
        <v>400</v>
      </c>
      <c r="O1033" s="79">
        <v>212</v>
      </c>
      <c r="P1033" s="79">
        <v>2149</v>
      </c>
      <c r="Q1033" s="79">
        <v>24157</v>
      </c>
      <c r="R1033" s="13" t="s">
        <v>27</v>
      </c>
      <c r="S1033" s="13" t="s">
        <v>27</v>
      </c>
    </row>
    <row r="1034" spans="1:19" hidden="1" x14ac:dyDescent="0.3">
      <c r="A1034" s="14">
        <v>43934.708333333336</v>
      </c>
      <c r="B1034" s="13" t="s">
        <v>23</v>
      </c>
      <c r="C1034" s="79">
        <v>18</v>
      </c>
      <c r="D1034" s="13" t="s">
        <v>47</v>
      </c>
      <c r="E1034" s="79">
        <v>3890597598</v>
      </c>
      <c r="F1034" s="79">
        <v>1659440194</v>
      </c>
      <c r="G1034" s="79">
        <v>160</v>
      </c>
      <c r="H1034" s="79">
        <v>12</v>
      </c>
      <c r="I1034" s="79">
        <v>172</v>
      </c>
      <c r="J1034" s="79">
        <v>619</v>
      </c>
      <c r="K1034" s="79">
        <v>791</v>
      </c>
      <c r="L1034" s="79">
        <v>-4</v>
      </c>
      <c r="M1034" s="79">
        <v>5</v>
      </c>
      <c r="N1034" s="79">
        <v>70</v>
      </c>
      <c r="O1034" s="79">
        <v>67</v>
      </c>
      <c r="P1034" s="79">
        <v>928</v>
      </c>
      <c r="Q1034" s="79">
        <v>18596</v>
      </c>
      <c r="R1034" s="13" t="s">
        <v>27</v>
      </c>
      <c r="S1034" s="13" t="s">
        <v>27</v>
      </c>
    </row>
    <row r="1035" spans="1:19" hidden="1" x14ac:dyDescent="0.3">
      <c r="A1035" s="14">
        <v>43934.708333333336</v>
      </c>
      <c r="B1035" s="13" t="s">
        <v>23</v>
      </c>
      <c r="C1035" s="79">
        <v>15</v>
      </c>
      <c r="D1035" s="13" t="s">
        <v>48</v>
      </c>
      <c r="E1035" s="79">
        <v>4083956555</v>
      </c>
      <c r="F1035" s="79">
        <v>1425084984</v>
      </c>
      <c r="G1035" s="79">
        <v>606</v>
      </c>
      <c r="H1035" s="79">
        <v>80</v>
      </c>
      <c r="I1035" s="79">
        <v>686</v>
      </c>
      <c r="J1035" s="79">
        <v>2376</v>
      </c>
      <c r="K1035" s="79">
        <v>3062</v>
      </c>
      <c r="L1035" s="79">
        <v>5</v>
      </c>
      <c r="M1035" s="79">
        <v>66</v>
      </c>
      <c r="N1035" s="79">
        <v>360</v>
      </c>
      <c r="O1035" s="79">
        <v>248</v>
      </c>
      <c r="P1035" s="79">
        <v>3670</v>
      </c>
      <c r="Q1035" s="79">
        <v>36770</v>
      </c>
      <c r="R1035" s="13" t="s">
        <v>27</v>
      </c>
      <c r="S1035" s="13" t="s">
        <v>27</v>
      </c>
    </row>
    <row r="1036" spans="1:19" hidden="1" x14ac:dyDescent="0.3">
      <c r="A1036" s="14">
        <v>43934.708333333336</v>
      </c>
      <c r="B1036" s="13" t="s">
        <v>23</v>
      </c>
      <c r="C1036" s="79">
        <v>8</v>
      </c>
      <c r="D1036" s="13" t="s">
        <v>98</v>
      </c>
      <c r="E1036" s="79">
        <v>4449436681</v>
      </c>
      <c r="F1036" s="79">
        <v>113417208</v>
      </c>
      <c r="G1036" s="79">
        <v>3490</v>
      </c>
      <c r="H1036" s="79">
        <v>331</v>
      </c>
      <c r="I1036" s="79">
        <v>3821</v>
      </c>
      <c r="J1036" s="79">
        <v>9997</v>
      </c>
      <c r="K1036" s="79">
        <v>13818</v>
      </c>
      <c r="L1036" s="79">
        <v>146</v>
      </c>
      <c r="M1036" s="79">
        <v>342</v>
      </c>
      <c r="N1036" s="79">
        <v>4007</v>
      </c>
      <c r="O1036" s="79">
        <v>2615</v>
      </c>
      <c r="P1036" s="79">
        <v>20440</v>
      </c>
      <c r="Q1036" s="79">
        <v>99047</v>
      </c>
      <c r="R1036" s="13" t="s">
        <v>27</v>
      </c>
      <c r="S1036" s="13" t="s">
        <v>27</v>
      </c>
    </row>
    <row r="1037" spans="1:19" hidden="1" x14ac:dyDescent="0.3">
      <c r="A1037" s="14">
        <v>43934.708333333336</v>
      </c>
      <c r="B1037" s="13" t="s">
        <v>23</v>
      </c>
      <c r="C1037" s="79">
        <v>6</v>
      </c>
      <c r="D1037" s="13" t="s">
        <v>49</v>
      </c>
      <c r="E1037" s="79">
        <v>456494354</v>
      </c>
      <c r="F1037" s="79">
        <v>1376813649</v>
      </c>
      <c r="G1037" s="79">
        <v>159</v>
      </c>
      <c r="H1037" s="79">
        <v>30</v>
      </c>
      <c r="I1037" s="79">
        <v>189</v>
      </c>
      <c r="J1037" s="79">
        <v>1118</v>
      </c>
      <c r="K1037" s="79">
        <v>1307</v>
      </c>
      <c r="L1037" s="79">
        <v>-19</v>
      </c>
      <c r="M1037" s="79">
        <v>51</v>
      </c>
      <c r="N1037" s="79">
        <v>973</v>
      </c>
      <c r="O1037" s="79">
        <v>202</v>
      </c>
      <c r="P1037" s="79">
        <v>2482</v>
      </c>
      <c r="Q1037" s="79">
        <v>30941</v>
      </c>
      <c r="R1037" s="13" t="s">
        <v>27</v>
      </c>
      <c r="S1037" s="13" t="s">
        <v>27</v>
      </c>
    </row>
    <row r="1038" spans="1:19" hidden="1" x14ac:dyDescent="0.3">
      <c r="A1038" s="14">
        <v>43934.708333333336</v>
      </c>
      <c r="B1038" s="13" t="s">
        <v>23</v>
      </c>
      <c r="C1038" s="79">
        <v>12</v>
      </c>
      <c r="D1038" s="13" t="s">
        <v>50</v>
      </c>
      <c r="E1038" s="79">
        <v>4189277044</v>
      </c>
      <c r="F1038" s="79">
        <v>1248366722</v>
      </c>
      <c r="G1038" s="79">
        <v>1314</v>
      </c>
      <c r="H1038" s="79">
        <v>200</v>
      </c>
      <c r="I1038" s="79">
        <v>1514</v>
      </c>
      <c r="J1038" s="79">
        <v>2406</v>
      </c>
      <c r="K1038" s="79">
        <v>3920</v>
      </c>
      <c r="L1038" s="79">
        <v>103</v>
      </c>
      <c r="M1038" s="79">
        <v>123</v>
      </c>
      <c r="N1038" s="79">
        <v>764</v>
      </c>
      <c r="O1038" s="79">
        <v>284</v>
      </c>
      <c r="P1038" s="79">
        <v>4968</v>
      </c>
      <c r="Q1038" s="79">
        <v>72746</v>
      </c>
      <c r="R1038" s="13" t="s">
        <v>27</v>
      </c>
      <c r="S1038" s="13" t="s">
        <v>27</v>
      </c>
    </row>
    <row r="1039" spans="1:19" hidden="1" x14ac:dyDescent="0.3">
      <c r="A1039" s="14">
        <v>43934.708333333336</v>
      </c>
      <c r="B1039" s="13" t="s">
        <v>23</v>
      </c>
      <c r="C1039" s="79">
        <v>7</v>
      </c>
      <c r="D1039" s="13" t="s">
        <v>51</v>
      </c>
      <c r="E1039" s="79">
        <v>4441149315</v>
      </c>
      <c r="F1039" s="79">
        <v>89326992</v>
      </c>
      <c r="G1039" s="79">
        <v>1088</v>
      </c>
      <c r="H1039" s="79">
        <v>138</v>
      </c>
      <c r="I1039" s="79">
        <v>1226</v>
      </c>
      <c r="J1039" s="79">
        <v>2139</v>
      </c>
      <c r="K1039" s="79">
        <v>3365</v>
      </c>
      <c r="L1039" s="79">
        <v>32</v>
      </c>
      <c r="M1039" s="79">
        <v>102</v>
      </c>
      <c r="N1039" s="79">
        <v>1471</v>
      </c>
      <c r="O1039" s="79">
        <v>760</v>
      </c>
      <c r="P1039" s="79">
        <v>5596</v>
      </c>
      <c r="Q1039" s="79">
        <v>23129</v>
      </c>
      <c r="R1039" s="13" t="s">
        <v>27</v>
      </c>
      <c r="S1039" s="13" t="s">
        <v>27</v>
      </c>
    </row>
    <row r="1040" spans="1:19" x14ac:dyDescent="0.3">
      <c r="A1040" s="14">
        <v>43934.708333333336</v>
      </c>
      <c r="B1040" s="13" t="s">
        <v>23</v>
      </c>
      <c r="C1040" s="79">
        <v>3</v>
      </c>
      <c r="D1040" s="13" t="s">
        <v>52</v>
      </c>
      <c r="E1040" s="79">
        <v>4546679409</v>
      </c>
      <c r="F1040" s="79">
        <v>9190347404</v>
      </c>
      <c r="G1040" s="79">
        <v>12028</v>
      </c>
      <c r="H1040" s="79">
        <v>1143</v>
      </c>
      <c r="I1040" s="79">
        <v>13171</v>
      </c>
      <c r="J1040" s="79">
        <v>18764</v>
      </c>
      <c r="K1040" s="79">
        <v>31935</v>
      </c>
      <c r="L1040" s="79">
        <v>670</v>
      </c>
      <c r="M1040" s="79">
        <v>1262</v>
      </c>
      <c r="N1040" s="79">
        <v>17478</v>
      </c>
      <c r="O1040" s="79">
        <v>10901</v>
      </c>
      <c r="P1040" s="79">
        <v>60314</v>
      </c>
      <c r="Q1040" s="79">
        <v>211092</v>
      </c>
      <c r="R1040" s="13" t="s">
        <v>27</v>
      </c>
      <c r="S1040" s="13" t="s">
        <v>27</v>
      </c>
    </row>
    <row r="1041" spans="1:19" hidden="1" x14ac:dyDescent="0.3">
      <c r="A1041" s="14">
        <v>43934.708333333336</v>
      </c>
      <c r="B1041" s="13" t="s">
        <v>23</v>
      </c>
      <c r="C1041" s="79">
        <v>11</v>
      </c>
      <c r="D1041" s="13" t="s">
        <v>53</v>
      </c>
      <c r="E1041" s="79">
        <v>4361675973</v>
      </c>
      <c r="F1041" s="79">
        <v>135188753</v>
      </c>
      <c r="G1041" s="79">
        <v>959</v>
      </c>
      <c r="H1041" s="79">
        <v>108</v>
      </c>
      <c r="I1041" s="79">
        <v>1067</v>
      </c>
      <c r="J1041" s="79">
        <v>2013</v>
      </c>
      <c r="K1041" s="79">
        <v>3080</v>
      </c>
      <c r="L1041" s="79">
        <v>-34</v>
      </c>
      <c r="M1041" s="79">
        <v>78</v>
      </c>
      <c r="N1041" s="79">
        <v>1588</v>
      </c>
      <c r="O1041" s="79">
        <v>713</v>
      </c>
      <c r="P1041" s="79">
        <v>5381</v>
      </c>
      <c r="Q1041" s="79">
        <v>28379</v>
      </c>
      <c r="R1041" s="13" t="s">
        <v>27</v>
      </c>
      <c r="S1041" s="13" t="s">
        <v>27</v>
      </c>
    </row>
    <row r="1042" spans="1:19" hidden="1" x14ac:dyDescent="0.3">
      <c r="A1042" s="14">
        <v>43934.708333333336</v>
      </c>
      <c r="B1042" s="13" t="s">
        <v>23</v>
      </c>
      <c r="C1042" s="79">
        <v>14</v>
      </c>
      <c r="D1042" s="13" t="s">
        <v>54</v>
      </c>
      <c r="E1042" s="79">
        <v>4155774754</v>
      </c>
      <c r="F1042" s="79">
        <v>1465916051</v>
      </c>
      <c r="G1042" s="79">
        <v>28</v>
      </c>
      <c r="H1042" s="79">
        <v>4</v>
      </c>
      <c r="I1042" s="79">
        <v>32</v>
      </c>
      <c r="J1042" s="79">
        <v>170</v>
      </c>
      <c r="K1042" s="79">
        <v>202</v>
      </c>
      <c r="L1042" s="79">
        <v>0</v>
      </c>
      <c r="M1042" s="79">
        <v>0</v>
      </c>
      <c r="N1042" s="79">
        <v>40</v>
      </c>
      <c r="O1042" s="79">
        <v>15</v>
      </c>
      <c r="P1042" s="79">
        <v>257</v>
      </c>
      <c r="Q1042" s="79">
        <v>2522</v>
      </c>
      <c r="R1042" s="13" t="s">
        <v>27</v>
      </c>
      <c r="S1042" s="13" t="s">
        <v>27</v>
      </c>
    </row>
    <row r="1043" spans="1:19" hidden="1" x14ac:dyDescent="0.3">
      <c r="A1043" s="14">
        <v>43934.708333333336</v>
      </c>
      <c r="B1043" s="13" t="s">
        <v>23</v>
      </c>
      <c r="C1043" s="79">
        <v>1</v>
      </c>
      <c r="D1043" s="13" t="s">
        <v>55</v>
      </c>
      <c r="E1043" s="79">
        <v>450732745</v>
      </c>
      <c r="F1043" s="79">
        <v>7680687483</v>
      </c>
      <c r="G1043" s="79">
        <v>3344</v>
      </c>
      <c r="H1043" s="79">
        <v>379</v>
      </c>
      <c r="I1043" s="79">
        <v>3723</v>
      </c>
      <c r="J1043" s="79">
        <v>9042</v>
      </c>
      <c r="K1043" s="79">
        <v>12765</v>
      </c>
      <c r="L1043" s="79">
        <v>260</v>
      </c>
      <c r="M1043" s="79">
        <v>474</v>
      </c>
      <c r="N1043" s="79">
        <v>2543</v>
      </c>
      <c r="O1043" s="79">
        <v>1826</v>
      </c>
      <c r="P1043" s="79">
        <v>17134</v>
      </c>
      <c r="Q1043" s="79">
        <v>69170</v>
      </c>
      <c r="R1043" s="13" t="s">
        <v>27</v>
      </c>
      <c r="S1043" s="13" t="s">
        <v>27</v>
      </c>
    </row>
    <row r="1044" spans="1:19" hidden="1" x14ac:dyDescent="0.3">
      <c r="A1044" s="14">
        <v>43934.708333333336</v>
      </c>
      <c r="B1044" s="13" t="s">
        <v>23</v>
      </c>
      <c r="C1044" s="79">
        <v>16</v>
      </c>
      <c r="D1044" s="13" t="s">
        <v>56</v>
      </c>
      <c r="E1044" s="79">
        <v>4112559576</v>
      </c>
      <c r="F1044" s="79">
        <v>1686736689</v>
      </c>
      <c r="G1044" s="79">
        <v>600</v>
      </c>
      <c r="H1044" s="79">
        <v>71</v>
      </c>
      <c r="I1044" s="79">
        <v>671</v>
      </c>
      <c r="J1044" s="79">
        <v>1841</v>
      </c>
      <c r="K1044" s="79">
        <v>2512</v>
      </c>
      <c r="L1044" s="79">
        <v>60</v>
      </c>
      <c r="M1044" s="79">
        <v>76</v>
      </c>
      <c r="N1044" s="79">
        <v>286</v>
      </c>
      <c r="O1044" s="79">
        <v>267</v>
      </c>
      <c r="P1044" s="79">
        <v>3065</v>
      </c>
      <c r="Q1044" s="79">
        <v>31922</v>
      </c>
      <c r="R1044" s="13" t="s">
        <v>27</v>
      </c>
      <c r="S1044" s="13" t="s">
        <v>27</v>
      </c>
    </row>
    <row r="1045" spans="1:19" hidden="1" x14ac:dyDescent="0.3">
      <c r="A1045" s="14">
        <v>43934.708333333336</v>
      </c>
      <c r="B1045" s="13" t="s">
        <v>23</v>
      </c>
      <c r="C1045" s="79">
        <v>20</v>
      </c>
      <c r="D1045" s="13" t="s">
        <v>57</v>
      </c>
      <c r="E1045" s="79">
        <v>3921531192</v>
      </c>
      <c r="F1045" s="79">
        <v>9110616306</v>
      </c>
      <c r="G1045" s="79">
        <v>107</v>
      </c>
      <c r="H1045" s="79">
        <v>27</v>
      </c>
      <c r="I1045" s="79">
        <v>134</v>
      </c>
      <c r="J1045" s="79">
        <v>780</v>
      </c>
      <c r="K1045" s="79">
        <v>914</v>
      </c>
      <c r="L1045" s="79">
        <v>11</v>
      </c>
      <c r="M1045" s="79">
        <v>15</v>
      </c>
      <c r="N1045" s="79">
        <v>139</v>
      </c>
      <c r="O1045" s="79">
        <v>75</v>
      </c>
      <c r="P1045" s="79">
        <v>1128</v>
      </c>
      <c r="Q1045" s="79">
        <v>11010</v>
      </c>
      <c r="R1045" s="13" t="s">
        <v>27</v>
      </c>
      <c r="S1045" s="13" t="s">
        <v>27</v>
      </c>
    </row>
    <row r="1046" spans="1:19" hidden="1" x14ac:dyDescent="0.3">
      <c r="A1046" s="14">
        <v>43934.708333333336</v>
      </c>
      <c r="B1046" s="13" t="s">
        <v>23</v>
      </c>
      <c r="C1046" s="79">
        <v>19</v>
      </c>
      <c r="D1046" s="13" t="s">
        <v>58</v>
      </c>
      <c r="E1046" s="79">
        <v>3811569725</v>
      </c>
      <c r="F1046" s="79">
        <v>133623567</v>
      </c>
      <c r="G1046" s="79">
        <v>554</v>
      </c>
      <c r="H1046" s="79">
        <v>51</v>
      </c>
      <c r="I1046" s="79">
        <v>605</v>
      </c>
      <c r="J1046" s="79">
        <v>1445</v>
      </c>
      <c r="K1046" s="79">
        <v>2050</v>
      </c>
      <c r="L1046" s="79">
        <v>20</v>
      </c>
      <c r="M1046" s="79">
        <v>42</v>
      </c>
      <c r="N1046" s="79">
        <v>237</v>
      </c>
      <c r="O1046" s="79">
        <v>171</v>
      </c>
      <c r="P1046" s="79">
        <v>2458</v>
      </c>
      <c r="Q1046" s="79">
        <v>37311</v>
      </c>
      <c r="R1046" s="13" t="s">
        <v>27</v>
      </c>
      <c r="S1046" s="13" t="s">
        <v>27</v>
      </c>
    </row>
    <row r="1047" spans="1:19" hidden="1" x14ac:dyDescent="0.3">
      <c r="A1047" s="14">
        <v>43934.708333333336</v>
      </c>
      <c r="B1047" s="13" t="s">
        <v>23</v>
      </c>
      <c r="C1047" s="79">
        <v>9</v>
      </c>
      <c r="D1047" s="13" t="s">
        <v>59</v>
      </c>
      <c r="E1047" s="79">
        <v>4376923077</v>
      </c>
      <c r="F1047" s="79">
        <v>1125588885</v>
      </c>
      <c r="G1047" s="79">
        <v>992</v>
      </c>
      <c r="H1047" s="79">
        <v>225</v>
      </c>
      <c r="I1047" s="79">
        <v>1217</v>
      </c>
      <c r="J1047" s="79">
        <v>5040</v>
      </c>
      <c r="K1047" s="79">
        <v>6257</v>
      </c>
      <c r="L1047" s="79">
        <v>95</v>
      </c>
      <c r="M1047" s="79">
        <v>155</v>
      </c>
      <c r="N1047" s="79">
        <v>615</v>
      </c>
      <c r="O1047" s="79">
        <v>518</v>
      </c>
      <c r="P1047" s="79">
        <v>7390</v>
      </c>
      <c r="Q1047" s="79">
        <v>80889</v>
      </c>
      <c r="R1047" s="13" t="s">
        <v>27</v>
      </c>
      <c r="S1047" s="13" t="s">
        <v>27</v>
      </c>
    </row>
    <row r="1048" spans="1:19" hidden="1" x14ac:dyDescent="0.3">
      <c r="A1048" s="14">
        <v>43934.708333333336</v>
      </c>
      <c r="B1048" s="13" t="s">
        <v>23</v>
      </c>
      <c r="C1048" s="79">
        <v>4</v>
      </c>
      <c r="D1048" s="13" t="s">
        <v>60</v>
      </c>
      <c r="E1048" s="79">
        <v>4606893511</v>
      </c>
      <c r="F1048" s="79">
        <v>1112123097</v>
      </c>
      <c r="G1048" s="79">
        <v>326</v>
      </c>
      <c r="H1048" s="79">
        <v>56</v>
      </c>
      <c r="I1048" s="79">
        <v>382</v>
      </c>
      <c r="J1048" s="79">
        <v>1698</v>
      </c>
      <c r="K1048" s="79">
        <v>2080</v>
      </c>
      <c r="L1048" s="79">
        <v>-2</v>
      </c>
      <c r="M1048" s="79">
        <v>73</v>
      </c>
      <c r="N1048" s="79">
        <v>746</v>
      </c>
      <c r="O1048" s="79">
        <v>300</v>
      </c>
      <c r="P1048" s="79">
        <v>3126</v>
      </c>
      <c r="Q1048" s="79">
        <v>18586</v>
      </c>
      <c r="R1048" s="13" t="s">
        <v>27</v>
      </c>
      <c r="S1048" s="13" t="s">
        <v>27</v>
      </c>
    </row>
    <row r="1049" spans="1:19" hidden="1" x14ac:dyDescent="0.3">
      <c r="A1049" s="14">
        <v>43934.708333333336</v>
      </c>
      <c r="B1049" s="13" t="s">
        <v>23</v>
      </c>
      <c r="C1049" s="79">
        <v>10</v>
      </c>
      <c r="D1049" s="13" t="s">
        <v>61</v>
      </c>
      <c r="E1049" s="79">
        <v>4310675841</v>
      </c>
      <c r="F1049" s="79">
        <v>1238824698</v>
      </c>
      <c r="G1049" s="79">
        <v>127</v>
      </c>
      <c r="H1049" s="79">
        <v>38</v>
      </c>
      <c r="I1049" s="79">
        <v>165</v>
      </c>
      <c r="J1049" s="79">
        <v>460</v>
      </c>
      <c r="K1049" s="79">
        <v>625</v>
      </c>
      <c r="L1049" s="79">
        <v>-62</v>
      </c>
      <c r="M1049" s="79">
        <v>1</v>
      </c>
      <c r="N1049" s="79">
        <v>643</v>
      </c>
      <c r="O1049" s="79">
        <v>52</v>
      </c>
      <c r="P1049" s="79">
        <v>1320</v>
      </c>
      <c r="Q1049" s="79">
        <v>18740</v>
      </c>
      <c r="R1049" s="13" t="s">
        <v>27</v>
      </c>
      <c r="S1049" s="13" t="s">
        <v>27</v>
      </c>
    </row>
    <row r="1050" spans="1:19" hidden="1" x14ac:dyDescent="0.3">
      <c r="A1050" s="14">
        <v>43934.708333333336</v>
      </c>
      <c r="B1050" s="13" t="s">
        <v>23</v>
      </c>
      <c r="C1050" s="79">
        <v>2</v>
      </c>
      <c r="D1050" s="13" t="s">
        <v>62</v>
      </c>
      <c r="E1050" s="79">
        <v>4573750286</v>
      </c>
      <c r="F1050" s="79">
        <v>7320149366</v>
      </c>
      <c r="G1050" s="79">
        <v>109</v>
      </c>
      <c r="H1050" s="79">
        <v>15</v>
      </c>
      <c r="I1050" s="79">
        <v>124</v>
      </c>
      <c r="J1050" s="79">
        <v>458</v>
      </c>
      <c r="K1050" s="79">
        <v>582</v>
      </c>
      <c r="L1050" s="79">
        <v>-6</v>
      </c>
      <c r="M1050" s="79">
        <v>6</v>
      </c>
      <c r="N1050" s="79">
        <v>230</v>
      </c>
      <c r="O1050" s="79">
        <v>115</v>
      </c>
      <c r="P1050" s="79">
        <v>927</v>
      </c>
      <c r="Q1050" s="79">
        <v>3614</v>
      </c>
      <c r="R1050" s="13" t="s">
        <v>27</v>
      </c>
      <c r="S1050" s="13" t="s">
        <v>27</v>
      </c>
    </row>
    <row r="1051" spans="1:19" hidden="1" x14ac:dyDescent="0.3">
      <c r="A1051" s="14">
        <v>43934.708333333336</v>
      </c>
      <c r="B1051" s="13" t="s">
        <v>23</v>
      </c>
      <c r="C1051" s="82">
        <v>5</v>
      </c>
      <c r="D1051" s="13" t="s">
        <v>63</v>
      </c>
      <c r="E1051" s="82">
        <v>4543490485</v>
      </c>
      <c r="F1051" s="82">
        <v>1233845213</v>
      </c>
      <c r="G1051" s="82">
        <v>1427</v>
      </c>
      <c r="H1051" s="82">
        <v>245</v>
      </c>
      <c r="I1051" s="82">
        <v>1672</v>
      </c>
      <c r="J1051" s="82">
        <v>9094</v>
      </c>
      <c r="K1051" s="82">
        <v>10766</v>
      </c>
      <c r="L1051" s="82">
        <v>37</v>
      </c>
      <c r="M1051" s="82">
        <v>174</v>
      </c>
      <c r="N1051" s="82">
        <v>2603</v>
      </c>
      <c r="O1051" s="82">
        <v>882</v>
      </c>
      <c r="P1051" s="82">
        <v>14251</v>
      </c>
      <c r="Q1051" s="82">
        <v>203077</v>
      </c>
      <c r="R1051" s="13" t="s">
        <v>27</v>
      </c>
      <c r="S1051" s="13" t="s">
        <v>27</v>
      </c>
    </row>
    <row r="1052" spans="1:19" hidden="1" x14ac:dyDescent="0.3">
      <c r="A1052" s="14">
        <v>43935.708333333336</v>
      </c>
      <c r="B1052" s="13" t="s">
        <v>23</v>
      </c>
      <c r="C1052" s="82">
        <v>13</v>
      </c>
      <c r="D1052" s="13" t="s">
        <v>44</v>
      </c>
      <c r="E1052" s="82">
        <v>4235122196</v>
      </c>
      <c r="F1052" s="82">
        <v>1339843823</v>
      </c>
      <c r="G1052" s="82">
        <v>345</v>
      </c>
      <c r="H1052" s="82">
        <v>52</v>
      </c>
      <c r="I1052" s="82">
        <v>397</v>
      </c>
      <c r="J1052" s="82">
        <v>1403</v>
      </c>
      <c r="K1052" s="82">
        <v>1800</v>
      </c>
      <c r="L1052" s="82">
        <v>22</v>
      </c>
      <c r="M1052" s="82">
        <v>32</v>
      </c>
      <c r="N1052" s="82">
        <v>213</v>
      </c>
      <c r="O1052" s="82">
        <v>232</v>
      </c>
      <c r="P1052" s="82">
        <v>2245</v>
      </c>
      <c r="Q1052" s="82">
        <v>20935</v>
      </c>
      <c r="R1052" s="13" t="s">
        <v>27</v>
      </c>
      <c r="S1052" s="13" t="s">
        <v>27</v>
      </c>
    </row>
    <row r="1053" spans="1:19" hidden="1" x14ac:dyDescent="0.3">
      <c r="A1053" s="14">
        <v>43935.708333333336</v>
      </c>
      <c r="B1053" s="13" t="s">
        <v>23</v>
      </c>
      <c r="C1053" s="82">
        <v>17</v>
      </c>
      <c r="D1053" s="13" t="s">
        <v>45</v>
      </c>
      <c r="E1053" s="82">
        <v>4063947052</v>
      </c>
      <c r="F1053" s="82">
        <v>1580514834</v>
      </c>
      <c r="G1053" s="82">
        <v>62</v>
      </c>
      <c r="H1053" s="82">
        <v>12</v>
      </c>
      <c r="I1053" s="82">
        <v>74</v>
      </c>
      <c r="J1053" s="82">
        <v>191</v>
      </c>
      <c r="K1053" s="82">
        <v>265</v>
      </c>
      <c r="L1053" s="82">
        <v>-5</v>
      </c>
      <c r="M1053" s="82">
        <v>0</v>
      </c>
      <c r="N1053" s="82">
        <v>35</v>
      </c>
      <c r="O1053" s="82">
        <v>19</v>
      </c>
      <c r="P1053" s="82">
        <v>319</v>
      </c>
      <c r="Q1053" s="82">
        <v>4759</v>
      </c>
      <c r="R1053" s="13" t="s">
        <v>27</v>
      </c>
      <c r="S1053" s="13" t="s">
        <v>27</v>
      </c>
    </row>
    <row r="1054" spans="1:19" hidden="1" x14ac:dyDescent="0.3">
      <c r="A1054" s="14">
        <v>43935.708333333336</v>
      </c>
      <c r="B1054" s="13" t="s">
        <v>23</v>
      </c>
      <c r="C1054" s="82">
        <v>4</v>
      </c>
      <c r="D1054" s="13" t="s">
        <v>46</v>
      </c>
      <c r="E1054" s="82">
        <v>4649933453</v>
      </c>
      <c r="F1054" s="82">
        <v>1135662422</v>
      </c>
      <c r="G1054" s="82">
        <v>177</v>
      </c>
      <c r="H1054" s="82">
        <v>39</v>
      </c>
      <c r="I1054" s="82">
        <v>216</v>
      </c>
      <c r="J1054" s="82">
        <v>1348</v>
      </c>
      <c r="K1054" s="82">
        <v>1564</v>
      </c>
      <c r="L1054" s="82">
        <v>27</v>
      </c>
      <c r="M1054" s="82">
        <v>35</v>
      </c>
      <c r="N1054" s="82">
        <v>406</v>
      </c>
      <c r="O1054" s="82">
        <v>214</v>
      </c>
      <c r="P1054" s="82">
        <v>2184</v>
      </c>
      <c r="Q1054" s="82">
        <v>24457</v>
      </c>
      <c r="R1054" s="13" t="s">
        <v>27</v>
      </c>
      <c r="S1054" s="13" t="s">
        <v>27</v>
      </c>
    </row>
    <row r="1055" spans="1:19" hidden="1" x14ac:dyDescent="0.3">
      <c r="A1055" s="14">
        <v>43935.708333333336</v>
      </c>
      <c r="B1055" s="13" t="s">
        <v>23</v>
      </c>
      <c r="C1055" s="82">
        <v>18</v>
      </c>
      <c r="D1055" s="13" t="s">
        <v>47</v>
      </c>
      <c r="E1055" s="82">
        <v>3890597598</v>
      </c>
      <c r="F1055" s="82">
        <v>1659440194</v>
      </c>
      <c r="G1055" s="82">
        <v>161</v>
      </c>
      <c r="H1055" s="82">
        <v>12</v>
      </c>
      <c r="I1055" s="82">
        <v>173</v>
      </c>
      <c r="J1055" s="82">
        <v>643</v>
      </c>
      <c r="K1055" s="82">
        <v>816</v>
      </c>
      <c r="L1055" s="82">
        <v>25</v>
      </c>
      <c r="M1055" s="82">
        <v>28</v>
      </c>
      <c r="N1055" s="82">
        <v>72</v>
      </c>
      <c r="O1055" s="82">
        <v>68</v>
      </c>
      <c r="P1055" s="82">
        <v>956</v>
      </c>
      <c r="Q1055" s="82">
        <v>19014</v>
      </c>
      <c r="R1055" s="13" t="s">
        <v>27</v>
      </c>
      <c r="S1055" s="13" t="s">
        <v>27</v>
      </c>
    </row>
    <row r="1056" spans="1:19" hidden="1" x14ac:dyDescent="0.3">
      <c r="A1056" s="14">
        <v>43935.708333333336</v>
      </c>
      <c r="B1056" s="13" t="s">
        <v>23</v>
      </c>
      <c r="C1056" s="82">
        <v>15</v>
      </c>
      <c r="D1056" s="13" t="s">
        <v>48</v>
      </c>
      <c r="E1056" s="82">
        <v>4083956555</v>
      </c>
      <c r="F1056" s="82">
        <v>1425084984</v>
      </c>
      <c r="G1056" s="82">
        <v>618</v>
      </c>
      <c r="H1056" s="82">
        <v>82</v>
      </c>
      <c r="I1056" s="82">
        <v>700</v>
      </c>
      <c r="J1056" s="82">
        <v>2394</v>
      </c>
      <c r="K1056" s="82">
        <v>3094</v>
      </c>
      <c r="L1056" s="82">
        <v>32</v>
      </c>
      <c r="M1056" s="82">
        <v>99</v>
      </c>
      <c r="N1056" s="82">
        <v>415</v>
      </c>
      <c r="O1056" s="82">
        <v>260</v>
      </c>
      <c r="P1056" s="82">
        <v>3769</v>
      </c>
      <c r="Q1056" s="82">
        <v>38094</v>
      </c>
      <c r="R1056" s="13" t="s">
        <v>27</v>
      </c>
      <c r="S1056" s="13" t="s">
        <v>27</v>
      </c>
    </row>
    <row r="1057" spans="1:19" hidden="1" x14ac:dyDescent="0.3">
      <c r="A1057" s="14">
        <v>43935.708333333336</v>
      </c>
      <c r="B1057" s="13" t="s">
        <v>23</v>
      </c>
      <c r="C1057" s="82">
        <v>8</v>
      </c>
      <c r="D1057" s="13" t="s">
        <v>98</v>
      </c>
      <c r="E1057" s="82">
        <v>4449436681</v>
      </c>
      <c r="F1057" s="82">
        <v>113417208</v>
      </c>
      <c r="G1057" s="82">
        <v>3473</v>
      </c>
      <c r="H1057" s="82">
        <v>328</v>
      </c>
      <c r="I1057" s="82">
        <v>3801</v>
      </c>
      <c r="J1057" s="82">
        <v>9977</v>
      </c>
      <c r="K1057" s="82">
        <v>13778</v>
      </c>
      <c r="L1057" s="82">
        <v>-40</v>
      </c>
      <c r="M1057" s="82">
        <v>312</v>
      </c>
      <c r="N1057" s="82">
        <v>4269</v>
      </c>
      <c r="O1057" s="82">
        <v>2705</v>
      </c>
      <c r="P1057" s="82">
        <v>20752</v>
      </c>
      <c r="Q1057" s="82">
        <v>101896</v>
      </c>
      <c r="R1057" s="13" t="s">
        <v>27</v>
      </c>
      <c r="S1057" s="13" t="s">
        <v>27</v>
      </c>
    </row>
    <row r="1058" spans="1:19" hidden="1" x14ac:dyDescent="0.3">
      <c r="A1058" s="14">
        <v>43935.708333333336</v>
      </c>
      <c r="B1058" s="13" t="s">
        <v>23</v>
      </c>
      <c r="C1058" s="82">
        <v>6</v>
      </c>
      <c r="D1058" s="13" t="s">
        <v>49</v>
      </c>
      <c r="E1058" s="82">
        <v>456494354</v>
      </c>
      <c r="F1058" s="82">
        <v>1376813649</v>
      </c>
      <c r="G1058" s="82">
        <v>166</v>
      </c>
      <c r="H1058" s="82">
        <v>28</v>
      </c>
      <c r="I1058" s="82">
        <v>194</v>
      </c>
      <c r="J1058" s="82">
        <v>705</v>
      </c>
      <c r="K1058" s="82">
        <v>899</v>
      </c>
      <c r="L1058" s="82">
        <v>-408</v>
      </c>
      <c r="M1058" s="82">
        <v>38</v>
      </c>
      <c r="N1058" s="82">
        <v>1415</v>
      </c>
      <c r="O1058" s="82">
        <v>206</v>
      </c>
      <c r="P1058" s="82">
        <v>2520</v>
      </c>
      <c r="Q1058" s="82">
        <v>31764</v>
      </c>
      <c r="R1058" s="13" t="s">
        <v>27</v>
      </c>
      <c r="S1058" s="13" t="s">
        <v>27</v>
      </c>
    </row>
    <row r="1059" spans="1:19" hidden="1" x14ac:dyDescent="0.3">
      <c r="A1059" s="14">
        <v>43935.708333333336</v>
      </c>
      <c r="B1059" s="13" t="s">
        <v>23</v>
      </c>
      <c r="C1059" s="82">
        <v>12</v>
      </c>
      <c r="D1059" s="13" t="s">
        <v>50</v>
      </c>
      <c r="E1059" s="82">
        <v>4189277044</v>
      </c>
      <c r="F1059" s="82">
        <v>1248366722</v>
      </c>
      <c r="G1059" s="82">
        <v>1344</v>
      </c>
      <c r="H1059" s="82">
        <v>199</v>
      </c>
      <c r="I1059" s="82">
        <v>1543</v>
      </c>
      <c r="J1059" s="82">
        <v>2479</v>
      </c>
      <c r="K1059" s="82">
        <v>4022</v>
      </c>
      <c r="L1059" s="82">
        <v>102</v>
      </c>
      <c r="M1059" s="82">
        <v>143</v>
      </c>
      <c r="N1059" s="82">
        <v>789</v>
      </c>
      <c r="O1059" s="82">
        <v>300</v>
      </c>
      <c r="P1059" s="82">
        <v>5111</v>
      </c>
      <c r="Q1059" s="82">
        <v>74650</v>
      </c>
      <c r="R1059" s="13" t="s">
        <v>27</v>
      </c>
      <c r="S1059" s="13" t="s">
        <v>27</v>
      </c>
    </row>
    <row r="1060" spans="1:19" hidden="1" x14ac:dyDescent="0.3">
      <c r="A1060" s="14">
        <v>43935.708333333336</v>
      </c>
      <c r="B1060" s="13" t="s">
        <v>23</v>
      </c>
      <c r="C1060" s="82">
        <v>7</v>
      </c>
      <c r="D1060" s="13" t="s">
        <v>51</v>
      </c>
      <c r="E1060" s="82">
        <v>4441149315</v>
      </c>
      <c r="F1060" s="82">
        <v>89326992</v>
      </c>
      <c r="G1060" s="82">
        <v>967</v>
      </c>
      <c r="H1060" s="82">
        <v>133</v>
      </c>
      <c r="I1060" s="82">
        <v>1100</v>
      </c>
      <c r="J1060" s="82">
        <v>2366</v>
      </c>
      <c r="K1060" s="82">
        <v>3466</v>
      </c>
      <c r="L1060" s="82">
        <v>101</v>
      </c>
      <c r="M1060" s="82">
        <v>212</v>
      </c>
      <c r="N1060" s="82">
        <v>1549</v>
      </c>
      <c r="O1060" s="82">
        <v>793</v>
      </c>
      <c r="P1060" s="82">
        <v>5808</v>
      </c>
      <c r="Q1060" s="82">
        <v>24446</v>
      </c>
      <c r="R1060" s="13" t="s">
        <v>27</v>
      </c>
      <c r="S1060" s="13" t="s">
        <v>27</v>
      </c>
    </row>
    <row r="1061" spans="1:19" x14ac:dyDescent="0.3">
      <c r="A1061" s="14">
        <v>43935.708333333336</v>
      </c>
      <c r="B1061" s="13" t="s">
        <v>23</v>
      </c>
      <c r="C1061" s="82">
        <v>3</v>
      </c>
      <c r="D1061" s="13" t="s">
        <v>52</v>
      </c>
      <c r="E1061" s="82">
        <v>4546679409</v>
      </c>
      <c r="F1061" s="82">
        <v>9190347404</v>
      </c>
      <c r="G1061" s="82">
        <v>12077</v>
      </c>
      <c r="H1061" s="82">
        <v>1122</v>
      </c>
      <c r="I1061" s="82">
        <v>13199</v>
      </c>
      <c r="J1061" s="82">
        <v>19164</v>
      </c>
      <c r="K1061" s="82">
        <v>32363</v>
      </c>
      <c r="L1061" s="82">
        <v>428</v>
      </c>
      <c r="M1061" s="82">
        <v>1012</v>
      </c>
      <c r="N1061" s="82">
        <v>17821</v>
      </c>
      <c r="O1061" s="82">
        <v>11142</v>
      </c>
      <c r="P1061" s="82">
        <v>61326</v>
      </c>
      <c r="Q1061" s="82">
        <v>214870</v>
      </c>
      <c r="R1061" s="13" t="s">
        <v>27</v>
      </c>
      <c r="S1061" s="13" t="s">
        <v>27</v>
      </c>
    </row>
    <row r="1062" spans="1:19" hidden="1" x14ac:dyDescent="0.3">
      <c r="A1062" s="14">
        <v>43935.708333333336</v>
      </c>
      <c r="B1062" s="13" t="s">
        <v>23</v>
      </c>
      <c r="C1062" s="82">
        <v>11</v>
      </c>
      <c r="D1062" s="13" t="s">
        <v>53</v>
      </c>
      <c r="E1062" s="82">
        <v>4361675973</v>
      </c>
      <c r="F1062" s="82">
        <v>135188753</v>
      </c>
      <c r="G1062" s="82">
        <v>937</v>
      </c>
      <c r="H1062" s="82">
        <v>106</v>
      </c>
      <c r="I1062" s="82">
        <v>1043</v>
      </c>
      <c r="J1062" s="82">
        <v>2052</v>
      </c>
      <c r="K1062" s="82">
        <v>3095</v>
      </c>
      <c r="L1062" s="82">
        <v>15</v>
      </c>
      <c r="M1062" s="82">
        <v>45</v>
      </c>
      <c r="N1062" s="82">
        <v>1603</v>
      </c>
      <c r="O1062" s="82">
        <v>728</v>
      </c>
      <c r="P1062" s="82">
        <v>5426</v>
      </c>
      <c r="Q1062" s="82">
        <v>29160</v>
      </c>
      <c r="R1062" s="13" t="s">
        <v>27</v>
      </c>
      <c r="S1062" s="13" t="s">
        <v>27</v>
      </c>
    </row>
    <row r="1063" spans="1:19" hidden="1" x14ac:dyDescent="0.3">
      <c r="A1063" s="14">
        <v>43935.708333333336</v>
      </c>
      <c r="B1063" s="13" t="s">
        <v>23</v>
      </c>
      <c r="C1063" s="82">
        <v>14</v>
      </c>
      <c r="D1063" s="13" t="s">
        <v>54</v>
      </c>
      <c r="E1063" s="82">
        <v>4155774754</v>
      </c>
      <c r="F1063" s="82">
        <v>1465916051</v>
      </c>
      <c r="G1063" s="82">
        <v>26</v>
      </c>
      <c r="H1063" s="82">
        <v>4</v>
      </c>
      <c r="I1063" s="82">
        <v>30</v>
      </c>
      <c r="J1063" s="82">
        <v>170</v>
      </c>
      <c r="K1063" s="82">
        <v>200</v>
      </c>
      <c r="L1063" s="82">
        <v>-2</v>
      </c>
      <c r="M1063" s="82">
        <v>0</v>
      </c>
      <c r="N1063" s="82">
        <v>42</v>
      </c>
      <c r="O1063" s="82">
        <v>15</v>
      </c>
      <c r="P1063" s="82">
        <v>257</v>
      </c>
      <c r="Q1063" s="82">
        <v>2522</v>
      </c>
      <c r="R1063" s="13" t="s">
        <v>27</v>
      </c>
      <c r="S1063" s="13" t="s">
        <v>27</v>
      </c>
    </row>
    <row r="1064" spans="1:19" hidden="1" x14ac:dyDescent="0.3">
      <c r="A1064" s="14">
        <v>43935.708333333336</v>
      </c>
      <c r="B1064" s="13" t="s">
        <v>23</v>
      </c>
      <c r="C1064" s="82">
        <v>1</v>
      </c>
      <c r="D1064" s="13" t="s">
        <v>55</v>
      </c>
      <c r="E1064" s="82">
        <v>450732745</v>
      </c>
      <c r="F1064" s="82">
        <v>7680687483</v>
      </c>
      <c r="G1064" s="82">
        <v>3395</v>
      </c>
      <c r="H1064" s="82">
        <v>367</v>
      </c>
      <c r="I1064" s="82">
        <v>3762</v>
      </c>
      <c r="J1064" s="82">
        <v>9293</v>
      </c>
      <c r="K1064" s="82">
        <v>13055</v>
      </c>
      <c r="L1064" s="82">
        <v>290</v>
      </c>
      <c r="M1064" s="82">
        <v>556</v>
      </c>
      <c r="N1064" s="82">
        <v>2708</v>
      </c>
      <c r="O1064" s="82">
        <v>1927</v>
      </c>
      <c r="P1064" s="82">
        <v>17690</v>
      </c>
      <c r="Q1064" s="82">
        <v>71678</v>
      </c>
      <c r="R1064" s="13" t="s">
        <v>27</v>
      </c>
      <c r="S1064" s="13" t="s">
        <v>27</v>
      </c>
    </row>
    <row r="1065" spans="1:19" hidden="1" x14ac:dyDescent="0.3">
      <c r="A1065" s="14">
        <v>43935.708333333336</v>
      </c>
      <c r="B1065" s="13" t="s">
        <v>23</v>
      </c>
      <c r="C1065" s="82">
        <v>16</v>
      </c>
      <c r="D1065" s="13" t="s">
        <v>56</v>
      </c>
      <c r="E1065" s="82">
        <v>4112559576</v>
      </c>
      <c r="F1065" s="82">
        <v>1686736689</v>
      </c>
      <c r="G1065" s="82">
        <v>611</v>
      </c>
      <c r="H1065" s="82">
        <v>62</v>
      </c>
      <c r="I1065" s="82">
        <v>673</v>
      </c>
      <c r="J1065" s="82">
        <v>1879</v>
      </c>
      <c r="K1065" s="82">
        <v>2552</v>
      </c>
      <c r="L1065" s="82">
        <v>40</v>
      </c>
      <c r="M1065" s="82">
        <v>53</v>
      </c>
      <c r="N1065" s="82">
        <v>288</v>
      </c>
      <c r="O1065" s="82">
        <v>278</v>
      </c>
      <c r="P1065" s="82">
        <v>3118</v>
      </c>
      <c r="Q1065" s="82">
        <v>33071</v>
      </c>
      <c r="R1065" s="13" t="s">
        <v>27</v>
      </c>
      <c r="S1065" s="13" t="s">
        <v>27</v>
      </c>
    </row>
    <row r="1066" spans="1:19" hidden="1" x14ac:dyDescent="0.3">
      <c r="A1066" s="14">
        <v>43935.708333333336</v>
      </c>
      <c r="B1066" s="13" t="s">
        <v>23</v>
      </c>
      <c r="C1066" s="82">
        <v>20</v>
      </c>
      <c r="D1066" s="13" t="s">
        <v>57</v>
      </c>
      <c r="E1066" s="82">
        <v>3921531192</v>
      </c>
      <c r="F1066" s="82">
        <v>9110616306</v>
      </c>
      <c r="G1066" s="82">
        <v>107</v>
      </c>
      <c r="H1066" s="82">
        <v>24</v>
      </c>
      <c r="I1066" s="82">
        <v>131</v>
      </c>
      <c r="J1066" s="82">
        <v>769</v>
      </c>
      <c r="K1066" s="82">
        <v>900</v>
      </c>
      <c r="L1066" s="82">
        <v>-14</v>
      </c>
      <c r="M1066" s="82">
        <v>10</v>
      </c>
      <c r="N1066" s="82">
        <v>158</v>
      </c>
      <c r="O1066" s="82">
        <v>80</v>
      </c>
      <c r="P1066" s="82">
        <v>1138</v>
      </c>
      <c r="Q1066" s="82">
        <v>11893</v>
      </c>
      <c r="R1066" s="13" t="s">
        <v>27</v>
      </c>
      <c r="S1066" s="13" t="s">
        <v>27</v>
      </c>
    </row>
    <row r="1067" spans="1:19" hidden="1" x14ac:dyDescent="0.3">
      <c r="A1067" s="14">
        <v>43935.708333333336</v>
      </c>
      <c r="B1067" s="13" t="s">
        <v>23</v>
      </c>
      <c r="C1067" s="82">
        <v>19</v>
      </c>
      <c r="D1067" s="13" t="s">
        <v>58</v>
      </c>
      <c r="E1067" s="82">
        <v>3811569725</v>
      </c>
      <c r="F1067" s="82">
        <v>133623567</v>
      </c>
      <c r="G1067" s="82">
        <v>552</v>
      </c>
      <c r="H1067" s="82">
        <v>53</v>
      </c>
      <c r="I1067" s="82">
        <v>605</v>
      </c>
      <c r="J1067" s="82">
        <v>1466</v>
      </c>
      <c r="K1067" s="82">
        <v>2071</v>
      </c>
      <c r="L1067" s="82">
        <v>21</v>
      </c>
      <c r="M1067" s="82">
        <v>43</v>
      </c>
      <c r="N1067" s="82">
        <v>255</v>
      </c>
      <c r="O1067" s="82">
        <v>175</v>
      </c>
      <c r="P1067" s="82">
        <v>2501</v>
      </c>
      <c r="Q1067" s="82">
        <v>37877</v>
      </c>
      <c r="R1067" s="13" t="s">
        <v>27</v>
      </c>
      <c r="S1067" s="13" t="s">
        <v>27</v>
      </c>
    </row>
    <row r="1068" spans="1:19" hidden="1" x14ac:dyDescent="0.3">
      <c r="A1068" s="14">
        <v>43935.708333333336</v>
      </c>
      <c r="B1068" s="13" t="s">
        <v>23</v>
      </c>
      <c r="C1068" s="82">
        <v>9</v>
      </c>
      <c r="D1068" s="13" t="s">
        <v>59</v>
      </c>
      <c r="E1068" s="82">
        <v>4376923077</v>
      </c>
      <c r="F1068" s="82">
        <v>1125588885</v>
      </c>
      <c r="G1068" s="82">
        <v>1002</v>
      </c>
      <c r="H1068" s="82">
        <v>225</v>
      </c>
      <c r="I1068" s="82">
        <v>1227</v>
      </c>
      <c r="J1068" s="82">
        <v>5125</v>
      </c>
      <c r="K1068" s="82">
        <v>6352</v>
      </c>
      <c r="L1068" s="82">
        <v>95</v>
      </c>
      <c r="M1068" s="82">
        <v>137</v>
      </c>
      <c r="N1068" s="82">
        <v>637</v>
      </c>
      <c r="O1068" s="82">
        <v>538</v>
      </c>
      <c r="P1068" s="82">
        <v>7527</v>
      </c>
      <c r="Q1068" s="82">
        <v>82269</v>
      </c>
      <c r="R1068" s="13" t="s">
        <v>27</v>
      </c>
      <c r="S1068" s="13" t="s">
        <v>27</v>
      </c>
    </row>
    <row r="1069" spans="1:19" hidden="1" x14ac:dyDescent="0.3">
      <c r="A1069" s="14">
        <v>43935.708333333336</v>
      </c>
      <c r="B1069" s="13" t="s">
        <v>23</v>
      </c>
      <c r="C1069" s="82">
        <v>4</v>
      </c>
      <c r="D1069" s="13" t="s">
        <v>60</v>
      </c>
      <c r="E1069" s="82">
        <v>4606893511</v>
      </c>
      <c r="F1069" s="82">
        <v>1112123097</v>
      </c>
      <c r="G1069" s="82">
        <v>325</v>
      </c>
      <c r="H1069" s="82">
        <v>54</v>
      </c>
      <c r="I1069" s="82">
        <v>379</v>
      </c>
      <c r="J1069" s="82">
        <v>1703</v>
      </c>
      <c r="K1069" s="82">
        <v>2082</v>
      </c>
      <c r="L1069" s="82">
        <v>2</v>
      </c>
      <c r="M1069" s="82">
        <v>15</v>
      </c>
      <c r="N1069" s="82">
        <v>749</v>
      </c>
      <c r="O1069" s="82">
        <v>310</v>
      </c>
      <c r="P1069" s="82">
        <v>3141</v>
      </c>
      <c r="Q1069" s="82">
        <v>18774</v>
      </c>
      <c r="R1069" s="13" t="s">
        <v>27</v>
      </c>
      <c r="S1069" s="13" t="s">
        <v>27</v>
      </c>
    </row>
    <row r="1070" spans="1:19" hidden="1" x14ac:dyDescent="0.3">
      <c r="A1070" s="14">
        <v>43935.708333333336</v>
      </c>
      <c r="B1070" s="13" t="s">
        <v>23</v>
      </c>
      <c r="C1070" s="82">
        <v>10</v>
      </c>
      <c r="D1070" s="13" t="s">
        <v>61</v>
      </c>
      <c r="E1070" s="82">
        <v>4310675841</v>
      </c>
      <c r="F1070" s="82">
        <v>1238824698</v>
      </c>
      <c r="G1070" s="82">
        <v>127</v>
      </c>
      <c r="H1070" s="82">
        <v>37</v>
      </c>
      <c r="I1070" s="82">
        <v>164</v>
      </c>
      <c r="J1070" s="82">
        <v>458</v>
      </c>
      <c r="K1070" s="82">
        <v>622</v>
      </c>
      <c r="L1070" s="82">
        <v>-3</v>
      </c>
      <c r="M1070" s="82">
        <v>1</v>
      </c>
      <c r="N1070" s="82">
        <v>646</v>
      </c>
      <c r="O1070" s="82">
        <v>53</v>
      </c>
      <c r="P1070" s="82">
        <v>1321</v>
      </c>
      <c r="Q1070" s="82">
        <v>18956</v>
      </c>
      <c r="R1070" s="13" t="s">
        <v>27</v>
      </c>
      <c r="S1070" s="13" t="s">
        <v>27</v>
      </c>
    </row>
    <row r="1071" spans="1:19" hidden="1" x14ac:dyDescent="0.3">
      <c r="A1071" s="14">
        <v>43935.708333333336</v>
      </c>
      <c r="B1071" s="13" t="s">
        <v>23</v>
      </c>
      <c r="C1071" s="82">
        <v>2</v>
      </c>
      <c r="D1071" s="13" t="s">
        <v>62</v>
      </c>
      <c r="E1071" s="82">
        <v>4573750286</v>
      </c>
      <c r="F1071" s="82">
        <v>7320149366</v>
      </c>
      <c r="G1071" s="82">
        <v>112</v>
      </c>
      <c r="H1071" s="82">
        <v>14</v>
      </c>
      <c r="I1071" s="82">
        <v>126</v>
      </c>
      <c r="J1071" s="82">
        <v>433</v>
      </c>
      <c r="K1071" s="82">
        <v>559</v>
      </c>
      <c r="L1071" s="82">
        <v>-23</v>
      </c>
      <c r="M1071" s="82">
        <v>20</v>
      </c>
      <c r="N1071" s="82">
        <v>270</v>
      </c>
      <c r="O1071" s="82">
        <v>118</v>
      </c>
      <c r="P1071" s="82">
        <v>947</v>
      </c>
      <c r="Q1071" s="82">
        <v>3726</v>
      </c>
      <c r="R1071" s="13" t="s">
        <v>27</v>
      </c>
      <c r="S1071" s="13" t="s">
        <v>27</v>
      </c>
    </row>
    <row r="1072" spans="1:19" hidden="1" x14ac:dyDescent="0.3">
      <c r="A1072" s="14">
        <v>43935.708333333336</v>
      </c>
      <c r="B1072" s="13" t="s">
        <v>23</v>
      </c>
      <c r="C1072" s="102">
        <v>5</v>
      </c>
      <c r="D1072" s="13" t="s">
        <v>63</v>
      </c>
      <c r="E1072" s="102">
        <v>4543490485</v>
      </c>
      <c r="F1072" s="102">
        <v>1233845213</v>
      </c>
      <c r="G1072" s="102">
        <v>1427</v>
      </c>
      <c r="H1072" s="102">
        <v>233</v>
      </c>
      <c r="I1072" s="102">
        <v>1660</v>
      </c>
      <c r="J1072" s="102">
        <v>9076</v>
      </c>
      <c r="K1072" s="102">
        <v>10736</v>
      </c>
      <c r="L1072" s="102">
        <v>-30</v>
      </c>
      <c r="M1072" s="102">
        <v>181</v>
      </c>
      <c r="N1072" s="102">
        <v>2790</v>
      </c>
      <c r="O1072" s="102">
        <v>906</v>
      </c>
      <c r="P1072" s="102">
        <v>14432</v>
      </c>
      <c r="Q1072" s="102">
        <v>208878</v>
      </c>
      <c r="R1072" s="13" t="s">
        <v>27</v>
      </c>
      <c r="S1072" s="13" t="s">
        <v>27</v>
      </c>
    </row>
    <row r="1073" spans="1:19" hidden="1" x14ac:dyDescent="0.3">
      <c r="A1073" s="14">
        <v>43936.708333333336</v>
      </c>
      <c r="B1073" s="13" t="s">
        <v>23</v>
      </c>
      <c r="C1073" s="102">
        <v>13</v>
      </c>
      <c r="D1073" s="13" t="s">
        <v>44</v>
      </c>
      <c r="E1073" s="102">
        <v>4235122196</v>
      </c>
      <c r="F1073" s="102">
        <v>1339843823</v>
      </c>
      <c r="G1073" s="102">
        <v>341</v>
      </c>
      <c r="H1073" s="102">
        <v>44</v>
      </c>
      <c r="I1073" s="102">
        <v>385</v>
      </c>
      <c r="J1073" s="102">
        <v>1425</v>
      </c>
      <c r="K1073" s="102">
        <v>1810</v>
      </c>
      <c r="L1073" s="102">
        <v>10</v>
      </c>
      <c r="M1073" s="102">
        <v>29</v>
      </c>
      <c r="N1073" s="102">
        <v>224</v>
      </c>
      <c r="O1073" s="102">
        <v>240</v>
      </c>
      <c r="P1073" s="102">
        <v>2274</v>
      </c>
      <c r="Q1073" s="102">
        <v>22500</v>
      </c>
      <c r="R1073" s="13" t="s">
        <v>27</v>
      </c>
      <c r="S1073" s="13" t="s">
        <v>27</v>
      </c>
    </row>
    <row r="1074" spans="1:19" hidden="1" x14ac:dyDescent="0.3">
      <c r="A1074" s="14">
        <v>43936.708333333336</v>
      </c>
      <c r="B1074" s="13" t="s">
        <v>23</v>
      </c>
      <c r="C1074" s="102">
        <v>17</v>
      </c>
      <c r="D1074" s="13" t="s">
        <v>45</v>
      </c>
      <c r="E1074" s="102">
        <v>4063947052</v>
      </c>
      <c r="F1074" s="102">
        <v>1580514834</v>
      </c>
      <c r="G1074" s="102">
        <v>60</v>
      </c>
      <c r="H1074" s="102">
        <v>12</v>
      </c>
      <c r="I1074" s="102">
        <v>72</v>
      </c>
      <c r="J1074" s="102">
        <v>189</v>
      </c>
      <c r="K1074" s="102">
        <v>261</v>
      </c>
      <c r="L1074" s="102">
        <v>-4</v>
      </c>
      <c r="M1074" s="102">
        <v>1</v>
      </c>
      <c r="N1074" s="102">
        <v>38</v>
      </c>
      <c r="O1074" s="102">
        <v>21</v>
      </c>
      <c r="P1074" s="102">
        <v>320</v>
      </c>
      <c r="Q1074" s="102">
        <v>5037</v>
      </c>
      <c r="R1074" s="13" t="s">
        <v>27</v>
      </c>
      <c r="S1074" s="13" t="s">
        <v>27</v>
      </c>
    </row>
    <row r="1075" spans="1:19" hidden="1" x14ac:dyDescent="0.3">
      <c r="A1075" s="14">
        <v>43936.708333333336</v>
      </c>
      <c r="B1075" s="13" t="s">
        <v>23</v>
      </c>
      <c r="C1075" s="102">
        <v>4</v>
      </c>
      <c r="D1075" s="13" t="s">
        <v>46</v>
      </c>
      <c r="E1075" s="102">
        <v>4649933453</v>
      </c>
      <c r="F1075" s="102">
        <v>1135662422</v>
      </c>
      <c r="G1075" s="102">
        <v>166</v>
      </c>
      <c r="H1075" s="102">
        <v>32</v>
      </c>
      <c r="I1075" s="102">
        <v>198</v>
      </c>
      <c r="J1075" s="102">
        <v>1378</v>
      </c>
      <c r="K1075" s="102">
        <v>1576</v>
      </c>
      <c r="L1075" s="102">
        <v>12</v>
      </c>
      <c r="M1075" s="102">
        <v>40</v>
      </c>
      <c r="N1075" s="102">
        <v>425</v>
      </c>
      <c r="O1075" s="102">
        <v>223</v>
      </c>
      <c r="P1075" s="102">
        <v>2224</v>
      </c>
      <c r="Q1075" s="102">
        <v>25370</v>
      </c>
      <c r="R1075" s="13" t="s">
        <v>27</v>
      </c>
      <c r="S1075" s="13" t="s">
        <v>27</v>
      </c>
    </row>
    <row r="1076" spans="1:19" hidden="1" x14ac:dyDescent="0.3">
      <c r="A1076" s="14">
        <v>43936.708333333336</v>
      </c>
      <c r="B1076" s="13" t="s">
        <v>23</v>
      </c>
      <c r="C1076" s="102">
        <v>18</v>
      </c>
      <c r="D1076" s="13" t="s">
        <v>47</v>
      </c>
      <c r="E1076" s="102">
        <v>3890597598</v>
      </c>
      <c r="F1076" s="102">
        <v>1659440194</v>
      </c>
      <c r="G1076" s="102">
        <v>156</v>
      </c>
      <c r="H1076" s="102">
        <v>11</v>
      </c>
      <c r="I1076" s="102">
        <v>167</v>
      </c>
      <c r="J1076" s="102">
        <v>652</v>
      </c>
      <c r="K1076" s="102">
        <v>819</v>
      </c>
      <c r="L1076" s="102">
        <v>3</v>
      </c>
      <c r="M1076" s="102">
        <v>15</v>
      </c>
      <c r="N1076" s="102">
        <v>81</v>
      </c>
      <c r="O1076" s="102">
        <v>71</v>
      </c>
      <c r="P1076" s="102">
        <v>971</v>
      </c>
      <c r="Q1076" s="102">
        <v>19662</v>
      </c>
      <c r="R1076" s="13" t="s">
        <v>27</v>
      </c>
      <c r="S1076" s="13" t="s">
        <v>27</v>
      </c>
    </row>
    <row r="1077" spans="1:19" hidden="1" x14ac:dyDescent="0.3">
      <c r="A1077" s="14">
        <v>43936.708333333336</v>
      </c>
      <c r="B1077" s="13" t="s">
        <v>23</v>
      </c>
      <c r="C1077" s="102">
        <v>15</v>
      </c>
      <c r="D1077" s="13" t="s">
        <v>48</v>
      </c>
      <c r="E1077" s="102">
        <v>4083956555</v>
      </c>
      <c r="F1077" s="102">
        <v>1425084984</v>
      </c>
      <c r="G1077" s="102">
        <v>607</v>
      </c>
      <c r="H1077" s="102">
        <v>86</v>
      </c>
      <c r="I1077" s="102">
        <v>693</v>
      </c>
      <c r="J1077" s="102">
        <v>2394</v>
      </c>
      <c r="K1077" s="102">
        <v>3087</v>
      </c>
      <c r="L1077" s="102">
        <v>-7</v>
      </c>
      <c r="M1077" s="102">
        <v>38</v>
      </c>
      <c r="N1077" s="102">
        <v>442</v>
      </c>
      <c r="O1077" s="102">
        <v>278</v>
      </c>
      <c r="P1077" s="102">
        <v>3807</v>
      </c>
      <c r="Q1077" s="102">
        <v>39534</v>
      </c>
      <c r="R1077" s="13" t="s">
        <v>27</v>
      </c>
      <c r="S1077" s="13" t="s">
        <v>27</v>
      </c>
    </row>
    <row r="1078" spans="1:19" hidden="1" x14ac:dyDescent="0.3">
      <c r="A1078" s="14">
        <v>43936.708333333336</v>
      </c>
      <c r="B1078" s="13" t="s">
        <v>23</v>
      </c>
      <c r="C1078" s="102">
        <v>8</v>
      </c>
      <c r="D1078" s="13" t="s">
        <v>98</v>
      </c>
      <c r="E1078" s="102">
        <v>4449436681</v>
      </c>
      <c r="F1078" s="102">
        <v>113417208</v>
      </c>
      <c r="G1078" s="102">
        <v>3388</v>
      </c>
      <c r="H1078" s="102">
        <v>325</v>
      </c>
      <c r="I1078" s="102">
        <v>3713</v>
      </c>
      <c r="J1078" s="102">
        <v>9864</v>
      </c>
      <c r="K1078" s="102">
        <v>13577</v>
      </c>
      <c r="L1078" s="102">
        <v>-201</v>
      </c>
      <c r="M1078" s="102">
        <v>277</v>
      </c>
      <c r="N1078" s="102">
        <v>4664</v>
      </c>
      <c r="O1078" s="102">
        <v>2788</v>
      </c>
      <c r="P1078" s="102">
        <v>21029</v>
      </c>
      <c r="Q1078" s="102">
        <v>106149</v>
      </c>
      <c r="R1078" s="13" t="s">
        <v>27</v>
      </c>
      <c r="S1078" s="13" t="s">
        <v>27</v>
      </c>
    </row>
    <row r="1079" spans="1:19" hidden="1" x14ac:dyDescent="0.3">
      <c r="A1079" s="14">
        <v>43936.708333333336</v>
      </c>
      <c r="B1079" s="13" t="s">
        <v>23</v>
      </c>
      <c r="C1079" s="102">
        <v>6</v>
      </c>
      <c r="D1079" s="13" t="s">
        <v>49</v>
      </c>
      <c r="E1079" s="102">
        <v>456494354</v>
      </c>
      <c r="F1079" s="102">
        <v>1376813649</v>
      </c>
      <c r="G1079" s="102">
        <v>163</v>
      </c>
      <c r="H1079" s="102">
        <v>24</v>
      </c>
      <c r="I1079" s="102">
        <v>187</v>
      </c>
      <c r="J1079" s="102">
        <v>1207</v>
      </c>
      <c r="K1079" s="102">
        <v>1394</v>
      </c>
      <c r="L1079" s="102">
        <v>495</v>
      </c>
      <c r="M1079" s="102">
        <v>24</v>
      </c>
      <c r="N1079" s="102">
        <v>938</v>
      </c>
      <c r="O1079" s="102">
        <v>212</v>
      </c>
      <c r="P1079" s="102">
        <v>2544</v>
      </c>
      <c r="Q1079" s="102">
        <v>33800</v>
      </c>
      <c r="R1079" s="13" t="s">
        <v>209</v>
      </c>
      <c r="S1079" s="13" t="s">
        <v>210</v>
      </c>
    </row>
    <row r="1080" spans="1:19" hidden="1" x14ac:dyDescent="0.3">
      <c r="A1080" s="14">
        <v>43936.708333333336</v>
      </c>
      <c r="B1080" s="13" t="s">
        <v>23</v>
      </c>
      <c r="C1080" s="102">
        <v>12</v>
      </c>
      <c r="D1080" s="13" t="s">
        <v>50</v>
      </c>
      <c r="E1080" s="102">
        <v>4189277044</v>
      </c>
      <c r="F1080" s="102">
        <v>1248366722</v>
      </c>
      <c r="G1080" s="102">
        <v>1342</v>
      </c>
      <c r="H1080" s="102">
        <v>196</v>
      </c>
      <c r="I1080" s="102">
        <v>1538</v>
      </c>
      <c r="J1080" s="102">
        <v>2509</v>
      </c>
      <c r="K1080" s="102">
        <v>4047</v>
      </c>
      <c r="L1080" s="102">
        <v>25</v>
      </c>
      <c r="M1080" s="102">
        <v>121</v>
      </c>
      <c r="N1080" s="102">
        <v>874</v>
      </c>
      <c r="O1080" s="102">
        <v>311</v>
      </c>
      <c r="P1080" s="102">
        <v>5232</v>
      </c>
      <c r="Q1080" s="102">
        <v>75584</v>
      </c>
      <c r="R1080" s="13" t="s">
        <v>27</v>
      </c>
      <c r="S1080" s="13" t="s">
        <v>27</v>
      </c>
    </row>
    <row r="1081" spans="1:19" hidden="1" x14ac:dyDescent="0.3">
      <c r="A1081" s="14">
        <v>43936.708333333336</v>
      </c>
      <c r="B1081" s="13" t="s">
        <v>23</v>
      </c>
      <c r="C1081" s="102">
        <v>7</v>
      </c>
      <c r="D1081" s="13" t="s">
        <v>51</v>
      </c>
      <c r="E1081" s="102">
        <v>4441149315</v>
      </c>
      <c r="F1081" s="102">
        <v>89326992</v>
      </c>
      <c r="G1081" s="102">
        <v>959</v>
      </c>
      <c r="H1081" s="102">
        <v>120</v>
      </c>
      <c r="I1081" s="102">
        <v>1079</v>
      </c>
      <c r="J1081" s="102">
        <v>2385</v>
      </c>
      <c r="K1081" s="102">
        <v>3464</v>
      </c>
      <c r="L1081" s="102">
        <v>-2</v>
      </c>
      <c r="M1081" s="102">
        <v>128</v>
      </c>
      <c r="N1081" s="102">
        <v>1665</v>
      </c>
      <c r="O1081" s="102">
        <v>807</v>
      </c>
      <c r="P1081" s="102">
        <v>5936</v>
      </c>
      <c r="Q1081" s="102">
        <v>25793</v>
      </c>
      <c r="R1081" s="13" t="s">
        <v>27</v>
      </c>
      <c r="S1081" s="13" t="s">
        <v>27</v>
      </c>
    </row>
    <row r="1082" spans="1:19" x14ac:dyDescent="0.3">
      <c r="A1082" s="14">
        <v>43936.708333333336</v>
      </c>
      <c r="B1082" s="13" t="s">
        <v>23</v>
      </c>
      <c r="C1082" s="102">
        <v>3</v>
      </c>
      <c r="D1082" s="13" t="s">
        <v>52</v>
      </c>
      <c r="E1082" s="102">
        <v>4546679409</v>
      </c>
      <c r="F1082" s="102">
        <v>9190347404</v>
      </c>
      <c r="G1082" s="102">
        <v>12043</v>
      </c>
      <c r="H1082" s="102">
        <v>1074</v>
      </c>
      <c r="I1082" s="102">
        <v>13117</v>
      </c>
      <c r="J1082" s="102">
        <v>19804</v>
      </c>
      <c r="K1082" s="102">
        <v>32921</v>
      </c>
      <c r="L1082" s="102">
        <v>558</v>
      </c>
      <c r="M1082" s="102">
        <v>827</v>
      </c>
      <c r="N1082" s="102">
        <v>17855</v>
      </c>
      <c r="O1082" s="102">
        <v>11377</v>
      </c>
      <c r="P1082" s="102">
        <v>62153</v>
      </c>
      <c r="Q1082" s="102">
        <v>221968</v>
      </c>
      <c r="R1082" s="13" t="s">
        <v>27</v>
      </c>
      <c r="S1082" s="13" t="s">
        <v>27</v>
      </c>
    </row>
    <row r="1083" spans="1:19" hidden="1" x14ac:dyDescent="0.3">
      <c r="A1083" s="14">
        <v>43936.708333333336</v>
      </c>
      <c r="B1083" s="13" t="s">
        <v>23</v>
      </c>
      <c r="C1083" s="102">
        <v>11</v>
      </c>
      <c r="D1083" s="13" t="s">
        <v>53</v>
      </c>
      <c r="E1083" s="102">
        <v>4361675973</v>
      </c>
      <c r="F1083" s="102">
        <v>135188753</v>
      </c>
      <c r="G1083" s="102">
        <v>888</v>
      </c>
      <c r="H1083" s="102">
        <v>106</v>
      </c>
      <c r="I1083" s="102">
        <v>994</v>
      </c>
      <c r="J1083" s="102">
        <v>2103</v>
      </c>
      <c r="K1083" s="102">
        <v>3097</v>
      </c>
      <c r="L1083" s="102">
        <v>2</v>
      </c>
      <c r="M1083" s="102">
        <v>77</v>
      </c>
      <c r="N1083" s="102">
        <v>1660</v>
      </c>
      <c r="O1083" s="102">
        <v>746</v>
      </c>
      <c r="P1083" s="102">
        <v>5503</v>
      </c>
      <c r="Q1083" s="102">
        <v>30329</v>
      </c>
      <c r="R1083" s="13" t="s">
        <v>27</v>
      </c>
      <c r="S1083" s="13" t="s">
        <v>27</v>
      </c>
    </row>
    <row r="1084" spans="1:19" hidden="1" x14ac:dyDescent="0.3">
      <c r="A1084" s="14">
        <v>43936.708333333336</v>
      </c>
      <c r="B1084" s="13" t="s">
        <v>23</v>
      </c>
      <c r="C1084" s="102">
        <v>14</v>
      </c>
      <c r="D1084" s="13" t="s">
        <v>54</v>
      </c>
      <c r="E1084" s="102">
        <v>4155774754</v>
      </c>
      <c r="F1084" s="102">
        <v>1465916051</v>
      </c>
      <c r="G1084" s="102">
        <v>27</v>
      </c>
      <c r="H1084" s="102">
        <v>4</v>
      </c>
      <c r="I1084" s="102">
        <v>31</v>
      </c>
      <c r="J1084" s="102">
        <v>175</v>
      </c>
      <c r="K1084" s="102">
        <v>206</v>
      </c>
      <c r="L1084" s="102">
        <v>6</v>
      </c>
      <c r="M1084" s="102">
        <v>6</v>
      </c>
      <c r="N1084" s="102">
        <v>42</v>
      </c>
      <c r="O1084" s="102">
        <v>15</v>
      </c>
      <c r="P1084" s="102">
        <v>263</v>
      </c>
      <c r="Q1084" s="102">
        <v>2855</v>
      </c>
      <c r="R1084" s="13" t="s">
        <v>27</v>
      </c>
      <c r="S1084" s="13" t="s">
        <v>27</v>
      </c>
    </row>
    <row r="1085" spans="1:19" hidden="1" x14ac:dyDescent="0.3">
      <c r="A1085" s="14">
        <v>43936.708333333336</v>
      </c>
      <c r="B1085" s="13" t="s">
        <v>23</v>
      </c>
      <c r="C1085" s="102">
        <v>1</v>
      </c>
      <c r="D1085" s="13" t="s">
        <v>55</v>
      </c>
      <c r="E1085" s="102">
        <v>450732745</v>
      </c>
      <c r="F1085" s="102">
        <v>7680687483</v>
      </c>
      <c r="G1085" s="102">
        <v>3338</v>
      </c>
      <c r="H1085" s="102">
        <v>366</v>
      </c>
      <c r="I1085" s="102">
        <v>3704</v>
      </c>
      <c r="J1085" s="102">
        <v>9491</v>
      </c>
      <c r="K1085" s="102">
        <v>13195</v>
      </c>
      <c r="L1085" s="102">
        <v>140</v>
      </c>
      <c r="M1085" s="102">
        <v>539</v>
      </c>
      <c r="N1085" s="102">
        <v>3019</v>
      </c>
      <c r="O1085" s="102">
        <v>2015</v>
      </c>
      <c r="P1085" s="102">
        <v>18229</v>
      </c>
      <c r="Q1085" s="102">
        <v>75664</v>
      </c>
      <c r="R1085" s="13" t="s">
        <v>27</v>
      </c>
      <c r="S1085" s="13" t="s">
        <v>27</v>
      </c>
    </row>
    <row r="1086" spans="1:19" hidden="1" x14ac:dyDescent="0.3">
      <c r="A1086" s="14">
        <v>43936.708333333336</v>
      </c>
      <c r="B1086" s="13" t="s">
        <v>23</v>
      </c>
      <c r="C1086" s="102">
        <v>16</v>
      </c>
      <c r="D1086" s="13" t="s">
        <v>56</v>
      </c>
      <c r="E1086" s="102">
        <v>4112559576</v>
      </c>
      <c r="F1086" s="102">
        <v>1686736689</v>
      </c>
      <c r="G1086" s="102">
        <v>592</v>
      </c>
      <c r="H1086" s="102">
        <v>73</v>
      </c>
      <c r="I1086" s="102">
        <v>665</v>
      </c>
      <c r="J1086" s="102">
        <v>1908</v>
      </c>
      <c r="K1086" s="102">
        <v>2573</v>
      </c>
      <c r="L1086" s="102">
        <v>21</v>
      </c>
      <c r="M1086" s="102">
        <v>66</v>
      </c>
      <c r="N1086" s="102">
        <v>323</v>
      </c>
      <c r="O1086" s="102">
        <v>288</v>
      </c>
      <c r="P1086" s="102">
        <v>3184</v>
      </c>
      <c r="Q1086" s="102">
        <v>34518</v>
      </c>
      <c r="R1086" s="13" t="s">
        <v>27</v>
      </c>
      <c r="S1086" s="13" t="s">
        <v>27</v>
      </c>
    </row>
    <row r="1087" spans="1:19" hidden="1" x14ac:dyDescent="0.3">
      <c r="A1087" s="14">
        <v>43936.708333333336</v>
      </c>
      <c r="B1087" s="13" t="s">
        <v>23</v>
      </c>
      <c r="C1087" s="102">
        <v>20</v>
      </c>
      <c r="D1087" s="13" t="s">
        <v>57</v>
      </c>
      <c r="E1087" s="102">
        <v>3921531192</v>
      </c>
      <c r="F1087" s="102">
        <v>9110616306</v>
      </c>
      <c r="G1087" s="102">
        <v>107</v>
      </c>
      <c r="H1087" s="102">
        <v>26</v>
      </c>
      <c r="I1087" s="102">
        <v>133</v>
      </c>
      <c r="J1087" s="102">
        <v>737</v>
      </c>
      <c r="K1087" s="102">
        <v>870</v>
      </c>
      <c r="L1087" s="102">
        <v>-30</v>
      </c>
      <c r="M1087" s="102">
        <v>23</v>
      </c>
      <c r="N1087" s="102">
        <v>208</v>
      </c>
      <c r="O1087" s="102">
        <v>83</v>
      </c>
      <c r="P1087" s="102">
        <v>1161</v>
      </c>
      <c r="Q1087" s="102">
        <v>12395</v>
      </c>
      <c r="R1087" s="13" t="s">
        <v>27</v>
      </c>
      <c r="S1087" s="13" t="s">
        <v>27</v>
      </c>
    </row>
    <row r="1088" spans="1:19" hidden="1" x14ac:dyDescent="0.3">
      <c r="A1088" s="14">
        <v>43936.708333333336</v>
      </c>
      <c r="B1088" s="13" t="s">
        <v>23</v>
      </c>
      <c r="C1088" s="102">
        <v>19</v>
      </c>
      <c r="D1088" s="13" t="s">
        <v>58</v>
      </c>
      <c r="E1088" s="102">
        <v>3811569725</v>
      </c>
      <c r="F1088" s="102">
        <v>133623567</v>
      </c>
      <c r="G1088" s="102">
        <v>541</v>
      </c>
      <c r="H1088" s="102">
        <v>49</v>
      </c>
      <c r="I1088" s="102">
        <v>590</v>
      </c>
      <c r="J1088" s="102">
        <v>1491</v>
      </c>
      <c r="K1088" s="102">
        <v>2081</v>
      </c>
      <c r="L1088" s="102">
        <v>10</v>
      </c>
      <c r="M1088" s="102">
        <v>34</v>
      </c>
      <c r="N1088" s="102">
        <v>273</v>
      </c>
      <c r="O1088" s="102">
        <v>181</v>
      </c>
      <c r="P1088" s="102">
        <v>2535</v>
      </c>
      <c r="Q1088" s="102">
        <v>39867</v>
      </c>
      <c r="R1088" s="13" t="s">
        <v>27</v>
      </c>
      <c r="S1088" s="13" t="s">
        <v>27</v>
      </c>
    </row>
    <row r="1089" spans="1:19" hidden="1" x14ac:dyDescent="0.3">
      <c r="A1089" s="14">
        <v>43936.708333333336</v>
      </c>
      <c r="B1089" s="13" t="s">
        <v>23</v>
      </c>
      <c r="C1089" s="102">
        <v>9</v>
      </c>
      <c r="D1089" s="13" t="s">
        <v>59</v>
      </c>
      <c r="E1089" s="102">
        <v>4376923077</v>
      </c>
      <c r="F1089" s="102">
        <v>1125588885</v>
      </c>
      <c r="G1089" s="102">
        <v>977</v>
      </c>
      <c r="H1089" s="102">
        <v>216</v>
      </c>
      <c r="I1089" s="102">
        <v>1193</v>
      </c>
      <c r="J1089" s="102">
        <v>5224</v>
      </c>
      <c r="K1089" s="102">
        <v>6417</v>
      </c>
      <c r="L1089" s="102">
        <v>65</v>
      </c>
      <c r="M1089" s="102">
        <v>139</v>
      </c>
      <c r="N1089" s="102">
        <v>693</v>
      </c>
      <c r="O1089" s="102">
        <v>556</v>
      </c>
      <c r="P1089" s="102">
        <v>7666</v>
      </c>
      <c r="Q1089" s="102">
        <v>86348</v>
      </c>
      <c r="R1089" s="13" t="s">
        <v>27</v>
      </c>
      <c r="S1089" s="13" t="s">
        <v>27</v>
      </c>
    </row>
    <row r="1090" spans="1:19" hidden="1" x14ac:dyDescent="0.3">
      <c r="A1090" s="14">
        <v>43936.708333333336</v>
      </c>
      <c r="B1090" s="13" t="s">
        <v>23</v>
      </c>
      <c r="C1090" s="102">
        <v>4</v>
      </c>
      <c r="D1090" s="13" t="s">
        <v>60</v>
      </c>
      <c r="E1090" s="102">
        <v>4606893511</v>
      </c>
      <c r="F1090" s="102">
        <v>1112123097</v>
      </c>
      <c r="G1090" s="102">
        <v>312</v>
      </c>
      <c r="H1090" s="102">
        <v>48</v>
      </c>
      <c r="I1090" s="102">
        <v>360</v>
      </c>
      <c r="J1090" s="102">
        <v>1744</v>
      </c>
      <c r="K1090" s="102">
        <v>2104</v>
      </c>
      <c r="L1090" s="102">
        <v>22</v>
      </c>
      <c r="M1090" s="102">
        <v>79</v>
      </c>
      <c r="N1090" s="102">
        <v>798</v>
      </c>
      <c r="O1090" s="102">
        <v>318</v>
      </c>
      <c r="P1090" s="102">
        <v>3220</v>
      </c>
      <c r="Q1090" s="102">
        <v>19535</v>
      </c>
      <c r="R1090" s="13" t="s">
        <v>27</v>
      </c>
      <c r="S1090" s="13" t="s">
        <v>27</v>
      </c>
    </row>
    <row r="1091" spans="1:19" hidden="1" x14ac:dyDescent="0.3">
      <c r="A1091" s="14">
        <v>43936.708333333336</v>
      </c>
      <c r="B1091" s="13" t="s">
        <v>23</v>
      </c>
      <c r="C1091" s="102">
        <v>10</v>
      </c>
      <c r="D1091" s="13" t="s">
        <v>61</v>
      </c>
      <c r="E1091" s="102">
        <v>4310675841</v>
      </c>
      <c r="F1091" s="102">
        <v>1238824698</v>
      </c>
      <c r="G1091" s="102">
        <v>122</v>
      </c>
      <c r="H1091" s="102">
        <v>37</v>
      </c>
      <c r="I1091" s="102">
        <v>159</v>
      </c>
      <c r="J1091" s="102">
        <v>423</v>
      </c>
      <c r="K1091" s="102">
        <v>582</v>
      </c>
      <c r="L1091" s="102">
        <v>-40</v>
      </c>
      <c r="M1091" s="102">
        <v>1</v>
      </c>
      <c r="N1091" s="102">
        <v>686</v>
      </c>
      <c r="O1091" s="102">
        <v>54</v>
      </c>
      <c r="P1091" s="102">
        <v>1322</v>
      </c>
      <c r="Q1091" s="102">
        <v>20258</v>
      </c>
      <c r="R1091" s="13" t="s">
        <v>27</v>
      </c>
      <c r="S1091" s="13" t="s">
        <v>27</v>
      </c>
    </row>
    <row r="1092" spans="1:19" hidden="1" x14ac:dyDescent="0.3">
      <c r="A1092" s="14">
        <v>43936.708333333336</v>
      </c>
      <c r="B1092" s="13" t="s">
        <v>23</v>
      </c>
      <c r="C1092" s="102">
        <v>2</v>
      </c>
      <c r="D1092" s="13" t="s">
        <v>62</v>
      </c>
      <c r="E1092" s="102">
        <v>4573750286</v>
      </c>
      <c r="F1092" s="102">
        <v>7320149366</v>
      </c>
      <c r="G1092" s="102">
        <v>112</v>
      </c>
      <c r="H1092" s="102">
        <v>11</v>
      </c>
      <c r="I1092" s="102">
        <v>123</v>
      </c>
      <c r="J1092" s="102">
        <v>425</v>
      </c>
      <c r="K1092" s="102">
        <v>548</v>
      </c>
      <c r="L1092" s="102">
        <v>-11</v>
      </c>
      <c r="M1092" s="102">
        <v>11</v>
      </c>
      <c r="N1092" s="102">
        <v>289</v>
      </c>
      <c r="O1092" s="102">
        <v>121</v>
      </c>
      <c r="P1092" s="102">
        <v>958</v>
      </c>
      <c r="Q1092" s="102">
        <v>3894</v>
      </c>
      <c r="R1092" s="13" t="s">
        <v>27</v>
      </c>
      <c r="S1092" s="13" t="s">
        <v>27</v>
      </c>
    </row>
    <row r="1093" spans="1:19" hidden="1" x14ac:dyDescent="0.3">
      <c r="A1093" s="14">
        <v>43936.708333333336</v>
      </c>
      <c r="B1093" s="13" t="s">
        <v>23</v>
      </c>
      <c r="C1093" s="102">
        <v>5</v>
      </c>
      <c r="D1093" s="13" t="s">
        <v>63</v>
      </c>
      <c r="E1093" s="102">
        <v>4543490485</v>
      </c>
      <c r="F1093" s="102">
        <v>1233845213</v>
      </c>
      <c r="G1093" s="102">
        <v>1402</v>
      </c>
      <c r="H1093" s="102">
        <v>219</v>
      </c>
      <c r="I1093" s="102">
        <v>1621</v>
      </c>
      <c r="J1093" s="102">
        <v>9168</v>
      </c>
      <c r="K1093" s="102">
        <v>10789</v>
      </c>
      <c r="L1093" s="102">
        <v>53</v>
      </c>
      <c r="M1093" s="102">
        <v>192</v>
      </c>
      <c r="N1093" s="102">
        <v>2895</v>
      </c>
      <c r="O1093" s="102">
        <v>940</v>
      </c>
      <c r="P1093" s="102">
        <v>14624</v>
      </c>
      <c r="Q1093" s="102">
        <v>216344</v>
      </c>
      <c r="R1093" s="13" t="s">
        <v>27</v>
      </c>
      <c r="S1093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1:AN1179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19.88671875" style="2" customWidth="1"/>
    <col min="5" max="5" width="15.5546875" style="2" bestFit="1" customWidth="1"/>
    <col min="6" max="6" width="14.44140625" style="2" bestFit="1" customWidth="1"/>
    <col min="7" max="7" width="16.21875" style="2" bestFit="1" customWidth="1"/>
    <col min="8" max="8" width="9.33203125" style="2" customWidth="1"/>
    <col min="9" max="9" width="16.21875" style="2" bestFit="1" customWidth="1"/>
    <col min="10" max="10" width="16.44140625" style="2" bestFit="1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24.33203125" style="2" bestFit="1" customWidth="1"/>
    <col min="26" max="26" width="23.33203125" style="2" bestFit="1" customWidth="1"/>
    <col min="27" max="30" width="8.88671875" style="2"/>
    <col min="31" max="31" width="11" style="2" bestFit="1" customWidth="1"/>
    <col min="32" max="39" width="8.88671875" style="2"/>
    <col min="40" max="40" width="9.5546875" style="2" bestFit="1" customWidth="1"/>
    <col min="41" max="16384" width="8.88671875" style="2"/>
  </cols>
  <sheetData>
    <row r="1" spans="2:40" ht="15" thickBot="1" x14ac:dyDescent="0.35"/>
    <row r="2" spans="2:40" ht="24" thickBot="1" x14ac:dyDescent="0.5">
      <c r="B2" s="103" t="s">
        <v>12</v>
      </c>
      <c r="C2" s="103"/>
      <c r="D2" s="103"/>
      <c r="E2" s="103"/>
      <c r="F2" s="103"/>
      <c r="G2" s="103"/>
      <c r="H2" s="103"/>
      <c r="I2" s="103"/>
      <c r="AA2" s="83" t="s">
        <v>151</v>
      </c>
      <c r="AB2" s="105" t="s">
        <v>152</v>
      </c>
      <c r="AC2" s="105"/>
      <c r="AD2" s="105"/>
      <c r="AE2" s="105"/>
      <c r="AF2" s="105"/>
    </row>
    <row r="3" spans="2:40" ht="17.399999999999999" customHeight="1" thickBot="1" x14ac:dyDescent="0.65">
      <c r="B3" s="11"/>
      <c r="H3" s="104"/>
      <c r="I3" s="104"/>
      <c r="AA3" s="24" t="s">
        <v>0</v>
      </c>
      <c r="AB3" s="105" t="s">
        <v>130</v>
      </c>
      <c r="AC3" s="105"/>
      <c r="AD3" s="105"/>
      <c r="AE3" s="105"/>
      <c r="AF3" s="105"/>
    </row>
    <row r="4" spans="2:40" ht="20.399999999999999" thickBot="1" x14ac:dyDescent="0.45">
      <c r="B4" s="106" t="s">
        <v>150</v>
      </c>
      <c r="C4" s="106"/>
      <c r="D4" s="106"/>
      <c r="E4" s="106"/>
      <c r="F4" s="106"/>
      <c r="G4" s="106"/>
      <c r="H4" s="104"/>
      <c r="I4" s="104"/>
      <c r="AA4" s="24" t="s">
        <v>131</v>
      </c>
      <c r="AB4" s="105" t="s">
        <v>130</v>
      </c>
      <c r="AC4" s="105"/>
      <c r="AD4" s="105"/>
      <c r="AE4" s="105"/>
      <c r="AF4" s="105"/>
    </row>
    <row r="5" spans="2:40" ht="18.600000000000001" thickTop="1" thickBot="1" x14ac:dyDescent="0.4">
      <c r="B5" s="107" t="s">
        <v>149</v>
      </c>
      <c r="C5" s="107"/>
      <c r="D5" s="107"/>
      <c r="E5" s="107"/>
      <c r="F5" s="107"/>
      <c r="G5" s="107"/>
      <c r="H5" s="104"/>
      <c r="I5" s="104"/>
      <c r="AA5" s="24" t="s">
        <v>1</v>
      </c>
      <c r="AB5" s="108" t="s">
        <v>130</v>
      </c>
      <c r="AC5" s="108"/>
      <c r="AD5" s="108"/>
      <c r="AE5" s="108"/>
      <c r="AF5" s="108"/>
    </row>
    <row r="6" spans="2:40" ht="19.2" thickTop="1" thickBot="1" x14ac:dyDescent="0.4">
      <c r="B6" s="19"/>
      <c r="C6" s="19"/>
      <c r="D6" s="19"/>
      <c r="E6" s="19"/>
      <c r="F6" s="19"/>
      <c r="G6" s="19"/>
      <c r="H6" s="104"/>
      <c r="I6" s="104"/>
      <c r="AA6" s="16"/>
      <c r="AB6" s="15"/>
      <c r="AC6" s="12"/>
      <c r="AD6" s="12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115</v>
      </c>
      <c r="F7" s="8" t="s">
        <v>132</v>
      </c>
      <c r="G7" s="8" t="s">
        <v>116</v>
      </c>
      <c r="H7" s="8" t="s">
        <v>88</v>
      </c>
      <c r="I7" s="8" t="s">
        <v>117</v>
      </c>
      <c r="J7" s="8" t="s">
        <v>8</v>
      </c>
      <c r="K7" s="8" t="s">
        <v>9</v>
      </c>
      <c r="L7" s="4" t="s">
        <v>86</v>
      </c>
      <c r="M7" s="4" t="s">
        <v>118</v>
      </c>
      <c r="N7" s="8" t="s">
        <v>133</v>
      </c>
      <c r="O7" s="8" t="s">
        <v>119</v>
      </c>
      <c r="P7" s="8" t="s">
        <v>81</v>
      </c>
      <c r="Q7" s="8" t="s">
        <v>82</v>
      </c>
      <c r="R7" s="4" t="s">
        <v>134</v>
      </c>
      <c r="S7" s="4" t="s">
        <v>120</v>
      </c>
      <c r="T7" s="8" t="s">
        <v>135</v>
      </c>
      <c r="U7" s="8" t="s">
        <v>121</v>
      </c>
      <c r="V7" s="8" t="s">
        <v>83</v>
      </c>
      <c r="W7" s="8" t="s">
        <v>84</v>
      </c>
      <c r="X7" s="8"/>
      <c r="Y7" s="25" t="s">
        <v>136</v>
      </c>
      <c r="Z7" s="26" t="s">
        <v>132</v>
      </c>
      <c r="AA7" s="3"/>
      <c r="AN7" s="51" t="s">
        <v>114</v>
      </c>
    </row>
    <row r="8" spans="2:40" x14ac:dyDescent="0.3">
      <c r="B8" s="18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5.102711233504921E-2</v>
      </c>
      <c r="G8" s="10">
        <f>Tabella8[[#This Row],[Italy sum]]*NOT(ISBLANK(Tabella8[[#This Row],[Italy cumulative]]))</f>
        <v>5.102711233504921E-2</v>
      </c>
      <c r="H8" s="27">
        <f>(Kt^(1-pt)-(1-pt)*EXP(-(Tabella8[[#This Row],[Day]]-t0t)/wt))^(1/(1-pt))</f>
        <v>5.465337501575613E-2</v>
      </c>
      <c r="I8" s="10">
        <f>Tabella8[[#This Row],[Italy fit]]*NOT(ISBLANK(Tabella8[[#This Row],[Italy cumulative]]))</f>
        <v>5.465337501575613E-2</v>
      </c>
      <c r="J8" s="10">
        <f>Tabella8[[#This Row],[Italy sum]]+CI</f>
        <v>222.63032339508803</v>
      </c>
      <c r="K8" s="10">
        <f>MAX(Tabella8[[#This Row],[Italy sum]]-CI,0)</f>
        <v>0</v>
      </c>
      <c r="L8" s="86">
        <f>GETPIVOTDATA("deceduti",Y55,"data",ROW(Y55))</f>
        <v>6</v>
      </c>
      <c r="M8" s="10">
        <f>Tabella8[[#This Row],[Lombardy]]*NOT(ISBLANK(Tabella8[[#This Row],[Lombardy]]))</f>
        <v>6</v>
      </c>
      <c r="N8" s="27">
        <f>(Kr^(1-pr)-(1-pr)*EXP(-(Tabella8[[#This Row],[Day]]-t0r)/wr))^(1/(1-pr))</f>
        <v>4.3624137394786426E-2</v>
      </c>
      <c r="O8" s="10">
        <f>Tabella8[[#This Row],[Lombardy fit]]*NOT(ISBLANK(Tabella8[[#This Row],[Lombardy]]))</f>
        <v>4.3624137394786426E-2</v>
      </c>
      <c r="P8" s="10">
        <f>Tabella8[[#This Row],[Lombardy fit]]+CIr</f>
        <v>176.90330088277418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27">
        <f>(Ko^(1-po)-(1-po)*EXP(-(Tabella8[[#This Row],[Day]]-t0o)/wo))^(1/(1-po))</f>
        <v>7.4029749402627874E-3</v>
      </c>
      <c r="U8" s="27">
        <f>Tabella8[[#This Row],[rest of Italy fit]]*NOT(ISBLANK(Tabella8[[#This Row],[rest of Italy ]]))</f>
        <v>7.4029749402627874E-3</v>
      </c>
      <c r="V8" s="10">
        <f>Tabella8[[#This Row],[rest of Italy fit]]+CIo</f>
        <v>117.76910758496317</v>
      </c>
      <c r="W8" s="10">
        <f>MAX(Tabella8[[#This Row],[rest of Italy fit]]-CIo,0)</f>
        <v>0</v>
      </c>
      <c r="X8" s="1"/>
      <c r="Y8" s="28"/>
      <c r="Z8" s="29"/>
      <c r="AN8" s="80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0.13894680369909168</v>
      </c>
      <c r="G9" s="10">
        <f>Tabella8[[#This Row],[Italy sum]]*NOT(ISBLANK(Tabella8[[#This Row],[Italy cumulative]]))</f>
        <v>0.13894680369909168</v>
      </c>
      <c r="H9" s="27">
        <f>(Kt^(1-pt)-(1-pt)*EXP(-(Tabella8[[#This Row],[Day]]-t0t)/wt))^(1/(1-pt))</f>
        <v>0.14574382229824881</v>
      </c>
      <c r="I9" s="10">
        <f>Tabella8[[#This Row],[Italy fit]]*NOT(ISBLANK(Tabella8[[#This Row],[Italy cumulative]]))</f>
        <v>0.14574382229824881</v>
      </c>
      <c r="J9" s="10">
        <f>Tabella8[[#This Row],[Italy sum]]+CI</f>
        <v>222.71824308645208</v>
      </c>
      <c r="K9" s="10">
        <f>MAX(Tabella8[[#This Row],[Italy sum]]-CI,0)</f>
        <v>0</v>
      </c>
      <c r="L9" s="86">
        <f t="shared" ref="L9:L59" si="0">GETPIVOTDATA("deceduti",Y56,"data",ROW(Y56))</f>
        <v>9</v>
      </c>
      <c r="M9" s="10">
        <f>Tabella8[[#This Row],[Lombardy]]*NOT(ISBLANK(Tabella8[[#This Row],[Lombardy]]))</f>
        <v>9</v>
      </c>
      <c r="N9" s="27">
        <f>(Kr^(1-pr)-(1-pr)*EXP(-(Tabella8[[#This Row],[Day]]-t0r)/wr))^(1/(1-pr))</f>
        <v>0.11798135192475251</v>
      </c>
      <c r="O9" s="10">
        <f>Tabella8[[#This Row],[Lombardy fit]]*NOT(ISBLANK(Tabella8[[#This Row],[Lombardy]]))</f>
        <v>0.11798135192475251</v>
      </c>
      <c r="P9" s="10">
        <f>Tabella8[[#This Row],[Lombardy fit]]+CIr</f>
        <v>176.97765809730416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27">
        <f>(Ko^(1-po)-(1-po)*EXP(-(Tabella8[[#This Row],[Day]]-t0o)/wo))^(1/(1-po))</f>
        <v>2.0965451774339176E-2</v>
      </c>
      <c r="U9" s="27">
        <f>Tabella8[[#This Row],[rest of Italy fit]]*NOT(ISBLANK(Tabella8[[#This Row],[rest of Italy ]]))</f>
        <v>2.0965451774339176E-2</v>
      </c>
      <c r="V9" s="10">
        <f>Tabella8[[#This Row],[rest of Italy fit]]+CIo</f>
        <v>117.78267006179725</v>
      </c>
      <c r="W9" s="10">
        <f>MAX(Tabella8[[#This Row],[rest of Italy fit]]-CIo,0)</f>
        <v>0</v>
      </c>
      <c r="X9" s="1"/>
      <c r="Y9" s="28"/>
      <c r="Z9" s="29"/>
      <c r="AN9" s="64"/>
    </row>
    <row r="10" spans="2:40" x14ac:dyDescent="0.3">
      <c r="B10" s="9">
        <v>43887</v>
      </c>
      <c r="C10" s="4">
        <f t="shared" ref="C10:C73" si="1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0.35017220145117989</v>
      </c>
      <c r="G10" s="10">
        <f>Tabella8[[#This Row],[Italy sum]]*NOT(ISBLANK(Tabella8[[#This Row],[Italy cumulative]]))</f>
        <v>0.35017220145117989</v>
      </c>
      <c r="H10" s="27">
        <f>(Kt^(1-pt)-(1-pt)*EXP(-(Tabella8[[#This Row],[Day]]-t0t)/wt))^(1/(1-pt))</f>
        <v>0.36118575289359789</v>
      </c>
      <c r="I10" s="10">
        <f>Tabella8[[#This Row],[Italy fit]]*NOT(ISBLANK(Tabella8[[#This Row],[Italy cumulative]]))</f>
        <v>0.36118575289359789</v>
      </c>
      <c r="J10" s="10">
        <f>Tabella8[[#This Row],[Italy sum]]+CI</f>
        <v>222.92946848420416</v>
      </c>
      <c r="K10" s="10">
        <f>MAX(Tabella8[[#This Row],[Italy sum]]-CI,0)</f>
        <v>0</v>
      </c>
      <c r="L10" s="86">
        <f t="shared" si="0"/>
        <v>9</v>
      </c>
      <c r="M10" s="10">
        <f>Tabella8[[#This Row],[Lombardy]]*NOT(ISBLANK(Tabella8[[#This Row],[Lombardy]]))</f>
        <v>9</v>
      </c>
      <c r="N10" s="27">
        <f>(Kr^(1-pr)-(1-pr)*EXP(-(Tabella8[[#This Row],[Day]]-t0r)/wr))^(1/(1-pr))</f>
        <v>0.29509129567112347</v>
      </c>
      <c r="O10" s="10">
        <f>Tabella8[[#This Row],[Lombardy fit]]*NOT(ISBLANK(Tabella8[[#This Row],[Lombardy]]))</f>
        <v>0.29509129567112347</v>
      </c>
      <c r="P10" s="10">
        <f>Tabella8[[#This Row],[Lombardy fit]]+CIr</f>
        <v>177.15476804105052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27">
        <f>(Ko^(1-po)-(1-po)*EXP(-(Tabella8[[#This Row],[Day]]-t0o)/wo))^(1/(1-po))</f>
        <v>5.5080905780056422E-2</v>
      </c>
      <c r="U10" s="27">
        <f>Tabella8[[#This Row],[rest of Italy fit]]*NOT(ISBLANK(Tabella8[[#This Row],[rest of Italy ]]))</f>
        <v>5.5080905780056422E-2</v>
      </c>
      <c r="V10" s="10">
        <f>Tabella8[[#This Row],[rest of Italy fit]]+CIo</f>
        <v>117.81678551580296</v>
      </c>
      <c r="W10" s="10">
        <f>MAX(Tabella8[[#This Row],[rest of Italy fit]]-CIo,0)</f>
        <v>0</v>
      </c>
      <c r="X10" s="1"/>
      <c r="Y10" s="28"/>
      <c r="Z10" s="29"/>
      <c r="AN10" s="64"/>
    </row>
    <row r="11" spans="2:40" x14ac:dyDescent="0.3">
      <c r="B11" s="9">
        <v>43888</v>
      </c>
      <c r="C11" s="4">
        <f t="shared" si="1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0.82176090956824166</v>
      </c>
      <c r="G11" s="10">
        <f>Tabella8[[#This Row],[Italy sum]]*NOT(ISBLANK(Tabella8[[#This Row],[Italy cumulative]]))</f>
        <v>0.82176090956824166</v>
      </c>
      <c r="H11" s="27">
        <f>(Kt^(1-pt)-(1-pt)*EXP(-(Tabella8[[#This Row],[Day]]-t0t)/wt))^(1/(1-pt))</f>
        <v>0.83640615210920599</v>
      </c>
      <c r="I11" s="10">
        <f>Tabella8[[#This Row],[Italy fit]]*NOT(ISBLANK(Tabella8[[#This Row],[Italy cumulative]]))</f>
        <v>0.83640615210920599</v>
      </c>
      <c r="J11" s="10">
        <f>Tabella8[[#This Row],[Italy sum]]+CI</f>
        <v>223.40105719232122</v>
      </c>
      <c r="K11" s="10">
        <f>MAX(Tabella8[[#This Row],[Italy sum]]-CI,0)</f>
        <v>0</v>
      </c>
      <c r="L11" s="86">
        <f t="shared" si="0"/>
        <v>14</v>
      </c>
      <c r="M11" s="10">
        <f>Tabella8[[#This Row],[Lombardy]]*NOT(ISBLANK(Tabella8[[#This Row],[Lombardy]]))</f>
        <v>14</v>
      </c>
      <c r="N11" s="27">
        <f>(Kr^(1-pr)-(1-pr)*EXP(-(Tabella8[[#This Row],[Day]]-t0r)/wr))^(1/(1-pr))</f>
        <v>0.68678764884379884</v>
      </c>
      <c r="O11" s="10">
        <f>Tabella8[[#This Row],[Lombardy fit]]*NOT(ISBLANK(Tabella8[[#This Row],[Lombardy]]))</f>
        <v>0.68678764884379884</v>
      </c>
      <c r="P11" s="10">
        <f>Tabella8[[#This Row],[Lombardy fit]]+CIr</f>
        <v>177.54646439422319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27">
        <f>(Ko^(1-po)-(1-po)*EXP(-(Tabella8[[#This Row],[Day]]-t0o)/wo))^(1/(1-po))</f>
        <v>0.13497326072444282</v>
      </c>
      <c r="U11" s="27">
        <f>Tabella8[[#This Row],[rest of Italy fit]]*NOT(ISBLANK(Tabella8[[#This Row],[rest of Italy ]]))</f>
        <v>0.13497326072444282</v>
      </c>
      <c r="V11" s="10">
        <f>Tabella8[[#This Row],[rest of Italy fit]]+CIo</f>
        <v>117.89667787074734</v>
      </c>
      <c r="W11" s="10">
        <f>MAX(Tabella8[[#This Row],[rest of Italy fit]]-CIo,0)</f>
        <v>0</v>
      </c>
      <c r="X11" s="1"/>
      <c r="Y11" s="30" t="s">
        <v>2</v>
      </c>
      <c r="Z11" s="31">
        <f>AVERAGE(Tabella8[Italy cumulative])</f>
        <v>7320.25</v>
      </c>
      <c r="AN11" s="64"/>
    </row>
    <row r="12" spans="2:40" x14ac:dyDescent="0.3">
      <c r="B12" s="9">
        <v>43889</v>
      </c>
      <c r="C12" s="4">
        <f t="shared" si="1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1.8058288174765658</v>
      </c>
      <c r="G12" s="10">
        <f>Tabella8[[#This Row],[Italy sum]]*NOT(ISBLANK(Tabella8[[#This Row],[Italy cumulative]]))</f>
        <v>1.8058288174765658</v>
      </c>
      <c r="H12" s="27">
        <f>(Kt^(1-pt)-(1-pt)*EXP(-(Tabella8[[#This Row],[Day]]-t0t)/wt))^(1/(1-pt))</f>
        <v>1.8190769290527002</v>
      </c>
      <c r="I12" s="10">
        <f>Tabella8[[#This Row],[Italy fit]]*NOT(ISBLANK(Tabella8[[#This Row],[Italy cumulative]]))</f>
        <v>1.8190769290527002</v>
      </c>
      <c r="J12" s="10">
        <f>Tabella8[[#This Row],[Italy sum]]+CI</f>
        <v>224.38512510022954</v>
      </c>
      <c r="K12" s="10">
        <f>MAX(Tabella8[[#This Row],[Italy sum]]-CI,0)</f>
        <v>0</v>
      </c>
      <c r="L12" s="86">
        <f t="shared" si="0"/>
        <v>17</v>
      </c>
      <c r="M12" s="10">
        <f>Tabella8[[#This Row],[Lombardy]]*NOT(ISBLANK(Tabella8[[#This Row],[Lombardy]]))</f>
        <v>17</v>
      </c>
      <c r="N12" s="27">
        <f>(Kr^(1-pr)-(1-pr)*EXP(-(Tabella8[[#This Row],[Day]]-t0r)/wr))^(1/(1-pr))</f>
        <v>1.4957831918305333</v>
      </c>
      <c r="O12" s="10">
        <f>Tabella8[[#This Row],[Lombardy fit]]*NOT(ISBLANK(Tabella8[[#This Row],[Lombardy]]))</f>
        <v>1.4957831918305333</v>
      </c>
      <c r="P12" s="10">
        <f>Tabella8[[#This Row],[Lombardy fit]]+CIr</f>
        <v>178.35545993720993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27">
        <f>(Ko^(1-po)-(1-po)*EXP(-(Tabella8[[#This Row],[Day]]-t0o)/wo))^(1/(1-po))</f>
        <v>0.3100456256460325</v>
      </c>
      <c r="U12" s="27">
        <f>Tabella8[[#This Row],[rest of Italy fit]]*NOT(ISBLANK(Tabella8[[#This Row],[rest of Italy ]]))</f>
        <v>0.3100456256460325</v>
      </c>
      <c r="V12" s="10">
        <f>Tabella8[[#This Row],[rest of Italy fit]]+CIo</f>
        <v>118.07175023566893</v>
      </c>
      <c r="W12" s="10">
        <f>MAX(Tabella8[[#This Row],[rest of Italy fit]]-CIo,0)</f>
        <v>0</v>
      </c>
      <c r="X12" s="1"/>
      <c r="Y12" s="30" t="s">
        <v>3</v>
      </c>
      <c r="Z12" s="31">
        <f>COUNT(Tabella8[Italy cumulative])-COUNT(Z8:Z10)</f>
        <v>52</v>
      </c>
      <c r="AN12" s="64"/>
    </row>
    <row r="13" spans="2:40" x14ac:dyDescent="0.3">
      <c r="B13" s="9">
        <v>43890</v>
      </c>
      <c r="C13" s="4">
        <f t="shared" si="1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3.735242206983342</v>
      </c>
      <c r="G13" s="10">
        <f>Tabella8[[#This Row],[Italy sum]]*NOT(ISBLANK(Tabella8[[#This Row],[Italy cumulative]]))</f>
        <v>3.735242206983342</v>
      </c>
      <c r="H13" s="27">
        <f>(Kt^(1-pt)-(1-pt)*EXP(-(Tabella8[[#This Row],[Day]]-t0t)/wt))^(1/(1-pt))</f>
        <v>3.7330924922183444</v>
      </c>
      <c r="I13" s="10">
        <f>Tabella8[[#This Row],[Italy fit]]*NOT(ISBLANK(Tabella8[[#This Row],[Italy cumulative]]))</f>
        <v>3.7330924922183444</v>
      </c>
      <c r="J13" s="10">
        <f>Tabella8[[#This Row],[Italy sum]]+CI</f>
        <v>226.31453848973632</v>
      </c>
      <c r="K13" s="10">
        <f>MAX(Tabella8[[#This Row],[Italy sum]]-CI,0)</f>
        <v>0</v>
      </c>
      <c r="L13" s="86">
        <f t="shared" si="0"/>
        <v>23</v>
      </c>
      <c r="M13" s="10">
        <f>Tabella8[[#This Row],[Lombardy]]*NOT(ISBLANK(Tabella8[[#This Row],[Lombardy]]))</f>
        <v>23</v>
      </c>
      <c r="N13" s="27">
        <f>(Kr^(1-pr)-(1-pr)*EXP(-(Tabella8[[#This Row],[Day]]-t0r)/wr))^(1/(1-pr))</f>
        <v>3.0644951792585995</v>
      </c>
      <c r="O13" s="10">
        <f>Tabella8[[#This Row],[Lombardy fit]]*NOT(ISBLANK(Tabella8[[#This Row],[Lombardy]]))</f>
        <v>3.0644951792585995</v>
      </c>
      <c r="P13" s="10">
        <f>Tabella8[[#This Row],[Lombardy fit]]+CIr</f>
        <v>179.92417192463799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27">
        <f>(Ko^(1-po)-(1-po)*EXP(-(Tabella8[[#This Row],[Day]]-t0o)/wo))^(1/(1-po))</f>
        <v>0.67074702772474248</v>
      </c>
      <c r="U13" s="27">
        <f>Tabella8[[#This Row],[rest of Italy fit]]*NOT(ISBLANK(Tabella8[[#This Row],[rest of Italy ]]))</f>
        <v>0.67074702772474248</v>
      </c>
      <c r="V13" s="10">
        <f>Tabella8[[#This Row],[rest of Italy fit]]+CIo</f>
        <v>118.43245163774765</v>
      </c>
      <c r="W13" s="10">
        <f>MAX(Tabella8[[#This Row],[rest of Italy fit]]-CIo,0)</f>
        <v>0</v>
      </c>
      <c r="X13" s="1"/>
      <c r="Y13" s="30" t="s">
        <v>4</v>
      </c>
      <c r="Z13" s="32" cm="1">
        <f t="array" ref="Z13">SQRT(SUM((Tabella8[Colonna1]-Tabella8[Colonna2])^2)/df)</f>
        <v>110.92101296616107</v>
      </c>
      <c r="AN13" s="64"/>
    </row>
    <row r="14" spans="2:40" ht="16.2" x14ac:dyDescent="0.3">
      <c r="B14" s="18">
        <v>43891</v>
      </c>
      <c r="C14" s="4">
        <f t="shared" si="1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7.3069779143025011</v>
      </c>
      <c r="G14" s="10">
        <f>Tabella8[[#This Row],[Italy sum]]*NOT(ISBLANK(Tabella8[[#This Row],[Italy cumulative]]))</f>
        <v>7.3069779143025011</v>
      </c>
      <c r="H14" s="27">
        <f>(Kt^(1-pt)-(1-pt)*EXP(-(Tabella8[[#This Row],[Day]]-t0t)/wt))^(1/(1-pt))</f>
        <v>7.2603017643057282</v>
      </c>
      <c r="I14" s="10">
        <f>Tabella8[[#This Row],[Italy fit]]*NOT(ISBLANK(Tabella8[[#This Row],[Italy cumulative]]))</f>
        <v>7.2603017643057282</v>
      </c>
      <c r="J14" s="10">
        <f>Tabella8[[#This Row],[Italy sum]]+CI</f>
        <v>229.88627419705549</v>
      </c>
      <c r="K14" s="10">
        <f>MAX(Tabella8[[#This Row],[Italy sum]]-CI,0)</f>
        <v>0</v>
      </c>
      <c r="L14" s="86">
        <f t="shared" si="0"/>
        <v>24</v>
      </c>
      <c r="M14" s="10">
        <f>Tabella8[[#This Row],[Lombardy]]*NOT(ISBLANK(Tabella8[[#This Row],[Lombardy]]))</f>
        <v>24</v>
      </c>
      <c r="N14" s="27">
        <f>(Kr^(1-pr)-(1-pr)*EXP(-(Tabella8[[#This Row],[Day]]-t0r)/wr))^(1/(1-pr))</f>
        <v>5.9344369936731267</v>
      </c>
      <c r="O14" s="10">
        <f>Tabella8[[#This Row],[Lombardy fit]]*NOT(ISBLANK(Tabella8[[#This Row],[Lombardy]]))</f>
        <v>5.9344369936731267</v>
      </c>
      <c r="P14" s="10">
        <f>Tabella8[[#This Row],[Lombardy fit]]+CIr</f>
        <v>182.79411373905253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27">
        <f>(Ko^(1-po)-(1-po)*EXP(-(Tabella8[[#This Row],[Day]]-t0o)/wo))^(1/(1-po))</f>
        <v>1.3725409206293746</v>
      </c>
      <c r="U14" s="27">
        <f>Tabella8[[#This Row],[rest of Italy fit]]*NOT(ISBLANK(Tabella8[[#This Row],[rest of Italy ]]))</f>
        <v>1.3725409206293746</v>
      </c>
      <c r="V14" s="10">
        <f>Tabella8[[#This Row],[rest of Italy fit]]+CIo</f>
        <v>119.13424553065228</v>
      </c>
      <c r="W14" s="10">
        <f>MAX(Tabella8[[#This Row],[rest of Italy fit]]-CIo,0)</f>
        <v>0</v>
      </c>
      <c r="X14" s="1"/>
      <c r="Y14" s="30" t="s">
        <v>137</v>
      </c>
      <c r="Z14" s="33" cm="1">
        <f t="array" ref="Z14">1-SUM((Tabella8[Colonna1]-Tabella8[Colonna2])^2)/SUM((Tabella8[Colonna1]-Mean_of_y)^2)</f>
        <v>0.99983519598052462</v>
      </c>
      <c r="AN14" s="64"/>
    </row>
    <row r="15" spans="2:40" x14ac:dyDescent="0.3">
      <c r="B15" s="9">
        <v>43892</v>
      </c>
      <c r="C15" s="4">
        <f t="shared" si="1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13.577977184121861</v>
      </c>
      <c r="G15" s="10">
        <f>Tabella8[[#This Row],[Italy sum]]*NOT(ISBLANK(Tabella8[[#This Row],[Italy cumulative]]))</f>
        <v>13.577977184121861</v>
      </c>
      <c r="H15" s="27">
        <f>(Kt^(1-pt)-(1-pt)*EXP(-(Tabella8[[#This Row],[Day]]-t0t)/wt))^(1/(1-pt))</f>
        <v>13.435455884212342</v>
      </c>
      <c r="I15" s="10">
        <f>Tabella8[[#This Row],[Italy fit]]*NOT(ISBLANK(Tabella8[[#This Row],[Italy cumulative]]))</f>
        <v>13.435455884212342</v>
      </c>
      <c r="J15" s="10">
        <f>Tabella8[[#This Row],[Italy sum]]+CI</f>
        <v>236.15727346687484</v>
      </c>
      <c r="K15" s="10">
        <f>MAX(Tabella8[[#This Row],[Italy sum]]-CI,0)</f>
        <v>0</v>
      </c>
      <c r="L15" s="86">
        <f t="shared" si="0"/>
        <v>38</v>
      </c>
      <c r="M15" s="10">
        <f>Tabella8[[#This Row],[Lombardy]]*NOT(ISBLANK(Tabella8[[#This Row],[Lombardy]]))</f>
        <v>38</v>
      </c>
      <c r="N15" s="27">
        <f>(Kr^(1-pr)-(1-pr)*EXP(-(Tabella8[[#This Row],[Day]]-t0r)/wr))^(1/(1-pr))</f>
        <v>10.910701400748133</v>
      </c>
      <c r="O15" s="10">
        <f>Tabella8[[#This Row],[Lombardy fit]]*NOT(ISBLANK(Tabella8[[#This Row],[Lombardy]]))</f>
        <v>10.910701400748133</v>
      </c>
      <c r="P15" s="10">
        <f>Tabella8[[#This Row],[Lombardy fit]]+CIr</f>
        <v>187.77037814612754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27">
        <f>(Ko^(1-po)-(1-po)*EXP(-(Tabella8[[#This Row],[Day]]-t0o)/wo))^(1/(1-po))</f>
        <v>2.6672757833737282</v>
      </c>
      <c r="U15" s="27">
        <f>Tabella8[[#This Row],[rest of Italy fit]]*NOT(ISBLANK(Tabella8[[#This Row],[rest of Italy ]]))</f>
        <v>2.6672757833737282</v>
      </c>
      <c r="V15" s="10">
        <f>Tabella8[[#This Row],[rest of Italy fit]]+CIo</f>
        <v>120.42898039339663</v>
      </c>
      <c r="W15" s="10">
        <f>MAX(Tabella8[[#This Row],[rest of Italy fit]]-CIo,0)</f>
        <v>0</v>
      </c>
      <c r="X15" s="1"/>
      <c r="Y15" s="30" t="s">
        <v>6</v>
      </c>
      <c r="Z15" s="33">
        <f>TINV(0.05,df)</f>
        <v>2.0066468050616861</v>
      </c>
      <c r="AN15" s="64"/>
    </row>
    <row r="16" spans="2:40" x14ac:dyDescent="0.3">
      <c r="B16" s="9">
        <v>43893</v>
      </c>
      <c r="C16" s="4">
        <f t="shared" si="1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24.063591659420034</v>
      </c>
      <c r="G16" s="10">
        <f>Tabella8[[#This Row],[Italy sum]]*NOT(ISBLANK(Tabella8[[#This Row],[Italy cumulative]]))</f>
        <v>24.063591659420034</v>
      </c>
      <c r="H16" s="27">
        <f>(Kt^(1-pt)-(1-pt)*EXP(-(Tabella8[[#This Row],[Day]]-t0t)/wt))^(1/(1-pt))</f>
        <v>23.745167316351296</v>
      </c>
      <c r="I16" s="10">
        <f>Tabella8[[#This Row],[Italy fit]]*NOT(ISBLANK(Tabella8[[#This Row],[Italy cumulative]]))</f>
        <v>23.745167316351296</v>
      </c>
      <c r="J16" s="10">
        <f>Tabella8[[#This Row],[Italy sum]]+CI</f>
        <v>246.64288794217302</v>
      </c>
      <c r="K16" s="10">
        <f>MAX(Tabella8[[#This Row],[Italy sum]]-CI,0)</f>
        <v>0</v>
      </c>
      <c r="L16" s="86">
        <f t="shared" si="0"/>
        <v>55</v>
      </c>
      <c r="M16" s="10">
        <f>Tabella8[[#This Row],[Lombardy]]*NOT(ISBLANK(Tabella8[[#This Row],[Lombardy]]))</f>
        <v>55</v>
      </c>
      <c r="N16" s="27">
        <f>(Kr^(1-pr)-(1-pr)*EXP(-(Tabella8[[#This Row],[Day]]-t0r)/wr))^(1/(1-pr))</f>
        <v>19.12271934753096</v>
      </c>
      <c r="O16" s="10">
        <f>Tabella8[[#This Row],[Lombardy fit]]*NOT(ISBLANK(Tabella8[[#This Row],[Lombardy]]))</f>
        <v>19.12271934753096</v>
      </c>
      <c r="P16" s="10">
        <f>Tabella8[[#This Row],[Lombardy fit]]+CIr</f>
        <v>195.98239609291036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27">
        <f>(Ko^(1-po)-(1-po)*EXP(-(Tabella8[[#This Row],[Day]]-t0o)/wo))^(1/(1-po))</f>
        <v>4.9408723118890734</v>
      </c>
      <c r="U16" s="27">
        <f>Tabella8[[#This Row],[rest of Italy fit]]*NOT(ISBLANK(Tabella8[[#This Row],[rest of Italy ]]))</f>
        <v>4.9408723118890734</v>
      </c>
      <c r="V16" s="10">
        <f>Tabella8[[#This Row],[rest of Italy fit]]+CIo</f>
        <v>122.70257692191197</v>
      </c>
      <c r="W16" s="10">
        <f>MAX(Tabella8[[#This Row],[rest of Italy fit]]-CIo,0)</f>
        <v>0</v>
      </c>
      <c r="X16" s="1"/>
      <c r="Y16" s="30" t="s">
        <v>7</v>
      </c>
      <c r="Z16" s="31">
        <f>Critical_t*SE_of_y</f>
        <v>222.57929628275298</v>
      </c>
      <c r="AN16" s="64"/>
    </row>
    <row r="17" spans="2:40" ht="15" thickBot="1" x14ac:dyDescent="0.35">
      <c r="B17" s="9">
        <v>43894</v>
      </c>
      <c r="C17" s="4">
        <f t="shared" si="1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40.824797674151057</v>
      </c>
      <c r="G17" s="10">
        <f>Tabella8[[#This Row],[Italy sum]]*NOT(ISBLANK(Tabella8[[#This Row],[Italy cumulative]]))</f>
        <v>40.824797674151057</v>
      </c>
      <c r="H17" s="27">
        <f>(Kt^(1-pt)-(1-pt)*EXP(-(Tabella8[[#This Row],[Day]]-t0t)/wt))^(1/(1-pt))</f>
        <v>40.217573918908251</v>
      </c>
      <c r="I17" s="10">
        <f>Tabella8[[#This Row],[Italy fit]]*NOT(ISBLANK(Tabella8[[#This Row],[Italy cumulative]]))</f>
        <v>40.217573918908251</v>
      </c>
      <c r="J17" s="10">
        <f>Tabella8[[#This Row],[Italy sum]]+CI</f>
        <v>263.40409395690403</v>
      </c>
      <c r="K17" s="10">
        <f>MAX(Tabella8[[#This Row],[Italy sum]]-CI,0)</f>
        <v>0</v>
      </c>
      <c r="L17" s="86">
        <f t="shared" si="0"/>
        <v>73</v>
      </c>
      <c r="M17" s="10">
        <f>Tabella8[[#This Row],[Lombardy]]*NOT(ISBLANK(Tabella8[[#This Row],[Lombardy]]))</f>
        <v>73</v>
      </c>
      <c r="N17" s="27">
        <f>(Kr^(1-pr)-(1-pr)*EXP(-(Tabella8[[#This Row],[Day]]-t0r)/wr))^(1/(1-pr))</f>
        <v>32.070267736077717</v>
      </c>
      <c r="O17" s="10">
        <f>Tabella8[[#This Row],[Lombardy fit]]*NOT(ISBLANK(Tabella8[[#This Row],[Lombardy]]))</f>
        <v>32.070267736077717</v>
      </c>
      <c r="P17" s="10">
        <f>Tabella8[[#This Row],[Lombardy fit]]+CIr</f>
        <v>208.92994448145711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27">
        <f>(Ko^(1-po)-(1-po)*EXP(-(Tabella8[[#This Row],[Day]]-t0o)/wo))^(1/(1-po))</f>
        <v>8.7545299380733379</v>
      </c>
      <c r="U17" s="27">
        <f>Tabella8[[#This Row],[rest of Italy fit]]*NOT(ISBLANK(Tabella8[[#This Row],[rest of Italy ]]))</f>
        <v>8.7545299380733379</v>
      </c>
      <c r="V17" s="10">
        <f>Tabella8[[#This Row],[rest of Italy fit]]+CIo</f>
        <v>126.51623454809624</v>
      </c>
      <c r="W17" s="10">
        <f>MAX(Tabella8[[#This Row],[rest of Italy fit]]-CIo,0)</f>
        <v>0</v>
      </c>
      <c r="X17" s="1"/>
      <c r="Y17" s="30" t="s">
        <v>147</v>
      </c>
      <c r="Z17" s="31">
        <f>Kr+Ko</f>
        <v>27575.410155021291</v>
      </c>
      <c r="AN17" s="81"/>
    </row>
    <row r="18" spans="2:40" x14ac:dyDescent="0.3">
      <c r="B18" s="18">
        <v>43895</v>
      </c>
      <c r="C18" s="4">
        <f t="shared" si="1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66.528427559604012</v>
      </c>
      <c r="G18" s="10">
        <f>Tabella8[[#This Row],[Italy sum]]*NOT(ISBLANK(Tabella8[[#This Row],[Italy cumulative]]))</f>
        <v>66.528427559604012</v>
      </c>
      <c r="H18" s="27">
        <f>(Kt^(1-pt)-(1-pt)*EXP(-(Tabella8[[#This Row],[Day]]-t0t)/wt))^(1/(1-pt))</f>
        <v>65.487057335993597</v>
      </c>
      <c r="I18" s="10">
        <f>Tabella8[[#This Row],[Italy fit]]*NOT(ISBLANK(Tabella8[[#This Row],[Italy cumulative]]))</f>
        <v>65.487057335993597</v>
      </c>
      <c r="J18" s="10">
        <f>Tabella8[[#This Row],[Italy sum]]+CI</f>
        <v>289.10772384235702</v>
      </c>
      <c r="K18" s="10">
        <f>MAX(Tabella8[[#This Row],[Italy sum]]-CI,0)</f>
        <v>0</v>
      </c>
      <c r="L18" s="86">
        <f t="shared" si="0"/>
        <v>98</v>
      </c>
      <c r="M18" s="10">
        <f>Tabella8[[#This Row],[Lombardy]]*NOT(ISBLANK(Tabella8[[#This Row],[Lombardy]]))</f>
        <v>98</v>
      </c>
      <c r="N18" s="27">
        <f>(Kr^(1-pr)-(1-pr)*EXP(-(Tabella8[[#This Row],[Day]]-t0r)/wr))^(1/(1-pr))</f>
        <v>51.643465385202113</v>
      </c>
      <c r="O18" s="10">
        <f>Tabella8[[#This Row],[Lombardy fit]]*NOT(ISBLANK(Tabella8[[#This Row],[Lombardy]]))</f>
        <v>51.643465385202113</v>
      </c>
      <c r="P18" s="10">
        <f>Tabella8[[#This Row],[Lombardy fit]]+CIr</f>
        <v>228.50314213058152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27">
        <f>(Ko^(1-po)-(1-po)*EXP(-(Tabella8[[#This Row],[Day]]-t0o)/wo))^(1/(1-po))</f>
        <v>14.884962174401906</v>
      </c>
      <c r="U18" s="27">
        <f>Tabella8[[#This Row],[rest of Italy fit]]*NOT(ISBLANK(Tabella8[[#This Row],[rest of Italy ]]))</f>
        <v>14.884962174401906</v>
      </c>
      <c r="V18" s="10">
        <f>Tabella8[[#This Row],[rest of Italy fit]]+CIo</f>
        <v>132.64666678442481</v>
      </c>
      <c r="W18" s="10">
        <f>MAX(Tabella8[[#This Row],[rest of Italy fit]]-CIo,0)</f>
        <v>0</v>
      </c>
      <c r="X18" s="1"/>
      <c r="Y18" s="34" t="s">
        <v>80</v>
      </c>
      <c r="Z18" s="2" t="s">
        <v>133</v>
      </c>
      <c r="AN18" s="52">
        <f>MAX($Z$25)</f>
        <v>0.99968229394222197</v>
      </c>
    </row>
    <row r="19" spans="2:40" x14ac:dyDescent="0.3">
      <c r="B19" s="9">
        <v>43896</v>
      </c>
      <c r="C19" s="4">
        <f t="shared" si="1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104.46552901751788</v>
      </c>
      <c r="G19" s="10">
        <f>Tabella8[[#This Row],[Italy sum]]*NOT(ISBLANK(Tabella8[[#This Row],[Italy cumulative]]))</f>
        <v>104.46552901751788</v>
      </c>
      <c r="H19" s="27">
        <f>(Kt^(1-pt)-(1-pt)*EXP(-(Tabella8[[#This Row],[Day]]-t0t)/wt))^(1/(1-pt))</f>
        <v>102.81867555369848</v>
      </c>
      <c r="I19" s="10">
        <f>Tabella8[[#This Row],[Italy fit]]*NOT(ISBLANK(Tabella8[[#This Row],[Italy cumulative]]))</f>
        <v>102.81867555369848</v>
      </c>
      <c r="J19" s="10">
        <f>Tabella8[[#This Row],[Italy sum]]+CI</f>
        <v>327.04482530027087</v>
      </c>
      <c r="K19" s="10">
        <f>MAX(Tabella8[[#This Row],[Italy sum]]-CI,0)</f>
        <v>0</v>
      </c>
      <c r="L19" s="86">
        <f t="shared" si="0"/>
        <v>135</v>
      </c>
      <c r="M19" s="10">
        <f>Tabella8[[#This Row],[Lombardy]]*NOT(ISBLANK(Tabella8[[#This Row],[Lombardy]]))</f>
        <v>135</v>
      </c>
      <c r="N19" s="27">
        <f>(Kr^(1-pr)-(1-pr)*EXP(-(Tabella8[[#This Row],[Day]]-t0r)/wr))^(1/(1-pr))</f>
        <v>80.107611611505433</v>
      </c>
      <c r="O19" s="10">
        <f>Tabella8[[#This Row],[Lombardy fit]]*NOT(ISBLANK(Tabella8[[#This Row],[Lombardy]]))</f>
        <v>80.107611611505433</v>
      </c>
      <c r="P19" s="10">
        <f>Tabella8[[#This Row],[Lombardy fit]]+CIr</f>
        <v>256.96728835688486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27">
        <f>(Ko^(1-po)-(1-po)*EXP(-(Tabella8[[#This Row],[Day]]-t0o)/wo))^(1/(1-po))</f>
        <v>24.357917406012444</v>
      </c>
      <c r="U19" s="27">
        <f>Tabella8[[#This Row],[rest of Italy fit]]*NOT(ISBLANK(Tabella8[[#This Row],[rest of Italy ]]))</f>
        <v>24.357917406012444</v>
      </c>
      <c r="V19" s="10">
        <f>Tabella8[[#This Row],[rest of Italy fit]]+CIo</f>
        <v>142.11962201603535</v>
      </c>
      <c r="W19" s="10">
        <f>MAX(Tabella8[[#This Row],[rest of Italy fit]]-CIo,0)</f>
        <v>0</v>
      </c>
      <c r="X19" s="1"/>
      <c r="Y19" s="17" t="s">
        <v>0</v>
      </c>
      <c r="Z19" s="5">
        <v>13805.080912251422</v>
      </c>
      <c r="AN19" s="53">
        <f>COUNT($Z$19,$Z$20,$Z$21,$Z$28)</f>
        <v>4</v>
      </c>
    </row>
    <row r="20" spans="2:40" ht="15.6" x14ac:dyDescent="0.35">
      <c r="B20" s="9">
        <v>43897</v>
      </c>
      <c r="C20" s="4">
        <f t="shared" si="1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158.51674702514839</v>
      </c>
      <c r="G20" s="10">
        <f>Tabella8[[#This Row],[Italy sum]]*NOT(ISBLANK(Tabella8[[#This Row],[Italy cumulative]]))</f>
        <v>158.51674702514839</v>
      </c>
      <c r="H20" s="27">
        <f>(Kt^(1-pt)-(1-pt)*EXP(-(Tabella8[[#This Row],[Day]]-t0t)/wt))^(1/(1-pt))</f>
        <v>156.08023318784811</v>
      </c>
      <c r="I20" s="10">
        <f>Tabella8[[#This Row],[Italy fit]]*NOT(ISBLANK(Tabella8[[#This Row],[Italy cumulative]]))</f>
        <v>156.08023318784811</v>
      </c>
      <c r="J20" s="10">
        <f>Tabella8[[#This Row],[Italy sum]]+CI</f>
        <v>381.09604330790137</v>
      </c>
      <c r="K20" s="10">
        <f>MAX(Tabella8[[#This Row],[Italy sum]]-CI,0)</f>
        <v>0</v>
      </c>
      <c r="L20" s="86">
        <f t="shared" si="0"/>
        <v>154</v>
      </c>
      <c r="M20" s="10">
        <f>Tabella8[[#This Row],[Lombardy]]*NOT(ISBLANK(Tabella8[[#This Row],[Lombardy]]))</f>
        <v>154</v>
      </c>
      <c r="N20" s="27">
        <f>(Kr^(1-pr)-(1-pr)*EXP(-(Tabella8[[#This Row],[Day]]-t0r)/wr))^(1/(1-pr))</f>
        <v>120.04793761878389</v>
      </c>
      <c r="O20" s="10">
        <f>Tabella8[[#This Row],[Lombardy fit]]*NOT(ISBLANK(Tabella8[[#This Row],[Lombardy]]))</f>
        <v>120.04793761878389</v>
      </c>
      <c r="P20" s="10">
        <f>Tabella8[[#This Row],[Lombardy fit]]+CIr</f>
        <v>296.90761436416329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27">
        <f>(Ko^(1-po)-(1-po)*EXP(-(Tabella8[[#This Row],[Day]]-t0o)/wo))^(1/(1-po))</f>
        <v>38.4688094063645</v>
      </c>
      <c r="U20" s="27">
        <f>Tabella8[[#This Row],[rest of Italy fit]]*NOT(ISBLANK(Tabella8[[#This Row],[rest of Italy ]]))</f>
        <v>38.4688094063645</v>
      </c>
      <c r="V20" s="10">
        <f>Tabella8[[#This Row],[rest of Italy fit]]+CIo</f>
        <v>156.23051401638742</v>
      </c>
      <c r="W20" s="10">
        <f>MAX(Tabella8[[#This Row],[rest of Italy fit]]-CIo,0)</f>
        <v>0</v>
      </c>
      <c r="X20" s="1"/>
      <c r="Y20" s="17" t="s">
        <v>24</v>
      </c>
      <c r="Z20" s="35">
        <v>31.032023394491798</v>
      </c>
      <c r="AN20" s="53" t="b">
        <f>pr&lt;=0.999999</f>
        <v>1</v>
      </c>
    </row>
    <row r="21" spans="2:40" x14ac:dyDescent="0.3">
      <c r="B21" s="18">
        <v>43898</v>
      </c>
      <c r="C21" s="4">
        <f t="shared" si="1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233.05974512566334</v>
      </c>
      <c r="G21" s="10">
        <f>Tabella8[[#This Row],[Italy sum]]*NOT(ISBLANK(Tabella8[[#This Row],[Italy cumulative]]))</f>
        <v>233.05974512566334</v>
      </c>
      <c r="H21" s="27">
        <f>(Kt^(1-pt)-(1-pt)*EXP(-(Tabella8[[#This Row],[Day]]-t0t)/wt))^(1/(1-pt))</f>
        <v>229.6557161982083</v>
      </c>
      <c r="I21" s="10">
        <f>Tabella8[[#This Row],[Italy fit]]*NOT(ISBLANK(Tabella8[[#This Row],[Italy cumulative]]))</f>
        <v>229.6557161982083</v>
      </c>
      <c r="J21" s="10">
        <f>Tabella8[[#This Row],[Italy sum]]+CI</f>
        <v>455.63904140841635</v>
      </c>
      <c r="K21" s="10">
        <f>MAX(Tabella8[[#This Row],[Italy sum]]-CI,0)</f>
        <v>10.480448842910363</v>
      </c>
      <c r="L21" s="86">
        <f t="shared" si="0"/>
        <v>267</v>
      </c>
      <c r="M21" s="10">
        <f>Tabella8[[#This Row],[Lombardy]]*NOT(ISBLANK(Tabella8[[#This Row],[Lombardy]]))</f>
        <v>267</v>
      </c>
      <c r="N21" s="27">
        <f>(Kr^(1-pr)-(1-pr)*EXP(-(Tabella8[[#This Row],[Day]]-t0r)/wr))^(1/(1-pr))</f>
        <v>174.27485208411443</v>
      </c>
      <c r="O21" s="10">
        <f>Tabella8[[#This Row],[Lombardy fit]]*NOT(ISBLANK(Tabella8[[#This Row],[Lombardy]]))</f>
        <v>174.27485208411443</v>
      </c>
      <c r="P21" s="10">
        <f>Tabella8[[#This Row],[Lombardy fit]]+CIr</f>
        <v>351.13452882949383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27">
        <f>(Ko^(1-po)-(1-po)*EXP(-(Tabella8[[#This Row],[Day]]-t0o)/wo))^(1/(1-po))</f>
        <v>58.784893041548919</v>
      </c>
      <c r="U21" s="27">
        <f>Tabella8[[#This Row],[rest of Italy fit]]*NOT(ISBLANK(Tabella8[[#This Row],[rest of Italy ]]))</f>
        <v>58.784893041548919</v>
      </c>
      <c r="V21" s="10">
        <f>Tabella8[[#This Row],[rest of Italy fit]]+CIo</f>
        <v>176.54659765157183</v>
      </c>
      <c r="W21" s="10">
        <f>MAX(Tabella8[[#This Row],[rest of Italy fit]]-CIo,0)</f>
        <v>0</v>
      </c>
      <c r="X21" s="1"/>
      <c r="Y21" s="17" t="s">
        <v>1</v>
      </c>
      <c r="Z21" s="35">
        <v>12.222911840993328</v>
      </c>
      <c r="AN21" s="53" t="b">
        <f>pr&gt;=0</f>
        <v>1</v>
      </c>
    </row>
    <row r="22" spans="2:40" x14ac:dyDescent="0.3">
      <c r="B22" s="9">
        <v>43899</v>
      </c>
      <c r="C22" s="4">
        <f t="shared" si="1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332.82101891594175</v>
      </c>
      <c r="G22" s="10">
        <f>Tabella8[[#This Row],[Italy sum]]*NOT(ISBLANK(Tabella8[[#This Row],[Italy cumulative]]))</f>
        <v>332.82101891594175</v>
      </c>
      <c r="H22" s="27">
        <f>(Kt^(1-pt)-(1-pt)*EXP(-(Tabella8[[#This Row],[Day]]-t0t)/wt))^(1/(1-pt))</f>
        <v>328.30114029938312</v>
      </c>
      <c r="I22" s="10">
        <f>Tabella8[[#This Row],[Italy fit]]*NOT(ISBLANK(Tabella8[[#This Row],[Italy cumulative]]))</f>
        <v>328.30114029938312</v>
      </c>
      <c r="J22" s="10">
        <f>Tabella8[[#This Row],[Italy sum]]+CI</f>
        <v>555.40031519869467</v>
      </c>
      <c r="K22" s="10">
        <f>MAX(Tabella8[[#This Row],[Italy sum]]-CI,0)</f>
        <v>110.24172263318877</v>
      </c>
      <c r="L22" s="86">
        <f t="shared" si="0"/>
        <v>333</v>
      </c>
      <c r="M22" s="10">
        <f>Tabella8[[#This Row],[Lombardy]]*NOT(ISBLANK(Tabella8[[#This Row],[Lombardy]]))</f>
        <v>333</v>
      </c>
      <c r="N22" s="27">
        <f>(Kr^(1-pr)-(1-pr)*EXP(-(Tabella8[[#This Row],[Day]]-t0r)/wr))^(1/(1-pr))</f>
        <v>245.69595043857078</v>
      </c>
      <c r="O22" s="10">
        <f>Tabella8[[#This Row],[Lombardy fit]]*NOT(ISBLANK(Tabella8[[#This Row],[Lombardy]]))</f>
        <v>245.69595043857078</v>
      </c>
      <c r="P22" s="10">
        <f>Tabella8[[#This Row],[Lombardy fit]]+CIr</f>
        <v>422.55562718395015</v>
      </c>
      <c r="Q22" s="10">
        <f>MAX(Tabella8[[#This Row],[Lombardy fit]]-CIr,0)</f>
        <v>68.836273693191373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27">
        <f>(Ko^(1-po)-(1-po)*EXP(-(Tabella8[[#This Row],[Day]]-t0o)/wo))^(1/(1-po))</f>
        <v>87.125068477370974</v>
      </c>
      <c r="U22" s="27">
        <f>Tabella8[[#This Row],[rest of Italy fit]]*NOT(ISBLANK(Tabella8[[#This Row],[rest of Italy ]]))</f>
        <v>87.125068477370974</v>
      </c>
      <c r="V22" s="10">
        <f>Tabella8[[#This Row],[rest of Italy fit]]+CIo</f>
        <v>204.88677308739386</v>
      </c>
      <c r="W22" s="10">
        <f>MAX(Tabella8[[#This Row],[rest of Italy fit]]-CIo,0)</f>
        <v>0</v>
      </c>
      <c r="X22" s="1"/>
      <c r="Y22" s="2" t="s">
        <v>2</v>
      </c>
      <c r="Z22" s="1">
        <f>AVERAGE(Tabella8[Lombardy])</f>
        <v>4155.8076923076924</v>
      </c>
      <c r="AN22" s="53">
        <f>{32767;32767;0.000001;0;FALSE;FALSE;FALSE;1;2;1;0.0001;TRUE}</f>
        <v>32767</v>
      </c>
    </row>
    <row r="23" spans="2:40" x14ac:dyDescent="0.3">
      <c r="B23" s="18">
        <v>43900</v>
      </c>
      <c r="C23" s="4">
        <f t="shared" si="1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462.68164373986792</v>
      </c>
      <c r="G23" s="10">
        <f>Tabella8[[#This Row],[Italy sum]]*NOT(ISBLANK(Tabella8[[#This Row],[Italy cumulative]]))</f>
        <v>462.68164373986792</v>
      </c>
      <c r="H23" s="27">
        <f>(Kt^(1-pt)-(1-pt)*EXP(-(Tabella8[[#This Row],[Day]]-t0t)/wt))^(1/(1-pt))</f>
        <v>456.95135780179771</v>
      </c>
      <c r="I23" s="10">
        <f>Tabella8[[#This Row],[Italy fit]]*NOT(ISBLANK(Tabella8[[#This Row],[Italy cumulative]]))</f>
        <v>456.95135780179771</v>
      </c>
      <c r="J23" s="10">
        <f>Tabella8[[#This Row],[Italy sum]]+CI</f>
        <v>685.26094002262084</v>
      </c>
      <c r="K23" s="10">
        <f>MAX(Tabella8[[#This Row],[Italy sum]]-CI,0)</f>
        <v>240.10234745711494</v>
      </c>
      <c r="L23" s="86">
        <f t="shared" si="0"/>
        <v>468</v>
      </c>
      <c r="M23" s="10">
        <f>Tabella8[[#This Row],[Lombardy]]*NOT(ISBLANK(Tabella8[[#This Row],[Lombardy]]))</f>
        <v>468</v>
      </c>
      <c r="N23" s="27">
        <f>(Kr^(1-pr)-(1-pr)*EXP(-(Tabella8[[#This Row],[Day]]-t0r)/wr))^(1/(1-pr))</f>
        <v>337.16580195251663</v>
      </c>
      <c r="O23" s="10">
        <f>Tabella8[[#This Row],[Lombardy fit]]*NOT(ISBLANK(Tabella8[[#This Row],[Lombardy]]))</f>
        <v>337.16580195251663</v>
      </c>
      <c r="P23" s="10">
        <f>Tabella8[[#This Row],[Lombardy fit]]+CIr</f>
        <v>514.02547869789601</v>
      </c>
      <c r="Q23" s="10">
        <f>MAX(Tabella8[[#This Row],[Lombardy fit]]-CIr,0)</f>
        <v>160.30612520713723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27">
        <f>(Ko^(1-po)-(1-po)*EXP(-(Tabella8[[#This Row],[Day]]-t0o)/wo))^(1/(1-po))</f>
        <v>125.51584178735126</v>
      </c>
      <c r="U23" s="27">
        <f>Tabella8[[#This Row],[rest of Italy fit]]*NOT(ISBLANK(Tabella8[[#This Row],[rest of Italy ]]))</f>
        <v>125.51584178735126</v>
      </c>
      <c r="V23" s="10">
        <f>Tabella8[[#This Row],[rest of Italy fit]]+CIo</f>
        <v>243.27754639737418</v>
      </c>
      <c r="W23" s="10">
        <f>MAX(Tabella8[[#This Row],[rest of Italy fit]]-CIo,0)</f>
        <v>7.7541371773283601</v>
      </c>
      <c r="X23" s="1"/>
      <c r="Y23" s="2" t="s">
        <v>3</v>
      </c>
      <c r="Z23" s="1">
        <f>COUNT(Tabella8[Lombardy])-COUNT(Z19:Z21,pr)</f>
        <v>48</v>
      </c>
      <c r="AN23" s="54">
        <f>{0;0;1;100;0;FALSE;FALSE;0.075;0;0;FALSE;30}</f>
        <v>0</v>
      </c>
    </row>
    <row r="24" spans="2:40" x14ac:dyDescent="0.3">
      <c r="B24" s="9">
        <v>43901</v>
      </c>
      <c r="C24" s="4">
        <f t="shared" si="1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627.45229449015733</v>
      </c>
      <c r="G24" s="10">
        <f>Tabella8[[#This Row],[Italy sum]]*NOT(ISBLANK(Tabella8[[#This Row],[Italy cumulative]]))</f>
        <v>627.45229449015733</v>
      </c>
      <c r="H24" s="27">
        <f>(Kt^(1-pt)-(1-pt)*EXP(-(Tabella8[[#This Row],[Day]]-t0t)/wt))^(1/(1-pt))</f>
        <v>620.49270118647723</v>
      </c>
      <c r="I24" s="10">
        <f>Tabella8[[#This Row],[Italy fit]]*NOT(ISBLANK(Tabella8[[#This Row],[Italy cumulative]]))</f>
        <v>620.49270118647723</v>
      </c>
      <c r="J24" s="10">
        <f>Tabella8[[#This Row],[Italy sum]]+CI</f>
        <v>850.03159077291025</v>
      </c>
      <c r="K24" s="10">
        <f>MAX(Tabella8[[#This Row],[Italy sum]]-CI,0)</f>
        <v>404.87299820740435</v>
      </c>
      <c r="L24" s="86">
        <f t="shared" si="0"/>
        <v>617</v>
      </c>
      <c r="M24" s="10">
        <f>Tabella8[[#This Row],[Lombardy]]*NOT(ISBLANK(Tabella8[[#This Row],[Lombardy]]))</f>
        <v>617</v>
      </c>
      <c r="N24" s="27">
        <f>(Kr^(1-pr)-(1-pr)*EXP(-(Tabella8[[#This Row],[Day]]-t0r)/wr))^(1/(1-pr))</f>
        <v>451.32749628607638</v>
      </c>
      <c r="O24" s="10">
        <f>Tabella8[[#This Row],[Lombardy fit]]*NOT(ISBLANK(Tabella8[[#This Row],[Lombardy]]))</f>
        <v>451.32749628607638</v>
      </c>
      <c r="P24" s="10">
        <f>Tabella8[[#This Row],[Lombardy fit]]+CIr</f>
        <v>628.18717303145581</v>
      </c>
      <c r="Q24" s="10">
        <f>MAX(Tabella8[[#This Row],[Lombardy fit]]-CIr,0)</f>
        <v>274.46781954069695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27">
        <f>(Ko^(1-po)-(1-po)*EXP(-(Tabella8[[#This Row],[Day]]-t0o)/wo))^(1/(1-po))</f>
        <v>176.124798204081</v>
      </c>
      <c r="U24" s="27">
        <f>Tabella8[[#This Row],[rest of Italy fit]]*NOT(ISBLANK(Tabella8[[#This Row],[rest of Italy ]]))</f>
        <v>176.124798204081</v>
      </c>
      <c r="V24" s="10">
        <f>Tabella8[[#This Row],[rest of Italy fit]]+CIo</f>
        <v>293.88650281410389</v>
      </c>
      <c r="W24" s="10">
        <f>MAX(Tabella8[[#This Row],[rest of Italy fit]]-CIo,0)</f>
        <v>58.3630935940581</v>
      </c>
      <c r="X24" s="1"/>
      <c r="Y24" s="2" t="s">
        <v>4</v>
      </c>
      <c r="Z24" s="6" cm="1">
        <f t="array" ref="Z24">SQRT(SUM((Tabella8[Colonna4]-Tabella8[Colonna5])^2)/dfr)</f>
        <v>87.962110509994872</v>
      </c>
      <c r="AN24" s="55"/>
    </row>
    <row r="25" spans="2:40" ht="16.2" x14ac:dyDescent="0.3">
      <c r="B25" s="18">
        <v>43902</v>
      </c>
      <c r="C25" s="4">
        <f t="shared" si="1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831.63640240769575</v>
      </c>
      <c r="G25" s="10">
        <f>Tabella8[[#This Row],[Italy sum]]*NOT(ISBLANK(Tabella8[[#This Row],[Italy cumulative]]))</f>
        <v>831.63640240769575</v>
      </c>
      <c r="H25" s="27">
        <f>(Kt^(1-pt)-(1-pt)*EXP(-(Tabella8[[#This Row],[Day]]-t0t)/wt))^(1/(1-pt))</f>
        <v>823.52050086264865</v>
      </c>
      <c r="I25" s="10">
        <f>Tabella8[[#This Row],[Italy fit]]*NOT(ISBLANK(Tabella8[[#This Row],[Italy cumulative]]))</f>
        <v>823.52050086264865</v>
      </c>
      <c r="J25" s="10">
        <f>Tabella8[[#This Row],[Italy sum]]+CI</f>
        <v>1054.2156986904488</v>
      </c>
      <c r="K25" s="10">
        <f>MAX(Tabella8[[#This Row],[Italy sum]]-CI,0)</f>
        <v>609.05710612494272</v>
      </c>
      <c r="L25" s="86">
        <f t="shared" si="0"/>
        <v>744</v>
      </c>
      <c r="M25" s="10">
        <f>Tabella8[[#This Row],[Lombardy]]*NOT(ISBLANK(Tabella8[[#This Row],[Lombardy]]))</f>
        <v>744</v>
      </c>
      <c r="N25" s="27">
        <f>(Kr^(1-pr)-(1-pr)*EXP(-(Tabella8[[#This Row],[Day]]-t0r)/wr))^(1/(1-pr))</f>
        <v>590.46072950560801</v>
      </c>
      <c r="O25" s="10">
        <f>Tabella8[[#This Row],[Lombardy fit]]*NOT(ISBLANK(Tabella8[[#This Row],[Lombardy]]))</f>
        <v>590.46072950560801</v>
      </c>
      <c r="P25" s="10">
        <f>Tabella8[[#This Row],[Lombardy fit]]+CIr</f>
        <v>767.32040625098739</v>
      </c>
      <c r="Q25" s="10">
        <f>MAX(Tabella8[[#This Row],[Lombardy fit]]-CIr,0)</f>
        <v>413.60105276022864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27">
        <f>(Ko^(1-po)-(1-po)*EXP(-(Tabella8[[#This Row],[Day]]-t0o)/wo))^(1/(1-po))</f>
        <v>241.17567290208774</v>
      </c>
      <c r="U25" s="27">
        <f>Tabella8[[#This Row],[rest of Italy fit]]*NOT(ISBLANK(Tabella8[[#This Row],[rest of Italy ]]))</f>
        <v>241.17567290208774</v>
      </c>
      <c r="V25" s="10">
        <f>Tabella8[[#This Row],[rest of Italy fit]]+CIo</f>
        <v>358.93737751211063</v>
      </c>
      <c r="W25" s="10">
        <f>MAX(Tabella8[[#This Row],[rest of Italy fit]]-CIo,0)</f>
        <v>123.41396829206484</v>
      </c>
      <c r="X25" s="1"/>
      <c r="Y25" s="2" t="s">
        <v>5</v>
      </c>
      <c r="Z25" s="7" cm="1">
        <f t="array" ref="Z25">1-SUM((Tabella8[Colonna4]-Tabella8[Colonna5])^2)/SUM((Tabella8[Colonna4]-Mean_of_yr)^2)</f>
        <v>0.99968229394222197</v>
      </c>
      <c r="AN25" s="56"/>
    </row>
    <row r="26" spans="2:40" x14ac:dyDescent="0.3">
      <c r="B26" s="9">
        <v>43903</v>
      </c>
      <c r="C26" s="4">
        <f t="shared" si="1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1079.2012064047926</v>
      </c>
      <c r="G26" s="10">
        <f>Tabella8[[#This Row],[Italy sum]]*NOT(ISBLANK(Tabella8[[#This Row],[Italy cumulative]]))</f>
        <v>1079.2012064047926</v>
      </c>
      <c r="H26" s="27">
        <f>(Kt^(1-pt)-(1-pt)*EXP(-(Tabella8[[#This Row],[Day]]-t0t)/wt))^(1/(1-pt))</f>
        <v>1070.1019798715083</v>
      </c>
      <c r="I26" s="10">
        <f>Tabella8[[#This Row],[Italy fit]]*NOT(ISBLANK(Tabella8[[#This Row],[Italy cumulative]]))</f>
        <v>1070.1019798715083</v>
      </c>
      <c r="J26" s="10">
        <f>Tabella8[[#This Row],[Italy sum]]+CI</f>
        <v>1301.7805026875455</v>
      </c>
      <c r="K26" s="10">
        <f>MAX(Tabella8[[#This Row],[Italy sum]]-CI,0)</f>
        <v>856.62191012203971</v>
      </c>
      <c r="L26" s="86">
        <f t="shared" si="0"/>
        <v>890</v>
      </c>
      <c r="M26" s="10">
        <f>Tabella8[[#This Row],[Lombardy]]*NOT(ISBLANK(Tabella8[[#This Row],[Lombardy]]))</f>
        <v>890</v>
      </c>
      <c r="N26" s="27">
        <f>(Kr^(1-pr)-(1-pr)*EXP(-(Tabella8[[#This Row],[Day]]-t0r)/wr))^(1/(1-pr))</f>
        <v>756.34991252635848</v>
      </c>
      <c r="O26" s="10">
        <f>Tabella8[[#This Row],[Lombardy fit]]*NOT(ISBLANK(Tabella8[[#This Row],[Lombardy]]))</f>
        <v>756.34991252635848</v>
      </c>
      <c r="P26" s="10">
        <f>Tabella8[[#This Row],[Lombardy fit]]+CIr</f>
        <v>933.20958927173785</v>
      </c>
      <c r="Q26" s="10">
        <f>MAX(Tabella8[[#This Row],[Lombardy fit]]-CIr,0)</f>
        <v>579.49023578097911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27">
        <f>(Ko^(1-po)-(1-po)*EXP(-(Tabella8[[#This Row],[Day]]-t0o)/wo))^(1/(1-po))</f>
        <v>322.85129387843426</v>
      </c>
      <c r="U26" s="27">
        <f>Tabella8[[#This Row],[rest of Italy fit]]*NOT(ISBLANK(Tabella8[[#This Row],[rest of Italy ]]))</f>
        <v>322.85129387843426</v>
      </c>
      <c r="V26" s="10">
        <f>Tabella8[[#This Row],[rest of Italy fit]]+CIo</f>
        <v>440.61299848845715</v>
      </c>
      <c r="W26" s="10">
        <f>MAX(Tabella8[[#This Row],[rest of Italy fit]]-CIo,0)</f>
        <v>205.08958926841137</v>
      </c>
      <c r="X26" s="1"/>
      <c r="Y26" s="2" t="s">
        <v>6</v>
      </c>
      <c r="Z26" s="7">
        <f>TINV(0.05,dfr)</f>
        <v>2.0106347576242314</v>
      </c>
      <c r="AN26" s="56"/>
    </row>
    <row r="27" spans="2:40" ht="15" thickBot="1" x14ac:dyDescent="0.35">
      <c r="B27" s="9">
        <v>43904</v>
      </c>
      <c r="C27" s="4">
        <f t="shared" si="1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1373.3748566728486</v>
      </c>
      <c r="G27" s="10">
        <f>Tabella8[[#This Row],[Italy sum]]*NOT(ISBLANK(Tabella8[[#This Row],[Italy cumulative]]))</f>
        <v>1373.3748566728486</v>
      </c>
      <c r="H27" s="27">
        <f>(Kt^(1-pt)-(1-pt)*EXP(-(Tabella8[[#This Row],[Day]]-t0t)/wt))^(1/(1-pt))</f>
        <v>1363.5638189931019</v>
      </c>
      <c r="I27" s="10">
        <f>Tabella8[[#This Row],[Italy fit]]*NOT(ISBLANK(Tabella8[[#This Row],[Italy cumulative]]))</f>
        <v>1363.5638189931019</v>
      </c>
      <c r="J27" s="10">
        <f>Tabella8[[#This Row],[Italy sum]]+CI</f>
        <v>1595.9541529556016</v>
      </c>
      <c r="K27" s="10">
        <f>MAX(Tabella8[[#This Row],[Italy sum]]-CI,0)</f>
        <v>1150.7955603900957</v>
      </c>
      <c r="L27" s="86">
        <f t="shared" si="0"/>
        <v>966</v>
      </c>
      <c r="M27" s="10">
        <f>Tabella8[[#This Row],[Lombardy]]*NOT(ISBLANK(Tabella8[[#This Row],[Lombardy]]))</f>
        <v>966</v>
      </c>
      <c r="N27" s="27">
        <f>(Kr^(1-pr)-(1-pr)*EXP(-(Tabella8[[#This Row],[Day]]-t0r)/wr))^(1/(1-pr))</f>
        <v>950.18284968426838</v>
      </c>
      <c r="O27" s="10">
        <f>Tabella8[[#This Row],[Lombardy fit]]*NOT(ISBLANK(Tabella8[[#This Row],[Lombardy]]))</f>
        <v>950.18284968426838</v>
      </c>
      <c r="P27" s="10">
        <f>Tabella8[[#This Row],[Lombardy fit]]+CIr</f>
        <v>1127.0425264296478</v>
      </c>
      <c r="Q27" s="10">
        <f>MAX(Tabella8[[#This Row],[Lombardy fit]]-CIr,0)</f>
        <v>773.323172938889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27">
        <f>(Ko^(1-po)-(1-po)*EXP(-(Tabella8[[#This Row],[Day]]-t0o)/wo))^(1/(1-po))</f>
        <v>423.19200698858015</v>
      </c>
      <c r="U27" s="27">
        <f>Tabella8[[#This Row],[rest of Italy fit]]*NOT(ISBLANK(Tabella8[[#This Row],[rest of Italy ]]))</f>
        <v>423.19200698858015</v>
      </c>
      <c r="V27" s="10">
        <f>Tabella8[[#This Row],[rest of Italy fit]]+CIo</f>
        <v>540.95371159860304</v>
      </c>
      <c r="W27" s="10">
        <f>MAX(Tabella8[[#This Row],[rest of Italy fit]]-CIo,0)</f>
        <v>305.43030237855726</v>
      </c>
      <c r="X27" s="1"/>
      <c r="Y27" s="2" t="s">
        <v>7</v>
      </c>
      <c r="Z27" s="1">
        <f>Critical_tr*SE_of_yr</f>
        <v>176.8596767453794</v>
      </c>
      <c r="AN27" s="57"/>
    </row>
    <row r="28" spans="2:40" ht="15" thickTop="1" x14ac:dyDescent="0.3">
      <c r="B28" s="9">
        <v>43905</v>
      </c>
      <c r="C28" s="4">
        <f t="shared" si="1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1716.4841492943349</v>
      </c>
      <c r="G28" s="10">
        <f>Tabella8[[#This Row],[Italy sum]]*NOT(ISBLANK(Tabella8[[#This Row],[Italy cumulative]]))</f>
        <v>1716.4841492943349</v>
      </c>
      <c r="H28" s="27">
        <f>(Kt^(1-pt)-(1-pt)*EXP(-(Tabella8[[#This Row],[Day]]-t0t)/wt))^(1/(1-pt))</f>
        <v>1706.3202683365648</v>
      </c>
      <c r="I28" s="10">
        <f>Tabella8[[#This Row],[Italy fit]]*NOT(ISBLANK(Tabella8[[#This Row],[Italy cumulative]]))</f>
        <v>1706.3202683365648</v>
      </c>
      <c r="J28" s="10">
        <f>Tabella8[[#This Row],[Italy sum]]+CI</f>
        <v>1939.0634455770878</v>
      </c>
      <c r="K28" s="10">
        <f>MAX(Tabella8[[#This Row],[Italy sum]]-CI,0)</f>
        <v>1493.904853011582</v>
      </c>
      <c r="L28" s="86">
        <f t="shared" si="0"/>
        <v>1218</v>
      </c>
      <c r="M28" s="10">
        <f>Tabella8[[#This Row],[Lombardy]]*NOT(ISBLANK(Tabella8[[#This Row],[Lombardy]]))</f>
        <v>1218</v>
      </c>
      <c r="N28" s="27">
        <f>(Kr^(1-pr)-(1-pr)*EXP(-(Tabella8[[#This Row],[Day]]-t0r)/wr))^(1/(1-pr))</f>
        <v>1172.4866076488083</v>
      </c>
      <c r="O28" s="10">
        <f>Tabella8[[#This Row],[Lombardy fit]]*NOT(ISBLANK(Tabella8[[#This Row],[Lombardy]]))</f>
        <v>1172.4866076488083</v>
      </c>
      <c r="P28" s="10">
        <f>Tabella8[[#This Row],[Lombardy fit]]+CIr</f>
        <v>1349.3462843941877</v>
      </c>
      <c r="Q28" s="10">
        <f>MAX(Tabella8[[#This Row],[Lombardy fit]]-CIr,0)</f>
        <v>995.62693090342896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27">
        <f>(Ko^(1-po)-(1-po)*EXP(-(Tabella8[[#This Row],[Day]]-t0o)/wo))^(1/(1-po))</f>
        <v>543.99754164552655</v>
      </c>
      <c r="U28" s="27">
        <f>Tabella8[[#This Row],[rest of Italy fit]]*NOT(ISBLANK(Tabella8[[#This Row],[rest of Italy ]]))</f>
        <v>543.99754164552655</v>
      </c>
      <c r="V28" s="10">
        <f>Tabella8[[#This Row],[rest of Italy fit]]+CIo</f>
        <v>661.75924625554944</v>
      </c>
      <c r="W28" s="10">
        <f>MAX(Tabella8[[#This Row],[rest of Italy fit]]-CIo,0)</f>
        <v>426.23583703550366</v>
      </c>
      <c r="X28" s="1"/>
      <c r="Y28" s="17" t="s">
        <v>151</v>
      </c>
      <c r="Z28" s="35">
        <v>0.99999899999999997</v>
      </c>
      <c r="AN28" s="58">
        <f>MAX($Z$36)</f>
        <v>0.99979316115798567</v>
      </c>
    </row>
    <row r="29" spans="2:40" x14ac:dyDescent="0.3">
      <c r="B29" s="9">
        <v>43906</v>
      </c>
      <c r="C29" s="4">
        <f t="shared" si="1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2109.8426791032944</v>
      </c>
      <c r="G29" s="10">
        <f>Tabella8[[#This Row],[Italy sum]]*NOT(ISBLANK(Tabella8[[#This Row],[Italy cumulative]]))</f>
        <v>2109.8426791032944</v>
      </c>
      <c r="H29" s="27">
        <f>(Kt^(1-pt)-(1-pt)*EXP(-(Tabella8[[#This Row],[Day]]-t0t)/wt))^(1/(1-pt))</f>
        <v>2099.7527967065939</v>
      </c>
      <c r="I29" s="10">
        <f>Tabella8[[#This Row],[Italy fit]]*NOT(ISBLANK(Tabella8[[#This Row],[Italy cumulative]]))</f>
        <v>2099.7527967065939</v>
      </c>
      <c r="J29" s="10">
        <f>Tabella8[[#This Row],[Italy sum]]+CI</f>
        <v>2332.4219753860475</v>
      </c>
      <c r="K29" s="10">
        <f>MAX(Tabella8[[#This Row],[Italy sum]]-CI,0)</f>
        <v>1887.2633828205414</v>
      </c>
      <c r="L29" s="86">
        <f t="shared" si="0"/>
        <v>1420</v>
      </c>
      <c r="M29" s="10">
        <f>Tabella8[[#This Row],[Lombardy]]*NOT(ISBLANK(Tabella8[[#This Row],[Lombardy]]))</f>
        <v>1420</v>
      </c>
      <c r="N29" s="27">
        <f>(Kr^(1-pr)-(1-pr)*EXP(-(Tabella8[[#This Row],[Day]]-t0r)/wr))^(1/(1-pr))</f>
        <v>1423.1030022183588</v>
      </c>
      <c r="O29" s="10">
        <f>Tabella8[[#This Row],[Lombardy fit]]*NOT(ISBLANK(Tabella8[[#This Row],[Lombardy]]))</f>
        <v>1423.1030022183588</v>
      </c>
      <c r="P29" s="10">
        <f>Tabella8[[#This Row],[Lombardy fit]]+CIr</f>
        <v>1599.9626789637382</v>
      </c>
      <c r="Q29" s="10">
        <f>MAX(Tabella8[[#This Row],[Lombardy fit]]-CIr,0)</f>
        <v>1246.2433254729794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27">
        <f>(Ko^(1-po)-(1-po)*EXP(-(Tabella8[[#This Row],[Day]]-t0o)/wo))^(1/(1-po))</f>
        <v>686.73967688493553</v>
      </c>
      <c r="U29" s="27">
        <f>Tabella8[[#This Row],[rest of Italy fit]]*NOT(ISBLANK(Tabella8[[#This Row],[rest of Italy ]]))</f>
        <v>686.73967688493553</v>
      </c>
      <c r="V29" s="10">
        <f>Tabella8[[#This Row],[rest of Italy fit]]+CIo</f>
        <v>804.50138149495842</v>
      </c>
      <c r="W29" s="10">
        <f>MAX(Tabella8[[#This Row],[rest of Italy fit]]-CIo,0)</f>
        <v>568.97797227491264</v>
      </c>
      <c r="X29" s="1"/>
      <c r="Y29" s="36" t="s">
        <v>85</v>
      </c>
      <c r="Z29" s="37" t="s">
        <v>138</v>
      </c>
      <c r="AN29" s="59">
        <f>COUNT($Z$30,$Z$31,$Z$32,$Z$39)</f>
        <v>4</v>
      </c>
    </row>
    <row r="30" spans="2:40" x14ac:dyDescent="0.3">
      <c r="B30" s="9">
        <v>43907</v>
      </c>
      <c r="C30" s="4">
        <f t="shared" si="1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2553.6939464476868</v>
      </c>
      <c r="G30" s="10">
        <f>Tabella8[[#This Row],[Italy sum]]*NOT(ISBLANK(Tabella8[[#This Row],[Italy cumulative]]))</f>
        <v>2553.6939464476868</v>
      </c>
      <c r="H30" s="27">
        <f>(Kt^(1-pt)-(1-pt)*EXP(-(Tabella8[[#This Row],[Day]]-t0t)/wt))^(1/(1-pt))</f>
        <v>2544.1467728765506</v>
      </c>
      <c r="I30" s="10">
        <f>Tabella8[[#This Row],[Italy fit]]*NOT(ISBLANK(Tabella8[[#This Row],[Italy cumulative]]))</f>
        <v>2544.1467728765506</v>
      </c>
      <c r="J30" s="10">
        <f>Tabella8[[#This Row],[Italy sum]]+CI</f>
        <v>2776.27324273044</v>
      </c>
      <c r="K30" s="10">
        <f>MAX(Tabella8[[#This Row],[Italy sum]]-CI,0)</f>
        <v>2331.1146501649337</v>
      </c>
      <c r="L30" s="86">
        <f t="shared" si="0"/>
        <v>1640</v>
      </c>
      <c r="M30" s="10">
        <f>Tabella8[[#This Row],[Lombardy]]*NOT(ISBLANK(Tabella8[[#This Row],[Lombardy]]))</f>
        <v>1640</v>
      </c>
      <c r="N30" s="27">
        <f>(Kr^(1-pr)-(1-pr)*EXP(-(Tabella8[[#This Row],[Day]]-t0r)/wr))^(1/(1-pr))</f>
        <v>1701.2022471158261</v>
      </c>
      <c r="O30" s="10">
        <f>Tabella8[[#This Row],[Lombardy fit]]*NOT(ISBLANK(Tabella8[[#This Row],[Lombardy]]))</f>
        <v>1701.2022471158261</v>
      </c>
      <c r="P30" s="10">
        <f>Tabella8[[#This Row],[Lombardy fit]]+CIr</f>
        <v>1878.0619238612055</v>
      </c>
      <c r="Q30" s="10">
        <f>MAX(Tabella8[[#This Row],[Lombardy fit]]-CIr,0)</f>
        <v>1524.3425703704468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27">
        <f>(Ko^(1-po)-(1-po)*EXP(-(Tabella8[[#This Row],[Day]]-t0o)/wo))^(1/(1-po))</f>
        <v>852.49169933186079</v>
      </c>
      <c r="U30" s="27">
        <f>Tabella8[[#This Row],[rest of Italy fit]]*NOT(ISBLANK(Tabella8[[#This Row],[rest of Italy ]]))</f>
        <v>852.49169933186079</v>
      </c>
      <c r="V30" s="10">
        <f>Tabella8[[#This Row],[rest of Italy fit]]+CIo</f>
        <v>970.25340394188368</v>
      </c>
      <c r="W30" s="10">
        <f>MAX(Tabella8[[#This Row],[rest of Italy fit]]-CIo,0)</f>
        <v>734.7299947218379</v>
      </c>
      <c r="X30" s="1"/>
      <c r="Y30" s="17" t="s">
        <v>0</v>
      </c>
      <c r="Z30" s="5">
        <v>13770.329242769869</v>
      </c>
      <c r="AN30" s="59" t="b">
        <f>po&lt;=0.999999</f>
        <v>1</v>
      </c>
    </row>
    <row r="31" spans="2:40" ht="15.6" x14ac:dyDescent="0.35">
      <c r="B31" s="9">
        <v>43908</v>
      </c>
      <c r="C31" s="4">
        <f t="shared" si="1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3047.2089993216582</v>
      </c>
      <c r="G31" s="10">
        <f>Tabella8[[#This Row],[Italy sum]]*NOT(ISBLANK(Tabella8[[#This Row],[Italy cumulative]]))</f>
        <v>3047.2089993216582</v>
      </c>
      <c r="H31" s="27">
        <f>(Kt^(1-pt)-(1-pt)*EXP(-(Tabella8[[#This Row],[Day]]-t0t)/wt))^(1/(1-pt))</f>
        <v>3038.6853175192023</v>
      </c>
      <c r="I31" s="10">
        <f>Tabella8[[#This Row],[Italy fit]]*NOT(ISBLANK(Tabella8[[#This Row],[Italy cumulative]]))</f>
        <v>3038.6853175192023</v>
      </c>
      <c r="J31" s="10">
        <f>Tabella8[[#This Row],[Italy sum]]+CI</f>
        <v>3269.7882956044114</v>
      </c>
      <c r="K31" s="10">
        <f>MAX(Tabella8[[#This Row],[Italy sum]]-CI,0)</f>
        <v>2824.6297030389051</v>
      </c>
      <c r="L31" s="86">
        <f t="shared" si="0"/>
        <v>1959</v>
      </c>
      <c r="M31" s="10">
        <f>Tabella8[[#This Row],[Lombardy]]*NOT(ISBLANK(Tabella8[[#This Row],[Lombardy]]))</f>
        <v>1959</v>
      </c>
      <c r="N31" s="27">
        <f>(Kr^(1-pr)-(1-pr)*EXP(-(Tabella8[[#This Row],[Day]]-t0r)/wr))^(1/(1-pr))</f>
        <v>2005.3302118002534</v>
      </c>
      <c r="O31" s="10">
        <f>Tabella8[[#This Row],[Lombardy fit]]*NOT(ISBLANK(Tabella8[[#This Row],[Lombardy]]))</f>
        <v>2005.3302118002534</v>
      </c>
      <c r="P31" s="10">
        <f>Tabella8[[#This Row],[Lombardy fit]]+CIr</f>
        <v>2182.189888545633</v>
      </c>
      <c r="Q31" s="10">
        <f>MAX(Tabella8[[#This Row],[Lombardy fit]]-CIr,0)</f>
        <v>1828.4705350548741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27">
        <f>(Ko^(1-po)-(1-po)*EXP(-(Tabella8[[#This Row],[Day]]-t0o)/wo))^(1/(1-po))</f>
        <v>1041.8787875214048</v>
      </c>
      <c r="U31" s="27">
        <f>Tabella8[[#This Row],[rest of Italy fit]]*NOT(ISBLANK(Tabella8[[#This Row],[rest of Italy ]]))</f>
        <v>1041.8787875214048</v>
      </c>
      <c r="V31" s="10">
        <f>Tabella8[[#This Row],[rest of Italy fit]]+CIo</f>
        <v>1159.6404921314277</v>
      </c>
      <c r="W31" s="10">
        <f>MAX(Tabella8[[#This Row],[rest of Italy fit]]-CIo,0)</f>
        <v>924.11708291138189</v>
      </c>
      <c r="Y31" s="17" t="s">
        <v>24</v>
      </c>
      <c r="Z31" s="35">
        <v>35.671726036279956</v>
      </c>
      <c r="AC31" s="1"/>
      <c r="AN31" s="59" t="b">
        <f>po&gt;=0</f>
        <v>1</v>
      </c>
    </row>
    <row r="32" spans="2:40" x14ac:dyDescent="0.3">
      <c r="B32" s="9">
        <v>43909</v>
      </c>
      <c r="C32" s="4">
        <f t="shared" si="1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3588.5339753383187</v>
      </c>
      <c r="G32" s="10">
        <f>Tabella8[[#This Row],[Italy sum]]*NOT(ISBLANK(Tabella8[[#This Row],[Italy cumulative]]))</f>
        <v>3588.5339753383187</v>
      </c>
      <c r="H32" s="27">
        <f>(Kt^(1-pt)-(1-pt)*EXP(-(Tabella8[[#This Row],[Day]]-t0t)/wt))^(1/(1-pt))</f>
        <v>3581.4958853207172</v>
      </c>
      <c r="I32" s="10">
        <f>Tabella8[[#This Row],[Italy fit]]*NOT(ISBLANK(Tabella8[[#This Row],[Italy cumulative]]))</f>
        <v>3581.4958853207172</v>
      </c>
      <c r="J32" s="10">
        <f>Tabella8[[#This Row],[Italy sum]]+CI</f>
        <v>3811.1132716210718</v>
      </c>
      <c r="K32" s="10">
        <f>MAX(Tabella8[[#This Row],[Italy sum]]-CI,0)</f>
        <v>3365.9546790555655</v>
      </c>
      <c r="L32" s="86">
        <f t="shared" si="0"/>
        <v>2168</v>
      </c>
      <c r="M32" s="10">
        <f>Tabella8[[#This Row],[Lombardy]]*NOT(ISBLANK(Tabella8[[#This Row],[Lombardy]]))</f>
        <v>2168</v>
      </c>
      <c r="N32" s="27">
        <f>(Kr^(1-pr)-(1-pr)*EXP(-(Tabella8[[#This Row],[Day]]-t0r)/wr))^(1/(1-pr))</f>
        <v>2333.4825912275446</v>
      </c>
      <c r="O32" s="10">
        <f>Tabella8[[#This Row],[Lombardy fit]]*NOT(ISBLANK(Tabella8[[#This Row],[Lombardy]]))</f>
        <v>2333.4825912275446</v>
      </c>
      <c r="P32" s="10">
        <f>Tabella8[[#This Row],[Lombardy fit]]+CIr</f>
        <v>2510.3422679729242</v>
      </c>
      <c r="Q32" s="10">
        <f>MAX(Tabella8[[#This Row],[Lombardy fit]]-CIr,0)</f>
        <v>2156.622914482165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27">
        <f>(Ko^(1-po)-(1-po)*EXP(-(Tabella8[[#This Row],[Day]]-t0o)/wo))^(1/(1-po))</f>
        <v>1255.0513841107741</v>
      </c>
      <c r="U32" s="27">
        <f>Tabella8[[#This Row],[rest of Italy fit]]*NOT(ISBLANK(Tabella8[[#This Row],[rest of Italy ]]))</f>
        <v>1255.0513841107741</v>
      </c>
      <c r="V32" s="10">
        <f>Tabella8[[#This Row],[rest of Italy fit]]+CIo</f>
        <v>1372.8130887207969</v>
      </c>
      <c r="W32" s="10">
        <f>MAX(Tabella8[[#This Row],[rest of Italy fit]]-CIo,0)</f>
        <v>1137.2896795007512</v>
      </c>
      <c r="Y32" s="17" t="s">
        <v>1</v>
      </c>
      <c r="Z32" s="35">
        <v>13.361510987660298</v>
      </c>
      <c r="AN32" s="59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1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4174.8798381357956</v>
      </c>
      <c r="G33" s="10">
        <f>Tabella8[[#This Row],[Italy sum]]*NOT(ISBLANK(Tabella8[[#This Row],[Italy cumulative]]))</f>
        <v>4174.8798381357956</v>
      </c>
      <c r="H33" s="27">
        <f>(Kt^(1-pt)-(1-pt)*EXP(-(Tabella8[[#This Row],[Day]]-t0t)/wt))^(1/(1-pt))</f>
        <v>4169.741663428963</v>
      </c>
      <c r="I33" s="10">
        <f>Tabella8[[#This Row],[Italy fit]]*NOT(ISBLANK(Tabella8[[#This Row],[Italy cumulative]]))</f>
        <v>4169.741663428963</v>
      </c>
      <c r="J33" s="10">
        <f>Tabella8[[#This Row],[Italy sum]]+CI</f>
        <v>4397.4591344185483</v>
      </c>
      <c r="K33" s="10">
        <f>MAX(Tabella8[[#This Row],[Italy sum]]-CI,0)</f>
        <v>3952.3005418530424</v>
      </c>
      <c r="L33" s="86">
        <f t="shared" si="0"/>
        <v>2549</v>
      </c>
      <c r="M33" s="10">
        <f>Tabella8[[#This Row],[Lombardy]]*NOT(ISBLANK(Tabella8[[#This Row],[Lombardy]]))</f>
        <v>2549</v>
      </c>
      <c r="N33" s="27">
        <f>(Kr^(1-pr)-(1-pr)*EXP(-(Tabella8[[#This Row],[Day]]-t0r)/wr))^(1/(1-pr))</f>
        <v>2683.1982117887846</v>
      </c>
      <c r="O33" s="10">
        <f>Tabella8[[#This Row],[Lombardy fit]]*NOT(ISBLANK(Tabella8[[#This Row],[Lombardy]]))</f>
        <v>2683.1982117887846</v>
      </c>
      <c r="P33" s="10">
        <f>Tabella8[[#This Row],[Lombardy fit]]+CIr</f>
        <v>2860.0578885341642</v>
      </c>
      <c r="Q33" s="10">
        <f>MAX(Tabella8[[#This Row],[Lombardy fit]]-CIr,0)</f>
        <v>2506.338535043405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27">
        <f>(Ko^(1-po)-(1-po)*EXP(-(Tabella8[[#This Row],[Day]]-t0o)/wo))^(1/(1-po))</f>
        <v>1491.6816263470114</v>
      </c>
      <c r="U33" s="27">
        <f>Tabella8[[#This Row],[rest of Italy fit]]*NOT(ISBLANK(Tabella8[[#This Row],[rest of Italy ]]))</f>
        <v>1491.6816263470114</v>
      </c>
      <c r="V33" s="10">
        <f>Tabella8[[#This Row],[rest of Italy fit]]+CIo</f>
        <v>1609.4433309570343</v>
      </c>
      <c r="W33" s="10">
        <f>MAX(Tabella8[[#This Row],[rest of Italy fit]]-CIo,0)</f>
        <v>1373.9199217369885</v>
      </c>
      <c r="Y33" s="2" t="s">
        <v>2</v>
      </c>
      <c r="Z33" s="1">
        <f>AVERAGE(Tabella8[[rest of Italy ]])</f>
        <v>3164.4423076923076</v>
      </c>
      <c r="AN33" s="60">
        <f>{0;0;1;100;0;FALSE;FALSE;0.075;0;0;FALSE;30}</f>
        <v>0</v>
      </c>
    </row>
    <row r="34" spans="2:40" x14ac:dyDescent="0.3">
      <c r="B34" s="9">
        <v>43911</v>
      </c>
      <c r="C34" s="4">
        <f t="shared" si="1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4802.6446665718704</v>
      </c>
      <c r="G34" s="10">
        <f>Tabella8[[#This Row],[Italy sum]]*NOT(ISBLANK(Tabella8[[#This Row],[Italy cumulative]]))</f>
        <v>4802.6446665718704</v>
      </c>
      <c r="H34" s="27">
        <f>(Kt^(1-pt)-(1-pt)*EXP(-(Tabella8[[#This Row],[Day]]-t0t)/wt))^(1/(1-pt))</f>
        <v>4799.7477203183344</v>
      </c>
      <c r="I34" s="10">
        <f>Tabella8[[#This Row],[Italy fit]]*NOT(ISBLANK(Tabella8[[#This Row],[Italy cumulative]]))</f>
        <v>4799.7477203183344</v>
      </c>
      <c r="J34" s="10">
        <f>Tabella8[[#This Row],[Italy sum]]+CI</f>
        <v>5025.2239628546231</v>
      </c>
      <c r="K34" s="10">
        <f>MAX(Tabella8[[#This Row],[Italy sum]]-CI,0)</f>
        <v>4580.0653702891177</v>
      </c>
      <c r="L34" s="86">
        <f t="shared" si="0"/>
        <v>3095</v>
      </c>
      <c r="M34" s="10">
        <f>Tabella8[[#This Row],[Lombardy]]*NOT(ISBLANK(Tabella8[[#This Row],[Lombardy]]))</f>
        <v>3095</v>
      </c>
      <c r="N34" s="27">
        <f>(Kr^(1-pr)-(1-pr)*EXP(-(Tabella8[[#This Row],[Day]]-t0r)/wr))^(1/(1-pr))</f>
        <v>3051.6635015287461</v>
      </c>
      <c r="O34" s="10">
        <f>Tabella8[[#This Row],[Lombardy fit]]*NOT(ISBLANK(Tabella8[[#This Row],[Lombardy]]))</f>
        <v>3051.6635015287461</v>
      </c>
      <c r="P34" s="10">
        <f>Tabella8[[#This Row],[Lombardy fit]]+CIr</f>
        <v>3228.5231782741257</v>
      </c>
      <c r="Q34" s="10">
        <f>MAX(Tabella8[[#This Row],[Lombardy fit]]-CIr,0)</f>
        <v>2874.8038247833665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27">
        <f>(Ko^(1-po)-(1-po)*EXP(-(Tabella8[[#This Row],[Day]]-t0o)/wo))^(1/(1-po))</f>
        <v>1750.9811650431247</v>
      </c>
      <c r="U34" s="27">
        <f>Tabella8[[#This Row],[rest of Italy fit]]*NOT(ISBLANK(Tabella8[[#This Row],[rest of Italy ]]))</f>
        <v>1750.9811650431247</v>
      </c>
      <c r="V34" s="10">
        <f>Tabella8[[#This Row],[rest of Italy fit]]+CIo</f>
        <v>1868.7428696531476</v>
      </c>
      <c r="W34" s="10">
        <f>MAX(Tabella8[[#This Row],[rest of Italy fit]]-CIo,0)</f>
        <v>1633.2194604331019</v>
      </c>
      <c r="Y34" s="2" t="s">
        <v>3</v>
      </c>
      <c r="Z34" s="1">
        <f>COUNT(Tabella8[[rest of Italy ]])-COUNT(Z30:Z32,po)</f>
        <v>48</v>
      </c>
      <c r="AN34" s="56"/>
    </row>
    <row r="35" spans="2:40" x14ac:dyDescent="0.3">
      <c r="B35" s="9">
        <v>43912</v>
      </c>
      <c r="C35" s="4">
        <f t="shared" si="1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5467.5581206748338</v>
      </c>
      <c r="G35" s="10">
        <f>Tabella8[[#This Row],[Italy sum]]*NOT(ISBLANK(Tabella8[[#This Row],[Italy cumulative]]))</f>
        <v>5467.5581206748338</v>
      </c>
      <c r="H35" s="27">
        <f>(Kt^(1-pt)-(1-pt)*EXP(-(Tabella8[[#This Row],[Day]]-t0t)/wt))^(1/(1-pt))</f>
        <v>5467.1508992014024</v>
      </c>
      <c r="I35" s="10">
        <f>Tabella8[[#This Row],[Italy fit]]*NOT(ISBLANK(Tabella8[[#This Row],[Italy cumulative]]))</f>
        <v>5467.1508992014024</v>
      </c>
      <c r="J35" s="10">
        <f>Tabella8[[#This Row],[Italy sum]]+CI</f>
        <v>5690.1374169575865</v>
      </c>
      <c r="K35" s="10">
        <f>MAX(Tabella8[[#This Row],[Italy sum]]-CI,0)</f>
        <v>5244.9788243920812</v>
      </c>
      <c r="L35" s="86">
        <f t="shared" si="0"/>
        <v>3456</v>
      </c>
      <c r="M35" s="10">
        <f>Tabella8[[#This Row],[Lombardy]]*NOT(ISBLANK(Tabella8[[#This Row],[Lombardy]]))</f>
        <v>3456</v>
      </c>
      <c r="N35" s="27">
        <f>(Kr^(1-pr)-(1-pr)*EXP(-(Tabella8[[#This Row],[Day]]-t0r)/wr))^(1/(1-pr))</f>
        <v>3435.8207244696523</v>
      </c>
      <c r="O35" s="10">
        <f>Tabella8[[#This Row],[Lombardy fit]]*NOT(ISBLANK(Tabella8[[#This Row],[Lombardy]]))</f>
        <v>3435.8207244696523</v>
      </c>
      <c r="P35" s="10">
        <f>Tabella8[[#This Row],[Lombardy fit]]+CIr</f>
        <v>3612.6804012150319</v>
      </c>
      <c r="Q35" s="10">
        <f>MAX(Tabella8[[#This Row],[Lombardy fit]]-CIr,0)</f>
        <v>3258.9610477242727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27">
        <f>(Ko^(1-po)-(1-po)*EXP(-(Tabella8[[#This Row],[Day]]-t0o)/wo))^(1/(1-po))</f>
        <v>2031.7373962051818</v>
      </c>
      <c r="U35" s="27">
        <f>Tabella8[[#This Row],[rest of Italy fit]]*NOT(ISBLANK(Tabella8[[#This Row],[rest of Italy ]]))</f>
        <v>2031.7373962051818</v>
      </c>
      <c r="V35" s="10">
        <f>Tabella8[[#This Row],[rest of Italy fit]]+CIo</f>
        <v>2149.4991008152047</v>
      </c>
      <c r="W35" s="10">
        <f>MAX(Tabella8[[#This Row],[rest of Italy fit]]-CIo,0)</f>
        <v>1913.9756915951589</v>
      </c>
      <c r="Y35" s="2" t="s">
        <v>4</v>
      </c>
      <c r="Z35" s="6" cm="1">
        <f t="array" ref="Z35">SQRT(SUM((Tabella8[Colonna6]-Tabella8[Colonna7])^2)/dfo)</f>
        <v>58.569416530514118</v>
      </c>
      <c r="AN35" s="56"/>
    </row>
    <row r="36" spans="2:40" ht="16.2" x14ac:dyDescent="0.3">
      <c r="B36" s="18">
        <v>43913</v>
      </c>
      <c r="C36" s="4">
        <f t="shared" si="1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6164.8378937844245</v>
      </c>
      <c r="G36" s="10">
        <f>Tabella8[[#This Row],[Italy sum]]*NOT(ISBLANK(Tabella8[[#This Row],[Italy cumulative]]))</f>
        <v>6164.8378937844245</v>
      </c>
      <c r="H36" s="27">
        <f>(Kt^(1-pt)-(1-pt)*EXP(-(Tabella8[[#This Row],[Day]]-t0t)/wt))^(1/(1-pt))</f>
        <v>6167.0625938768517</v>
      </c>
      <c r="I36" s="10">
        <f>Tabella8[[#This Row],[Italy fit]]*NOT(ISBLANK(Tabella8[[#This Row],[Italy cumulative]]))</f>
        <v>6167.0625938768517</v>
      </c>
      <c r="J36" s="10">
        <f>Tabella8[[#This Row],[Italy sum]]+CI</f>
        <v>6387.4171900671772</v>
      </c>
      <c r="K36" s="10">
        <f>MAX(Tabella8[[#This Row],[Italy sum]]-CI,0)</f>
        <v>5942.2585975016718</v>
      </c>
      <c r="L36" s="86">
        <f t="shared" si="0"/>
        <v>3776</v>
      </c>
      <c r="M36" s="10">
        <f>Tabella8[[#This Row],[Lombardy]]*NOT(ISBLANK(Tabella8[[#This Row],[Lombardy]]))</f>
        <v>3776</v>
      </c>
      <c r="N36" s="27">
        <f>(Kr^(1-pr)-(1-pr)*EXP(-(Tabella8[[#This Row],[Day]]-t0r)/wr))^(1/(1-pr))</f>
        <v>3832.473638473889</v>
      </c>
      <c r="O36" s="10">
        <f>Tabella8[[#This Row],[Lombardy fit]]*NOT(ISBLANK(Tabella8[[#This Row],[Lombardy]]))</f>
        <v>3832.473638473889</v>
      </c>
      <c r="P36" s="10">
        <f>Tabella8[[#This Row],[Lombardy fit]]+CIr</f>
        <v>4009.3333152192686</v>
      </c>
      <c r="Q36" s="10">
        <f>MAX(Tabella8[[#This Row],[Lombardy fit]]-CIr,0)</f>
        <v>3655.6139617285094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27">
        <f>(Ko^(1-po)-(1-po)*EXP(-(Tabella8[[#This Row],[Day]]-t0o)/wo))^(1/(1-po))</f>
        <v>2332.3642553105351</v>
      </c>
      <c r="U36" s="27">
        <f>Tabella8[[#This Row],[rest of Italy fit]]*NOT(ISBLANK(Tabella8[[#This Row],[rest of Italy ]]))</f>
        <v>2332.3642553105351</v>
      </c>
      <c r="V36" s="10">
        <f>Tabella8[[#This Row],[rest of Italy fit]]+CIo</f>
        <v>2450.1259599205582</v>
      </c>
      <c r="W36" s="10">
        <f>MAX(Tabella8[[#This Row],[rest of Italy fit]]-CIo,0)</f>
        <v>2214.602550700512</v>
      </c>
      <c r="Y36" s="2" t="s">
        <v>5</v>
      </c>
      <c r="Z36" s="7" cm="1">
        <f t="array" ref="Z36">1-SUM((Tabella8[Colonna6]-Tabella8[Colonna7])^2)/SUM((Tabella8[Colonna6]-Mean_of_yo)^2)</f>
        <v>0.99979316115798567</v>
      </c>
      <c r="AN36" s="56"/>
    </row>
    <row r="37" spans="2:40" ht="15" thickBot="1" x14ac:dyDescent="0.35">
      <c r="B37" s="9">
        <v>43914</v>
      </c>
      <c r="C37" s="4">
        <f t="shared" si="1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6889.348893877509</v>
      </c>
      <c r="G37" s="10">
        <f>Tabella8[[#This Row],[Italy sum]]*NOT(ISBLANK(Tabella8[[#This Row],[Italy cumulative]]))</f>
        <v>6889.348893877509</v>
      </c>
      <c r="H37" s="27">
        <f>(Kt^(1-pt)-(1-pt)*EXP(-(Tabella8[[#This Row],[Day]]-t0t)/wt))^(1/(1-pt))</f>
        <v>6894.2345195252819</v>
      </c>
      <c r="I37" s="10">
        <f>Tabella8[[#This Row],[Italy fit]]*NOT(ISBLANK(Tabella8[[#This Row],[Italy cumulative]]))</f>
        <v>6894.2345195252819</v>
      </c>
      <c r="J37" s="10">
        <f>Tabella8[[#This Row],[Italy sum]]+CI</f>
        <v>7111.9281901602617</v>
      </c>
      <c r="K37" s="10">
        <f>MAX(Tabella8[[#This Row],[Italy sum]]-CI,0)</f>
        <v>6666.7695975947563</v>
      </c>
      <c r="L37" s="86">
        <f t="shared" si="0"/>
        <v>4178</v>
      </c>
      <c r="M37" s="10">
        <f>Tabella8[[#This Row],[Lombardy]]*NOT(ISBLANK(Tabella8[[#This Row],[Lombardy]]))</f>
        <v>4178</v>
      </c>
      <c r="N37" s="27">
        <f>(Kr^(1-pr)-(1-pr)*EXP(-(Tabella8[[#This Row],[Day]]-t0r)/wr))^(1/(1-pr))</f>
        <v>4238.3855626936393</v>
      </c>
      <c r="O37" s="10">
        <f>Tabella8[[#This Row],[Lombardy fit]]*NOT(ISBLANK(Tabella8[[#This Row],[Lombardy]]))</f>
        <v>4238.3855626936393</v>
      </c>
      <c r="P37" s="10">
        <f>Tabella8[[#This Row],[Lombardy fit]]+CIr</f>
        <v>4415.2452394390184</v>
      </c>
      <c r="Q37" s="10">
        <f>MAX(Tabella8[[#This Row],[Lombardy fit]]-CIr,0)</f>
        <v>4061.5258859482597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27">
        <f>(Ko^(1-po)-(1-po)*EXP(-(Tabella8[[#This Row],[Day]]-t0o)/wo))^(1/(1-po))</f>
        <v>2650.9633311838697</v>
      </c>
      <c r="U37" s="27">
        <f>Tabella8[[#This Row],[rest of Italy fit]]*NOT(ISBLANK(Tabella8[[#This Row],[rest of Italy ]]))</f>
        <v>2650.9633311838697</v>
      </c>
      <c r="V37" s="10">
        <f>Tabella8[[#This Row],[rest of Italy fit]]+CIo</f>
        <v>2768.7250357938929</v>
      </c>
      <c r="W37" s="10">
        <f>MAX(Tabella8[[#This Row],[rest of Italy fit]]-CIo,0)</f>
        <v>2533.2016265738466</v>
      </c>
      <c r="Y37" s="2" t="s">
        <v>6</v>
      </c>
      <c r="Z37" s="7">
        <f>TINV(0.05,dfo)</f>
        <v>2.0106347576242314</v>
      </c>
      <c r="AN37" s="57"/>
    </row>
    <row r="38" spans="2:40" ht="15" thickTop="1" x14ac:dyDescent="0.3">
      <c r="B38" s="9">
        <v>43915</v>
      </c>
      <c r="C38" s="4">
        <f t="shared" si="1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7635.7573320540159</v>
      </c>
      <c r="G38" s="10">
        <f>Tabella8[[#This Row],[Italy sum]]*NOT(ISBLANK(Tabella8[[#This Row],[Italy cumulative]]))</f>
        <v>7635.7573320540159</v>
      </c>
      <c r="H38" s="27">
        <f>(Kt^(1-pt)-(1-pt)*EXP(-(Tabella8[[#This Row],[Day]]-t0t)/wt))^(1/(1-pt))</f>
        <v>7643.2190946065266</v>
      </c>
      <c r="I38" s="10">
        <f>Tabella8[[#This Row],[Italy fit]]*NOT(ISBLANK(Tabella8[[#This Row],[Italy cumulative]]))</f>
        <v>7643.2190946065266</v>
      </c>
      <c r="J38" s="10">
        <f>Tabella8[[#This Row],[Italy sum]]+CI</f>
        <v>7858.3366283367686</v>
      </c>
      <c r="K38" s="10">
        <f>MAX(Tabella8[[#This Row],[Italy sum]]-CI,0)</f>
        <v>7413.1780357712632</v>
      </c>
      <c r="L38" s="86">
        <f t="shared" si="0"/>
        <v>4474</v>
      </c>
      <c r="M38" s="10">
        <f>Tabella8[[#This Row],[Lombardy]]*NOT(ISBLANK(Tabella8[[#This Row],[Lombardy]]))</f>
        <v>4474</v>
      </c>
      <c r="N38" s="27">
        <f>(Kr^(1-pr)-(1-pr)*EXP(-(Tabella8[[#This Row],[Day]]-t0r)/wr))^(1/(1-pr))</f>
        <v>4650.3662923056536</v>
      </c>
      <c r="O38" s="10">
        <f>Tabella8[[#This Row],[Lombardy fit]]*NOT(ISBLANK(Tabella8[[#This Row],[Lombardy]]))</f>
        <v>4650.3662923056536</v>
      </c>
      <c r="P38" s="10">
        <f>Tabella8[[#This Row],[Lombardy fit]]+CIr</f>
        <v>4827.2259690510327</v>
      </c>
      <c r="Q38" s="10">
        <f>MAX(Tabella8[[#This Row],[Lombardy fit]]-CIr,0)</f>
        <v>4473.5066155602744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27">
        <f>(Ko^(1-po)-(1-po)*EXP(-(Tabella8[[#This Row],[Day]]-t0o)/wo))^(1/(1-po))</f>
        <v>2985.3910397483619</v>
      </c>
      <c r="U38" s="27">
        <f>Tabella8[[#This Row],[rest of Italy fit]]*NOT(ISBLANK(Tabella8[[#This Row],[rest of Italy ]]))</f>
        <v>2985.3910397483619</v>
      </c>
      <c r="V38" s="10">
        <f>Tabella8[[#This Row],[rest of Italy fit]]+CIo</f>
        <v>3103.152744358385</v>
      </c>
      <c r="W38" s="10">
        <f>MAX(Tabella8[[#This Row],[rest of Italy fit]]-CIo,0)</f>
        <v>2867.6293351383388</v>
      </c>
      <c r="Y38" s="2" t="s">
        <v>7</v>
      </c>
      <c r="Z38" s="1">
        <f>Critical_to*SE_of_yo</f>
        <v>117.7617046100229</v>
      </c>
      <c r="AN38" s="61">
        <f>MAX($Z$47)</f>
        <v>0.99983061181062449</v>
      </c>
    </row>
    <row r="39" spans="2:40" x14ac:dyDescent="0.3">
      <c r="B39" s="9">
        <v>43916</v>
      </c>
      <c r="C39" s="4">
        <f t="shared" si="1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8398.67357247158</v>
      </c>
      <c r="G39" s="10">
        <f>Tabella8[[#This Row],[Italy sum]]*NOT(ISBLANK(Tabella8[[#This Row],[Italy cumulative]]))</f>
        <v>8398.67357247158</v>
      </c>
      <c r="H39" s="27">
        <f>(Kt^(1-pt)-(1-pt)*EXP(-(Tabella8[[#This Row],[Day]]-t0t)/wt))^(1/(1-pt))</f>
        <v>8408.5178755471807</v>
      </c>
      <c r="I39" s="10">
        <f>Tabella8[[#This Row],[Italy fit]]*NOT(ISBLANK(Tabella8[[#This Row],[Italy cumulative]]))</f>
        <v>8408.5178755471807</v>
      </c>
      <c r="J39" s="10">
        <f>Tabella8[[#This Row],[Italy sum]]+CI</f>
        <v>8621.2528687543327</v>
      </c>
      <c r="K39" s="10">
        <f>MAX(Tabella8[[#This Row],[Italy sum]]-CI,0)</f>
        <v>8176.0942761888273</v>
      </c>
      <c r="L39" s="86">
        <f t="shared" si="0"/>
        <v>4861</v>
      </c>
      <c r="M39" s="10">
        <f>Tabella8[[#This Row],[Lombardy]]*NOT(ISBLANK(Tabella8[[#This Row],[Lombardy]]))</f>
        <v>4861</v>
      </c>
      <c r="N39" s="27">
        <f>(Kr^(1-pr)-(1-pr)*EXP(-(Tabella8[[#This Row],[Day]]-t0r)/wr))^(1/(1-pr))</f>
        <v>5065.3456514229529</v>
      </c>
      <c r="O39" s="10">
        <f>Tabella8[[#This Row],[Lombardy fit]]*NOT(ISBLANK(Tabella8[[#This Row],[Lombardy]]))</f>
        <v>5065.3456514229529</v>
      </c>
      <c r="P39" s="10">
        <f>Tabella8[[#This Row],[Lombardy fit]]+CIr</f>
        <v>5242.205328168332</v>
      </c>
      <c r="Q39" s="10">
        <f>MAX(Tabella8[[#This Row],[Lombardy fit]]-CIr,0)</f>
        <v>4888.4859746775737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27">
        <f>(Ko^(1-po)-(1-po)*EXP(-(Tabella8[[#This Row],[Day]]-t0o)/wo))^(1/(1-po))</f>
        <v>3333.3279210486262</v>
      </c>
      <c r="U39" s="27">
        <f>Tabella8[[#This Row],[rest of Italy fit]]*NOT(ISBLANK(Tabella8[[#This Row],[rest of Italy ]]))</f>
        <v>3333.3279210486262</v>
      </c>
      <c r="V39" s="10">
        <f>Tabella8[[#This Row],[rest of Italy fit]]+CIo</f>
        <v>3451.0896256586493</v>
      </c>
      <c r="W39" s="10">
        <f>MAX(Tabella8[[#This Row],[rest of Italy fit]]-CIo,0)</f>
        <v>3215.5662164386031</v>
      </c>
      <c r="Y39" s="17" t="s">
        <v>151</v>
      </c>
      <c r="Z39" s="35">
        <v>0.99999899999999997</v>
      </c>
      <c r="AN39" s="62">
        <f>COUNT($Z$41,$Z$42,$Z$43,$Z$50)</f>
        <v>4</v>
      </c>
    </row>
    <row r="40" spans="2:40" x14ac:dyDescent="0.3">
      <c r="B40" s="9">
        <v>43917</v>
      </c>
      <c r="C40" s="4">
        <f t="shared" si="1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9172.779313754545</v>
      </c>
      <c r="G40" s="10">
        <f>Tabella8[[#This Row],[Italy sum]]*NOT(ISBLANK(Tabella8[[#This Row],[Italy cumulative]]))</f>
        <v>9172.779313754545</v>
      </c>
      <c r="H40" s="27">
        <f>(Kt^(1-pt)-(1-pt)*EXP(-(Tabella8[[#This Row],[Day]]-t0t)/wt))^(1/(1-pt))</f>
        <v>9184.7133521881478</v>
      </c>
      <c r="I40" s="10">
        <f>Tabella8[[#This Row],[Italy fit]]*NOT(ISBLANK(Tabella8[[#This Row],[Italy cumulative]]))</f>
        <v>9184.7133521881478</v>
      </c>
      <c r="J40" s="10">
        <f>Tabella8[[#This Row],[Italy sum]]+CI</f>
        <v>9395.3586100372977</v>
      </c>
      <c r="K40" s="10">
        <f>MAX(Tabella8[[#This Row],[Italy sum]]-CI,0)</f>
        <v>8950.2000174717923</v>
      </c>
      <c r="L40" s="86">
        <f t="shared" si="0"/>
        <v>5402</v>
      </c>
      <c r="M40" s="10">
        <f>Tabella8[[#This Row],[Lombardy]]*NOT(ISBLANK(Tabella8[[#This Row],[Lombardy]]))</f>
        <v>5402</v>
      </c>
      <c r="N40" s="27">
        <f>(Kr^(1-pr)-(1-pr)*EXP(-(Tabella8[[#This Row],[Day]]-t0r)/wr))^(1/(1-pr))</f>
        <v>5480.4326868096514</v>
      </c>
      <c r="O40" s="10">
        <f>Tabella8[[#This Row],[Lombardy fit]]*NOT(ISBLANK(Tabella8[[#This Row],[Lombardy]]))</f>
        <v>5480.4326868096514</v>
      </c>
      <c r="P40" s="10">
        <f>Tabella8[[#This Row],[Lombardy fit]]+CIr</f>
        <v>5657.2923635550305</v>
      </c>
      <c r="Q40" s="10">
        <f>MAX(Tabella8[[#This Row],[Lombardy fit]]-CIr,0)</f>
        <v>5303.5730100642722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27">
        <f>(Ko^(1-po)-(1-po)*EXP(-(Tabella8[[#This Row],[Day]]-t0o)/wo))^(1/(1-po))</f>
        <v>3692.3466269448927</v>
      </c>
      <c r="U40" s="27">
        <f>Tabella8[[#This Row],[rest of Italy fit]]*NOT(ISBLANK(Tabella8[[#This Row],[rest of Italy ]]))</f>
        <v>3692.3466269448927</v>
      </c>
      <c r="V40" s="10">
        <f>Tabella8[[#This Row],[rest of Italy fit]]+CIo</f>
        <v>3810.1083315549158</v>
      </c>
      <c r="W40" s="10">
        <f>MAX(Tabella8[[#This Row],[rest of Italy fit]]-CIo,0)</f>
        <v>3574.5849223348696</v>
      </c>
      <c r="Y40" s="20" t="s">
        <v>139</v>
      </c>
      <c r="Z40" s="21" t="s">
        <v>88</v>
      </c>
      <c r="AN40" s="62" t="b">
        <f>pt&lt;=0.999999</f>
        <v>1</v>
      </c>
    </row>
    <row r="41" spans="2:40" x14ac:dyDescent="0.3">
      <c r="B41" s="9">
        <v>43918</v>
      </c>
      <c r="C41" s="4">
        <f t="shared" si="1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9952.9363505499623</v>
      </c>
      <c r="G41" s="10">
        <f>Tabella8[[#This Row],[Italy sum]]*NOT(ISBLANK(Tabella8[[#This Row],[Italy cumulative]]))</f>
        <v>9952.9363505499623</v>
      </c>
      <c r="H41" s="27">
        <f>(Kt^(1-pt)-(1-pt)*EXP(-(Tabella8[[#This Row],[Day]]-t0t)/wt))^(1/(1-pt))</f>
        <v>9966.5811623964364</v>
      </c>
      <c r="I41" s="10">
        <f>Tabella8[[#This Row],[Italy fit]]*NOT(ISBLANK(Tabella8[[#This Row],[Italy cumulative]]))</f>
        <v>9966.5811623964364</v>
      </c>
      <c r="J41" s="10">
        <f>Tabella8[[#This Row],[Italy sum]]+CI</f>
        <v>10175.515646832715</v>
      </c>
      <c r="K41" s="10">
        <f>MAX(Tabella8[[#This Row],[Italy sum]]-CI,0)</f>
        <v>9730.3570542672096</v>
      </c>
      <c r="L41" s="86">
        <f t="shared" si="0"/>
        <v>5944</v>
      </c>
      <c r="M41" s="10">
        <f>Tabella8[[#This Row],[Lombardy]]*NOT(ISBLANK(Tabella8[[#This Row],[Lombardy]]))</f>
        <v>5944</v>
      </c>
      <c r="N41" s="27">
        <f>(Kr^(1-pr)-(1-pr)*EXP(-(Tabella8[[#This Row],[Day]]-t0r)/wr))^(1/(1-pr))</f>
        <v>5892.9605010602618</v>
      </c>
      <c r="O41" s="10">
        <f>Tabella8[[#This Row],[Lombardy fit]]*NOT(ISBLANK(Tabella8[[#This Row],[Lombardy]]))</f>
        <v>5892.9605010602618</v>
      </c>
      <c r="P41" s="10">
        <f>Tabella8[[#This Row],[Lombardy fit]]+CIr</f>
        <v>6069.8201778056409</v>
      </c>
      <c r="Q41" s="10">
        <f>MAX(Tabella8[[#This Row],[Lombardy fit]]-CIr,0)</f>
        <v>5716.1008243148826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27">
        <f>(Ko^(1-po)-(1-po)*EXP(-(Tabella8[[#This Row],[Day]]-t0o)/wo))^(1/(1-po))</f>
        <v>4059.975849489701</v>
      </c>
      <c r="U41" s="27">
        <f>Tabella8[[#This Row],[rest of Italy fit]]*NOT(ISBLANK(Tabella8[[#This Row],[rest of Italy ]]))</f>
        <v>4059.975849489701</v>
      </c>
      <c r="V41" s="10">
        <f>Tabella8[[#This Row],[rest of Italy fit]]+CIo</f>
        <v>4177.7375540997236</v>
      </c>
      <c r="W41" s="10">
        <f>MAX(Tabella8[[#This Row],[rest of Italy fit]]-CIo,0)</f>
        <v>3942.2141448796779</v>
      </c>
      <c r="Y41" s="17" t="s">
        <v>0</v>
      </c>
      <c r="Z41" s="5">
        <v>27406.824701797748</v>
      </c>
      <c r="AN41" s="62" t="b">
        <f>pt&gt;=0</f>
        <v>1</v>
      </c>
    </row>
    <row r="42" spans="2:40" ht="15.6" x14ac:dyDescent="0.35">
      <c r="B42" s="9">
        <v>43919</v>
      </c>
      <c r="C42" s="4">
        <f t="shared" si="1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10734.275591795893</v>
      </c>
      <c r="G42" s="10">
        <f>Tabella8[[#This Row],[Italy sum]]*NOT(ISBLANK(Tabella8[[#This Row],[Italy cumulative]]))</f>
        <v>10734.275591795893</v>
      </c>
      <c r="H42" s="27">
        <f>(Kt^(1-pt)-(1-pt)*EXP(-(Tabella8[[#This Row],[Day]]-t0t)/wt))^(1/(1-pt))</f>
        <v>10749.181440476672</v>
      </c>
      <c r="I42" s="10">
        <f>Tabella8[[#This Row],[Italy fit]]*NOT(ISBLANK(Tabella8[[#This Row],[Italy cumulative]]))</f>
        <v>10749.181440476672</v>
      </c>
      <c r="J42" s="10">
        <f>Tabella8[[#This Row],[Italy sum]]+CI</f>
        <v>10956.854888078646</v>
      </c>
      <c r="K42" s="10">
        <f>MAX(Tabella8[[#This Row],[Italy sum]]-CI,0)</f>
        <v>10511.69629551314</v>
      </c>
      <c r="L42" s="86">
        <f t="shared" si="0"/>
        <v>6360</v>
      </c>
      <c r="M42" s="10">
        <f>Tabella8[[#This Row],[Lombardy]]*NOT(ISBLANK(Tabella8[[#This Row],[Lombardy]]))</f>
        <v>6360</v>
      </c>
      <c r="N42" s="27">
        <f>(Kr^(1-pr)-(1-pr)*EXP(-(Tabella8[[#This Row],[Day]]-t0r)/wr))^(1/(1-pr))</f>
        <v>6300.517472904362</v>
      </c>
      <c r="O42" s="10">
        <f>Tabella8[[#This Row],[Lombardy fit]]*NOT(ISBLANK(Tabella8[[#This Row],[Lombardy]]))</f>
        <v>6300.517472904362</v>
      </c>
      <c r="P42" s="10">
        <f>Tabella8[[#This Row],[Lombardy fit]]+CIr</f>
        <v>6477.3771496497411</v>
      </c>
      <c r="Q42" s="10">
        <f>MAX(Tabella8[[#This Row],[Lombardy fit]]-CIr,0)</f>
        <v>6123.6577961589828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27">
        <f>(Ko^(1-po)-(1-po)*EXP(-(Tabella8[[#This Row],[Day]]-t0o)/wo))^(1/(1-po))</f>
        <v>4433.758118891531</v>
      </c>
      <c r="U42" s="27">
        <f>Tabella8[[#This Row],[rest of Italy fit]]*NOT(ISBLANK(Tabella8[[#This Row],[rest of Italy ]]))</f>
        <v>4433.758118891531</v>
      </c>
      <c r="V42" s="10">
        <f>Tabella8[[#This Row],[rest of Italy fit]]+CIo</f>
        <v>4551.5198235015541</v>
      </c>
      <c r="W42" s="10">
        <f>MAX(Tabella8[[#This Row],[rest of Italy fit]]-CIo,0)</f>
        <v>4315.9964142815079</v>
      </c>
      <c r="Y42" s="17" t="s">
        <v>24</v>
      </c>
      <c r="Z42" s="35">
        <v>33.148039140212759</v>
      </c>
      <c r="AN42" s="62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1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11512.266237664062</v>
      </c>
      <c r="G43" s="10">
        <f>Tabella8[[#This Row],[Italy sum]]*NOT(ISBLANK(Tabella8[[#This Row],[Italy cumulative]]))</f>
        <v>11512.266237664062</v>
      </c>
      <c r="H43" s="27">
        <f>(Kt^(1-pt)-(1-pt)*EXP(-(Tabella8[[#This Row],[Day]]-t0t)/wt))^(1/(1-pt))</f>
        <v>11527.929211692479</v>
      </c>
      <c r="I43" s="10">
        <f>Tabella8[[#This Row],[Italy fit]]*NOT(ISBLANK(Tabella8[[#This Row],[Italy cumulative]]))</f>
        <v>11527.929211692479</v>
      </c>
      <c r="J43" s="10">
        <f>Tabella8[[#This Row],[Italy sum]]+CI</f>
        <v>11734.845533946815</v>
      </c>
      <c r="K43" s="10">
        <f>MAX(Tabella8[[#This Row],[Italy sum]]-CI,0)</f>
        <v>11289.686941381309</v>
      </c>
      <c r="L43" s="86">
        <f t="shared" si="0"/>
        <v>6818</v>
      </c>
      <c r="M43" s="10">
        <f>Tabella8[[#This Row],[Lombardy]]*NOT(ISBLANK(Tabella8[[#This Row],[Lombardy]]))</f>
        <v>6818</v>
      </c>
      <c r="N43" s="27">
        <f>(Kr^(1-pr)-(1-pr)*EXP(-(Tabella8[[#This Row],[Day]]-t0r)/wr))^(1/(1-pr))</f>
        <v>6700.9661376353952</v>
      </c>
      <c r="O43" s="10">
        <f>Tabella8[[#This Row],[Lombardy fit]]*NOT(ISBLANK(Tabella8[[#This Row],[Lombardy]]))</f>
        <v>6700.9661376353952</v>
      </c>
      <c r="P43" s="10">
        <f>Tabella8[[#This Row],[Lombardy fit]]+CIr</f>
        <v>6877.8258143807743</v>
      </c>
      <c r="Q43" s="10">
        <f>MAX(Tabella8[[#This Row],[Lombardy fit]]-CIr,0)</f>
        <v>6524.106460890016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27">
        <f>(Ko^(1-po)-(1-po)*EXP(-(Tabella8[[#This Row],[Day]]-t0o)/wo))^(1/(1-po))</f>
        <v>4811.3001000286658</v>
      </c>
      <c r="U43" s="27">
        <f>Tabella8[[#This Row],[rest of Italy fit]]*NOT(ISBLANK(Tabella8[[#This Row],[rest of Italy ]]))</f>
        <v>4811.3001000286658</v>
      </c>
      <c r="V43" s="10">
        <f>Tabella8[[#This Row],[rest of Italy fit]]+CIo</f>
        <v>4929.061804638689</v>
      </c>
      <c r="W43" s="10">
        <f>MAX(Tabella8[[#This Row],[rest of Italy fit]]-CIo,0)</f>
        <v>4693.5383954186427</v>
      </c>
      <c r="Y43" s="17" t="s">
        <v>1</v>
      </c>
      <c r="Z43" s="35">
        <v>12.875301537692881</v>
      </c>
      <c r="AN43" s="63">
        <f>{0;0;1;100;0;FALSE;FALSE;0.075;0;0;FALSE;30}</f>
        <v>0</v>
      </c>
    </row>
    <row r="44" spans="2:40" x14ac:dyDescent="0.3">
      <c r="B44" s="9">
        <v>43921</v>
      </c>
      <c r="C44" s="4">
        <f t="shared" si="1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12282.76597366746</v>
      </c>
      <c r="G44" s="10">
        <f>Tabella8[[#This Row],[Italy sum]]*NOT(ISBLANK(Tabella8[[#This Row],[Italy cumulative]]))</f>
        <v>12282.76597366746</v>
      </c>
      <c r="H44" s="27">
        <f>(Kt^(1-pt)-(1-pt)*EXP(-(Tabella8[[#This Row],[Day]]-t0t)/wt))^(1/(1-pt))</f>
        <v>12298.644838133068</v>
      </c>
      <c r="I44" s="10">
        <f>Tabella8[[#This Row],[Italy fit]]*NOT(ISBLANK(Tabella8[[#This Row],[Italy cumulative]]))</f>
        <v>12298.644838133068</v>
      </c>
      <c r="J44" s="10">
        <f>Tabella8[[#This Row],[Italy sum]]+CI</f>
        <v>12505.345269950212</v>
      </c>
      <c r="K44" s="10">
        <f>MAX(Tabella8[[#This Row],[Italy sum]]-CI,0)</f>
        <v>12060.186677384707</v>
      </c>
      <c r="L44" s="86">
        <f t="shared" si="0"/>
        <v>7199</v>
      </c>
      <c r="M44" s="10">
        <f>Tabella8[[#This Row],[Lombardy]]*NOT(ISBLANK(Tabella8[[#This Row],[Lombardy]]))</f>
        <v>7199</v>
      </c>
      <c r="N44" s="27">
        <f>(Kr^(1-pr)-(1-pr)*EXP(-(Tabella8[[#This Row],[Day]]-t0r)/wr))^(1/(1-pr))</f>
        <v>7092.4513366438523</v>
      </c>
      <c r="O44" s="10">
        <f>Tabella8[[#This Row],[Lombardy fit]]*NOT(ISBLANK(Tabella8[[#This Row],[Lombardy]]))</f>
        <v>7092.4513366438523</v>
      </c>
      <c r="P44" s="10">
        <f>Tabella8[[#This Row],[Lombardy fit]]+CIr</f>
        <v>7269.3110133892314</v>
      </c>
      <c r="Q44" s="10">
        <f>MAX(Tabella8[[#This Row],[Lombardy fit]]-CIr,0)</f>
        <v>6915.5916598984732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27">
        <f>(Ko^(1-po)-(1-po)*EXP(-(Tabella8[[#This Row],[Day]]-t0o)/wo))^(1/(1-po))</f>
        <v>5190.3146370236072</v>
      </c>
      <c r="U44" s="27">
        <f>Tabella8[[#This Row],[rest of Italy fit]]*NOT(ISBLANK(Tabella8[[#This Row],[rest of Italy ]]))</f>
        <v>5190.3146370236072</v>
      </c>
      <c r="V44" s="10">
        <f>Tabella8[[#This Row],[rest of Italy fit]]+CIo</f>
        <v>5308.0763416336304</v>
      </c>
      <c r="W44" s="10">
        <f>MAX(Tabella8[[#This Row],[rest of Italy fit]]-CIo,0)</f>
        <v>5072.5529324135841</v>
      </c>
      <c r="Y44" s="2" t="s">
        <v>2</v>
      </c>
      <c r="Z44" s="1">
        <f>AVERAGE(Tabella8[Italy cumulative])</f>
        <v>7320.25</v>
      </c>
    </row>
    <row r="45" spans="2:40" x14ac:dyDescent="0.3">
      <c r="B45" s="9">
        <v>43922</v>
      </c>
      <c r="C45" s="4">
        <f t="shared" si="1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13042.053666108171</v>
      </c>
      <c r="G45" s="10">
        <f>Tabella8[[#This Row],[Italy sum]]*NOT(ISBLANK(Tabella8[[#This Row],[Italy cumulative]]))</f>
        <v>13042.053666108171</v>
      </c>
      <c r="H45" s="27">
        <f>(Kt^(1-pt)-(1-pt)*EXP(-(Tabella8[[#This Row],[Day]]-t0t)/wt))^(1/(1-pt))</f>
        <v>13057.58618955983</v>
      </c>
      <c r="I45" s="10">
        <f>Tabella8[[#This Row],[Italy fit]]*NOT(ISBLANK(Tabella8[[#This Row],[Italy cumulative]]))</f>
        <v>13057.58618955983</v>
      </c>
      <c r="J45" s="10">
        <f>Tabella8[[#This Row],[Italy sum]]+CI</f>
        <v>13264.632962390924</v>
      </c>
      <c r="K45" s="10">
        <f>MAX(Tabella8[[#This Row],[Italy sum]]-CI,0)</f>
        <v>12819.474369825419</v>
      </c>
      <c r="L45" s="86">
        <f t="shared" si="0"/>
        <v>7593</v>
      </c>
      <c r="M45" s="10">
        <f>Tabella8[[#This Row],[Lombardy]]*NOT(ISBLANK(Tabella8[[#This Row],[Lombardy]]))</f>
        <v>7593</v>
      </c>
      <c r="N45" s="27">
        <f>(Kr^(1-pr)-(1-pr)*EXP(-(Tabella8[[#This Row],[Day]]-t0r)/wr))^(1/(1-pr))</f>
        <v>7473.399357183067</v>
      </c>
      <c r="O45" s="10">
        <f>Tabella8[[#This Row],[Lombardy fit]]*NOT(ISBLANK(Tabella8[[#This Row],[Lombardy]]))</f>
        <v>7473.399357183067</v>
      </c>
      <c r="P45" s="10">
        <f>Tabella8[[#This Row],[Lombardy fit]]+CIr</f>
        <v>7650.2590339284461</v>
      </c>
      <c r="Q45" s="10">
        <f>MAX(Tabella8[[#This Row],[Lombardy fit]]-CIr,0)</f>
        <v>7296.5396804376878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27">
        <f>(Ko^(1-po)-(1-po)*EXP(-(Tabella8[[#This Row],[Day]]-t0o)/wo))^(1/(1-po))</f>
        <v>5568.6543089251054</v>
      </c>
      <c r="U45" s="27">
        <f>Tabella8[[#This Row],[rest of Italy fit]]*NOT(ISBLANK(Tabella8[[#This Row],[rest of Italy ]]))</f>
        <v>5568.6543089251054</v>
      </c>
      <c r="V45" s="10">
        <f>Tabella8[[#This Row],[rest of Italy fit]]+CIo</f>
        <v>5686.4160135351285</v>
      </c>
      <c r="W45" s="10">
        <f>MAX(Tabella8[[#This Row],[rest of Italy fit]]-CIo,0)</f>
        <v>5450.8926043150823</v>
      </c>
      <c r="Y45" s="2" t="s">
        <v>3</v>
      </c>
      <c r="Z45" s="1">
        <f>COUNT(Tabella8[Italy cumulative])-COUNT(Z41:Z43,pt)</f>
        <v>48</v>
      </c>
    </row>
    <row r="46" spans="2:40" x14ac:dyDescent="0.3">
      <c r="B46" s="9">
        <v>43923</v>
      </c>
      <c r="C46" s="4">
        <f t="shared" si="1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13786.846576526243</v>
      </c>
      <c r="G46" s="10">
        <f>Tabella8[[#This Row],[Italy sum]]*NOT(ISBLANK(Tabella8[[#This Row],[Italy cumulative]]))</f>
        <v>13786.846576526243</v>
      </c>
      <c r="H46" s="27">
        <f>(Kt^(1-pt)-(1-pt)*EXP(-(Tabella8[[#This Row],[Day]]-t0t)/wt))^(1/(1-pt))</f>
        <v>13801.464668575038</v>
      </c>
      <c r="I46" s="10">
        <f>Tabella8[[#This Row],[Italy fit]]*NOT(ISBLANK(Tabella8[[#This Row],[Italy cumulative]]))</f>
        <v>13801.464668575038</v>
      </c>
      <c r="J46" s="10">
        <f>Tabella8[[#This Row],[Italy sum]]+CI</f>
        <v>14009.425872808995</v>
      </c>
      <c r="K46" s="10">
        <f>MAX(Tabella8[[#This Row],[Italy sum]]-CI,0)</f>
        <v>13564.26728024349</v>
      </c>
      <c r="L46" s="86">
        <f t="shared" si="0"/>
        <v>7960</v>
      </c>
      <c r="M46" s="10">
        <f>Tabella8[[#This Row],[Lombardy]]*NOT(ISBLANK(Tabella8[[#This Row],[Lombardy]]))</f>
        <v>7960</v>
      </c>
      <c r="N46" s="27">
        <f>(Kr^(1-pr)-(1-pr)*EXP(-(Tabella8[[#This Row],[Day]]-t0r)/wr))^(1/(1-pr))</f>
        <v>7842.5098554608367</v>
      </c>
      <c r="O46" s="10">
        <f>Tabella8[[#This Row],[Lombardy fit]]*NOT(ISBLANK(Tabella8[[#This Row],[Lombardy]]))</f>
        <v>7842.5098554608367</v>
      </c>
      <c r="P46" s="10">
        <f>Tabella8[[#This Row],[Lombardy fit]]+CIr</f>
        <v>8019.3695322062158</v>
      </c>
      <c r="Q46" s="10">
        <f>MAX(Tabella8[[#This Row],[Lombardy fit]]-CIr,0)</f>
        <v>7665.6501787154575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27">
        <f>(Ko^(1-po)-(1-po)*EXP(-(Tabella8[[#This Row],[Day]]-t0o)/wo))^(1/(1-po))</f>
        <v>5944.336721065406</v>
      </c>
      <c r="U46" s="27">
        <f>Tabella8[[#This Row],[rest of Italy fit]]*NOT(ISBLANK(Tabella8[[#This Row],[rest of Italy ]]))</f>
        <v>5944.336721065406</v>
      </c>
      <c r="V46" s="10">
        <f>Tabella8[[#This Row],[rest of Italy fit]]+CIo</f>
        <v>6062.0984256754291</v>
      </c>
      <c r="W46" s="10">
        <f>MAX(Tabella8[[#This Row],[rest of Italy fit]]-CIo,0)</f>
        <v>5826.5750164553829</v>
      </c>
      <c r="Y46" s="2" t="s">
        <v>4</v>
      </c>
      <c r="Z46" s="6" cm="1">
        <f t="array" ref="Z46">SQRT(SUM((Tabella8[Colonna1]-Tabella8[Colonna3])^2)/dft)</f>
        <v>117.04491301649828</v>
      </c>
    </row>
    <row r="47" spans="2:40" ht="16.2" x14ac:dyDescent="0.3">
      <c r="B47" s="9">
        <v>43924</v>
      </c>
      <c r="C47" s="4">
        <f t="shared" si="1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14514.304260629418</v>
      </c>
      <c r="G47" s="10">
        <f>Tabella8[[#This Row],[Italy sum]]*NOT(ISBLANK(Tabella8[[#This Row],[Italy cumulative]]))</f>
        <v>14514.304260629418</v>
      </c>
      <c r="H47" s="27">
        <f>(Kt^(1-pt)-(1-pt)*EXP(-(Tabella8[[#This Row],[Day]]-t0t)/wt))^(1/(1-pt))</f>
        <v>14527.447524903391</v>
      </c>
      <c r="I47" s="10">
        <f>Tabella8[[#This Row],[Italy fit]]*NOT(ISBLANK(Tabella8[[#This Row],[Italy cumulative]]))</f>
        <v>14527.447524903391</v>
      </c>
      <c r="J47" s="10">
        <f>Tabella8[[#This Row],[Italy sum]]+CI</f>
        <v>14736.883556912171</v>
      </c>
      <c r="K47" s="10">
        <f>MAX(Tabella8[[#This Row],[Italy sum]]-CI,0)</f>
        <v>14291.724964346666</v>
      </c>
      <c r="L47" s="86">
        <f t="shared" si="0"/>
        <v>8311</v>
      </c>
      <c r="M47" s="10">
        <f>Tabella8[[#This Row],[Lombardy]]*NOT(ISBLANK(Tabella8[[#This Row],[Lombardy]]))</f>
        <v>8311</v>
      </c>
      <c r="N47" s="27">
        <f>(Kr^(1-pr)-(1-pr)*EXP(-(Tabella8[[#This Row],[Day]]-t0r)/wr))^(1/(1-pr))</f>
        <v>8198.7422168066169</v>
      </c>
      <c r="O47" s="10">
        <f>Tabella8[[#This Row],[Lombardy fit]]*NOT(ISBLANK(Tabella8[[#This Row],[Lombardy]]))</f>
        <v>8198.7422168066169</v>
      </c>
      <c r="P47" s="10">
        <f>Tabella8[[#This Row],[Lombardy fit]]+CIr</f>
        <v>8375.6018935519969</v>
      </c>
      <c r="Q47" s="10">
        <f>MAX(Tabella8[[#This Row],[Lombardy fit]]-CIr,0)</f>
        <v>8021.8825400612377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27">
        <f>(Ko^(1-po)-(1-po)*EXP(-(Tabella8[[#This Row],[Day]]-t0o)/wo))^(1/(1-po))</f>
        <v>6315.5620438228007</v>
      </c>
      <c r="U47" s="27">
        <f>Tabella8[[#This Row],[rest of Italy fit]]*NOT(ISBLANK(Tabella8[[#This Row],[rest of Italy ]]))</f>
        <v>6315.5620438228007</v>
      </c>
      <c r="V47" s="10">
        <f>Tabella8[[#This Row],[rest of Italy fit]]+CIo</f>
        <v>6433.3237484328238</v>
      </c>
      <c r="W47" s="10">
        <f>MAX(Tabella8[[#This Row],[rest of Italy fit]]-CIo,0)</f>
        <v>6197.8003392127775</v>
      </c>
      <c r="Y47" s="2" t="s">
        <v>5</v>
      </c>
      <c r="Z47" s="7" cm="1">
        <f t="array" ref="Z47">1-SUM((Tabella8[Colonna1]-Tabella8[Colonna3])^2)/SUM((Tabella8[Colonna1]-Mean_of_yt)^2)</f>
        <v>0.99983061181062449</v>
      </c>
    </row>
    <row r="48" spans="2:40" x14ac:dyDescent="0.3">
      <c r="B48" s="9">
        <v>43925</v>
      </c>
      <c r="C48" s="4">
        <f t="shared" si="1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15222.02145080331</v>
      </c>
      <c r="G48" s="10">
        <f>Tabella8[[#This Row],[Italy sum]]*NOT(ISBLANK(Tabella8[[#This Row],[Italy cumulative]]))</f>
        <v>15222.02145080331</v>
      </c>
      <c r="H48" s="27">
        <f>(Kt^(1-pt)-(1-pt)*EXP(-(Tabella8[[#This Row],[Day]]-t0t)/wt))^(1/(1-pt))</f>
        <v>15233.148857803695</v>
      </c>
      <c r="I48" s="10">
        <f>Tabella8[[#This Row],[Italy fit]]*NOT(ISBLANK(Tabella8[[#This Row],[Italy cumulative]]))</f>
        <v>15233.148857803695</v>
      </c>
      <c r="J48" s="10">
        <f>Tabella8[[#This Row],[Italy sum]]+CI</f>
        <v>15444.600747086062</v>
      </c>
      <c r="K48" s="10">
        <f>MAX(Tabella8[[#This Row],[Italy sum]]-CI,0)</f>
        <v>14999.442154520557</v>
      </c>
      <c r="L48" s="86">
        <f t="shared" si="0"/>
        <v>8656</v>
      </c>
      <c r="M48" s="10">
        <f>Tabella8[[#This Row],[Lombardy]]*NOT(ISBLANK(Tabella8[[#This Row],[Lombardy]]))</f>
        <v>8656</v>
      </c>
      <c r="N48" s="27">
        <f>(Kr^(1-pr)-(1-pr)*EXP(-(Tabella8[[#This Row],[Day]]-t0r)/wr))^(1/(1-pr))</f>
        <v>8541.297902532966</v>
      </c>
      <c r="O48" s="10">
        <f>Tabella8[[#This Row],[Lombardy fit]]*NOT(ISBLANK(Tabella8[[#This Row],[Lombardy]]))</f>
        <v>8541.297902532966</v>
      </c>
      <c r="P48" s="10">
        <f>Tabella8[[#This Row],[Lombardy fit]]+CIr</f>
        <v>8718.157579278346</v>
      </c>
      <c r="Q48" s="10">
        <f>MAX(Tabella8[[#This Row],[Lombardy fit]]-CIr,0)</f>
        <v>8364.4382257875859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27">
        <f>(Ko^(1-po)-(1-po)*EXP(-(Tabella8[[#This Row],[Day]]-t0o)/wo))^(1/(1-po))</f>
        <v>6680.7235482703436</v>
      </c>
      <c r="U48" s="27">
        <f>Tabella8[[#This Row],[rest of Italy fit]]*NOT(ISBLANK(Tabella8[[#This Row],[rest of Italy ]]))</f>
        <v>6680.7235482703436</v>
      </c>
      <c r="V48" s="10">
        <f>Tabella8[[#This Row],[rest of Italy fit]]+CIo</f>
        <v>6798.4852528803667</v>
      </c>
      <c r="W48" s="10">
        <f>MAX(Tabella8[[#This Row],[rest of Italy fit]]-CIo,0)</f>
        <v>6562.9618436603205</v>
      </c>
      <c r="Y48" s="2" t="s">
        <v>6</v>
      </c>
      <c r="Z48" s="7">
        <f>TINV(0.05,dft)</f>
        <v>2.0106347576242314</v>
      </c>
    </row>
    <row r="49" spans="2:27" x14ac:dyDescent="0.3">
      <c r="B49" s="9">
        <v>43926</v>
      </c>
      <c r="C49" s="4">
        <f t="shared" si="1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15908.012152569743</v>
      </c>
      <c r="G49" s="10">
        <f>Tabella8[[#This Row],[Italy sum]]*NOT(ISBLANK(Tabella8[[#This Row],[Italy cumulative]]))</f>
        <v>15908.012152569743</v>
      </c>
      <c r="H49" s="27">
        <f>(Kt^(1-pt)-(1-pt)*EXP(-(Tabella8[[#This Row],[Day]]-t0t)/wt))^(1/(1-pt))</f>
        <v>15916.611670980237</v>
      </c>
      <c r="I49" s="10">
        <f>Tabella8[[#This Row],[Italy fit]]*NOT(ISBLANK(Tabella8[[#This Row],[Italy cumulative]]))</f>
        <v>15916.611670980237</v>
      </c>
      <c r="J49" s="10">
        <f>Tabella8[[#This Row],[Italy sum]]+CI</f>
        <v>16130.591448852496</v>
      </c>
      <c r="K49" s="10">
        <f>MAX(Tabella8[[#This Row],[Italy sum]]-CI,0)</f>
        <v>15685.43285628699</v>
      </c>
      <c r="L49" s="86">
        <f t="shared" si="0"/>
        <v>8905</v>
      </c>
      <c r="M49" s="10">
        <f>Tabella8[[#This Row],[Lombardy]]*NOT(ISBLANK(Tabella8[[#This Row],[Lombardy]]))</f>
        <v>8905</v>
      </c>
      <c r="N49" s="27">
        <f>(Kr^(1-pr)-(1-pr)*EXP(-(Tabella8[[#This Row],[Day]]-t0r)/wr))^(1/(1-pr))</f>
        <v>8869.6001160383694</v>
      </c>
      <c r="O49" s="10">
        <f>Tabella8[[#This Row],[Lombardy fit]]*NOT(ISBLANK(Tabella8[[#This Row],[Lombardy]]))</f>
        <v>8869.6001160383694</v>
      </c>
      <c r="P49" s="10">
        <f>Tabella8[[#This Row],[Lombardy fit]]+CIr</f>
        <v>9046.4597927837494</v>
      </c>
      <c r="Q49" s="10">
        <f>MAX(Tabella8[[#This Row],[Lombardy fit]]-CIr,0)</f>
        <v>8692.7404392929893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27">
        <f>(Ko^(1-po)-(1-po)*EXP(-(Tabella8[[#This Row],[Day]]-t0o)/wo))^(1/(1-po))</f>
        <v>7038.4120365313747</v>
      </c>
      <c r="U49" s="27">
        <f>Tabella8[[#This Row],[rest of Italy fit]]*NOT(ISBLANK(Tabella8[[#This Row],[rest of Italy ]]))</f>
        <v>7038.4120365313747</v>
      </c>
      <c r="V49" s="10">
        <f>Tabella8[[#This Row],[rest of Italy fit]]+CIo</f>
        <v>7156.1737411413978</v>
      </c>
      <c r="W49" s="10">
        <f>MAX(Tabella8[[#This Row],[rest of Italy fit]]-CIo,0)</f>
        <v>6920.6503319213516</v>
      </c>
      <c r="Y49" s="2" t="s">
        <v>7</v>
      </c>
      <c r="Z49" s="1">
        <f>Critical_tt*SE_of_yt</f>
        <v>235.33457031407627</v>
      </c>
    </row>
    <row r="50" spans="2:27" x14ac:dyDescent="0.3">
      <c r="B50" s="9">
        <v>43927</v>
      </c>
      <c r="C50" s="4">
        <f t="shared" si="1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16570.687016741467</v>
      </c>
      <c r="G50" s="10">
        <f>Tabella8[[#This Row],[Italy sum]]*NOT(ISBLANK(Tabella8[[#This Row],[Italy cumulative]]))</f>
        <v>16570.687016741467</v>
      </c>
      <c r="H50" s="27">
        <f>(Kt^(1-pt)-(1-pt)*EXP(-(Tabella8[[#This Row],[Day]]-t0t)/wt))^(1/(1-pt))</f>
        <v>16576.283251366589</v>
      </c>
      <c r="I50" s="10">
        <f>Tabella8[[#This Row],[Italy fit]]*NOT(ISBLANK(Tabella8[[#This Row],[Italy cumulative]]))</f>
        <v>16576.283251366589</v>
      </c>
      <c r="J50" s="10">
        <f>Tabella8[[#This Row],[Italy sum]]+CI</f>
        <v>16793.266313024222</v>
      </c>
      <c r="K50" s="10">
        <f>MAX(Tabella8[[#This Row],[Italy sum]]-CI,0)</f>
        <v>16348.107720458715</v>
      </c>
      <c r="L50" s="86">
        <f t="shared" si="0"/>
        <v>9202</v>
      </c>
      <c r="M50" s="10">
        <f>Tabella8[[#This Row],[Lombardy]]*NOT(ISBLANK(Tabella8[[#This Row],[Lombardy]]))</f>
        <v>9202</v>
      </c>
      <c r="N50" s="27">
        <f>(Kr^(1-pr)-(1-pr)*EXP(-(Tabella8[[#This Row],[Day]]-t0r)/wr))^(1/(1-pr))</f>
        <v>9183.2719457766598</v>
      </c>
      <c r="O50" s="10">
        <f>Tabella8[[#This Row],[Lombardy fit]]*NOT(ISBLANK(Tabella8[[#This Row],[Lombardy]]))</f>
        <v>9183.2719457766598</v>
      </c>
      <c r="P50" s="10">
        <f>Tabella8[[#This Row],[Lombardy fit]]+CIr</f>
        <v>9360.1316225220398</v>
      </c>
      <c r="Q50" s="10">
        <f>MAX(Tabella8[[#This Row],[Lombardy fit]]-CIr,0)</f>
        <v>9006.4122690312797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27">
        <f>(Ko^(1-po)-(1-po)*EXP(-(Tabella8[[#This Row],[Day]]-t0o)/wo))^(1/(1-po))</f>
        <v>7387.4150709648084</v>
      </c>
      <c r="U50" s="27">
        <f>Tabella8[[#This Row],[rest of Italy fit]]*NOT(ISBLANK(Tabella8[[#This Row],[rest of Italy ]]))</f>
        <v>7387.4150709648084</v>
      </c>
      <c r="V50" s="10">
        <f>Tabella8[[#This Row],[rest of Italy fit]]+CIo</f>
        <v>7505.1767755748315</v>
      </c>
      <c r="W50" s="10">
        <f>MAX(Tabella8[[#This Row],[rest of Italy fit]]-CIo,0)</f>
        <v>7269.6533663547852</v>
      </c>
      <c r="Y50" s="89" t="s">
        <v>151</v>
      </c>
      <c r="Z50" s="35">
        <v>0.99999899999999997</v>
      </c>
    </row>
    <row r="51" spans="2:27" x14ac:dyDescent="0.3">
      <c r="B51" s="9">
        <v>43928</v>
      </c>
      <c r="C51" s="4">
        <f t="shared" si="1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17208.825899413492</v>
      </c>
      <c r="G51" s="10">
        <f>Tabella8[[#This Row],[Italy sum]]*NOT(ISBLANK(Tabella8[[#This Row],[Italy cumulative]]))</f>
        <v>17208.825899413492</v>
      </c>
      <c r="H51" s="27">
        <f>(Kt^(1-pt)-(1-pt)*EXP(-(Tabella8[[#This Row],[Day]]-t0t)/wt))^(1/(1-pt))</f>
        <v>17210.985751256288</v>
      </c>
      <c r="I51" s="10">
        <f>Tabella8[[#This Row],[Italy fit]]*NOT(ISBLANK(Tabella8[[#This Row],[Italy cumulative]]))</f>
        <v>17210.985751256288</v>
      </c>
      <c r="J51" s="10">
        <f>Tabella8[[#This Row],[Italy sum]]+CI</f>
        <v>17431.405195696247</v>
      </c>
      <c r="K51" s="10">
        <f>MAX(Tabella8[[#This Row],[Italy sum]]-CI,0)</f>
        <v>16986.246603130738</v>
      </c>
      <c r="L51" s="86">
        <f t="shared" si="0"/>
        <v>9484</v>
      </c>
      <c r="M51" s="10">
        <f>Tabella8[[#This Row],[Lombardy]]*NOT(ISBLANK(Tabella8[[#This Row],[Lombardy]]))</f>
        <v>9484</v>
      </c>
      <c r="N51" s="27">
        <f>(Kr^(1-pr)-(1-pr)*EXP(-(Tabella8[[#This Row],[Day]]-t0r)/wr))^(1/(1-pr))</f>
        <v>9482.1139134338609</v>
      </c>
      <c r="O51" s="10">
        <f>Tabella8[[#This Row],[Lombardy fit]]*NOT(ISBLANK(Tabella8[[#This Row],[Lombardy]]))</f>
        <v>9482.1139134338609</v>
      </c>
      <c r="P51" s="10">
        <f>Tabella8[[#This Row],[Lombardy fit]]+CIr</f>
        <v>9658.973590179241</v>
      </c>
      <c r="Q51" s="10">
        <f>MAX(Tabella8[[#This Row],[Lombardy fit]]-CIr,0)</f>
        <v>9305.2542366884809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27">
        <f>(Ko^(1-po)-(1-po)*EXP(-(Tabella8[[#This Row],[Day]]-t0o)/wo))^(1/(1-po))</f>
        <v>7726.7119859796303</v>
      </c>
      <c r="U51" s="27">
        <f>Tabella8[[#This Row],[rest of Italy fit]]*NOT(ISBLANK(Tabella8[[#This Row],[rest of Italy ]]))</f>
        <v>7726.7119859796303</v>
      </c>
      <c r="V51" s="10">
        <f>Tabella8[[#This Row],[rest of Italy fit]]+CIo</f>
        <v>7844.4736905896534</v>
      </c>
      <c r="W51" s="10">
        <f>MAX(Tabella8[[#This Row],[rest of Italy fit]]-CIo,0)</f>
        <v>7608.9502813696072</v>
      </c>
      <c r="Y51" s="84" t="s">
        <v>40</v>
      </c>
      <c r="Z51" s="85">
        <v>3</v>
      </c>
    </row>
    <row r="52" spans="2:27" x14ac:dyDescent="0.3">
      <c r="B52" s="9">
        <v>43929</v>
      </c>
      <c r="C52" s="4">
        <f t="shared" si="1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17821.54725306758</v>
      </c>
      <c r="G52" s="10">
        <f>Tabella8[[#This Row],[Italy sum]]*NOT(ISBLANK(Tabella8[[#This Row],[Italy cumulative]]))</f>
        <v>17821.54725306758</v>
      </c>
      <c r="H52" s="27">
        <f>(Kt^(1-pt)-(1-pt)*EXP(-(Tabella8[[#This Row],[Day]]-t0t)/wt))^(1/(1-pt))</f>
        <v>17819.88375241233</v>
      </c>
      <c r="I52" s="10">
        <f>Tabella8[[#This Row],[Italy fit]]*NOT(ISBLANK(Tabella8[[#This Row],[Italy cumulative]]))</f>
        <v>17819.88375241233</v>
      </c>
      <c r="J52" s="10">
        <f>Tabella8[[#This Row],[Italy sum]]+CI</f>
        <v>18044.126549350334</v>
      </c>
      <c r="K52" s="10">
        <f>MAX(Tabella8[[#This Row],[Italy sum]]-CI,0)</f>
        <v>17598.967956784825</v>
      </c>
      <c r="L52" s="86">
        <f t="shared" si="0"/>
        <v>9722</v>
      </c>
      <c r="M52" s="10">
        <f>Tabella8[[#This Row],[Lombardy]]*NOT(ISBLANK(Tabella8[[#This Row],[Lombardy]]))</f>
        <v>9722</v>
      </c>
      <c r="N52" s="27">
        <f>(Kr^(1-pr)-(1-pr)*EXP(-(Tabella8[[#This Row],[Day]]-t0r)/wr))^(1/(1-pr))</f>
        <v>9766.0816810111828</v>
      </c>
      <c r="O52" s="10">
        <f>Tabella8[[#This Row],[Lombardy fit]]*NOT(ISBLANK(Tabella8[[#This Row],[Lombardy]]))</f>
        <v>9766.0816810111828</v>
      </c>
      <c r="P52" s="10">
        <f>Tabella8[[#This Row],[Lombardy fit]]+CIr</f>
        <v>9942.9413577565629</v>
      </c>
      <c r="Q52" s="10">
        <f>MAX(Tabella8[[#This Row],[Lombardy fit]]-CIr,0)</f>
        <v>9589.2220042658028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27">
        <f>(Ko^(1-po)-(1-po)*EXP(-(Tabella8[[#This Row],[Day]]-t0o)/wo))^(1/(1-po))</f>
        <v>8055.4655720563978</v>
      </c>
      <c r="U52" s="27">
        <f>Tabella8[[#This Row],[rest of Italy fit]]*NOT(ISBLANK(Tabella8[[#This Row],[rest of Italy ]]))</f>
        <v>8055.4655720563978</v>
      </c>
      <c r="V52" s="10">
        <f>Tabella8[[#This Row],[rest of Italy fit]]+CIo</f>
        <v>8173.2272766664209</v>
      </c>
      <c r="W52" s="10">
        <f>MAX(Tabella8[[#This Row],[rest of Italy fit]]-CIo,0)</f>
        <v>7937.7038674463747</v>
      </c>
      <c r="Y52" s="84" t="s">
        <v>41</v>
      </c>
      <c r="Z52" s="102" t="s">
        <v>52</v>
      </c>
    </row>
    <row r="53" spans="2:27" x14ac:dyDescent="0.3">
      <c r="B53" s="9">
        <v>43930</v>
      </c>
      <c r="C53" s="4">
        <f t="shared" si="1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18408.275719234476</v>
      </c>
      <c r="G53" s="10">
        <f>Tabella8[[#This Row],[Italy sum]]*NOT(ISBLANK(Tabella8[[#This Row],[Italy cumulative]]))</f>
        <v>18408.275719234476</v>
      </c>
      <c r="H53" s="27">
        <f>(Kt^(1-pt)-(1-pt)*EXP(-(Tabella8[[#This Row],[Day]]-t0t)/wt))^(1/(1-pt))</f>
        <v>18402.450267639255</v>
      </c>
      <c r="I53" s="10">
        <f>Tabella8[[#This Row],[Italy fit]]*NOT(ISBLANK(Tabella8[[#This Row],[Italy cumulative]]))</f>
        <v>18402.450267639255</v>
      </c>
      <c r="J53" s="10">
        <f>Tabella8[[#This Row],[Italy sum]]+CI</f>
        <v>18630.855015517231</v>
      </c>
      <c r="K53" s="10">
        <f>MAX(Tabella8[[#This Row],[Italy sum]]-CI,0)</f>
        <v>18185.696422951722</v>
      </c>
      <c r="L53" s="86">
        <f t="shared" si="0"/>
        <v>10022</v>
      </c>
      <c r="M53" s="10">
        <f>Tabella8[[#This Row],[Lombardy]]*NOT(ISBLANK(Tabella8[[#This Row],[Lombardy]]))</f>
        <v>10022</v>
      </c>
      <c r="N53" s="27">
        <f>(Kr^(1-pr)-(1-pr)*EXP(-(Tabella8[[#This Row],[Day]]-t0r)/wr))^(1/(1-pr))</f>
        <v>10035.264480953036</v>
      </c>
      <c r="O53" s="10">
        <f>Tabella8[[#This Row],[Lombardy fit]]*NOT(ISBLANK(Tabella8[[#This Row],[Lombardy]]))</f>
        <v>10035.264480953036</v>
      </c>
      <c r="P53" s="10">
        <f>Tabella8[[#This Row],[Lombardy fit]]+CIr</f>
        <v>10212.124157698416</v>
      </c>
      <c r="Q53" s="10">
        <f>MAX(Tabella8[[#This Row],[Lombardy fit]]-CIr,0)</f>
        <v>9858.4048042076556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27">
        <f>(Ko^(1-po)-(1-po)*EXP(-(Tabella8[[#This Row],[Day]]-t0o)/wo))^(1/(1-po))</f>
        <v>8373.0112382814405</v>
      </c>
      <c r="U53" s="27">
        <f>Tabella8[[#This Row],[rest of Italy fit]]*NOT(ISBLANK(Tabella8[[#This Row],[rest of Italy ]]))</f>
        <v>8373.0112382814405</v>
      </c>
      <c r="V53" s="10">
        <f>Tabella8[[#This Row],[rest of Italy fit]]+CIo</f>
        <v>8490.7729428914627</v>
      </c>
      <c r="W53" s="10">
        <f>MAX(Tabella8[[#This Row],[rest of Italy fit]]-CIo,0)</f>
        <v>8255.2495336714182</v>
      </c>
    </row>
    <row r="54" spans="2:27" x14ac:dyDescent="0.3">
      <c r="B54" s="9">
        <v>43931</v>
      </c>
      <c r="C54" s="4">
        <f t="shared" si="1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18968.709138529382</v>
      </c>
      <c r="G54" s="10">
        <f>Tabella8[[#This Row],[Italy sum]]*NOT(ISBLANK(Tabella8[[#This Row],[Italy cumulative]]))</f>
        <v>18968.709138529382</v>
      </c>
      <c r="H54" s="27">
        <f>(Kt^(1-pt)-(1-pt)*EXP(-(Tabella8[[#This Row],[Day]]-t0t)/wt))^(1/(1-pt))</f>
        <v>18958.432317695133</v>
      </c>
      <c r="I54" s="10">
        <f>Tabella8[[#This Row],[Italy fit]]*NOT(ISBLANK(Tabella8[[#This Row],[Italy cumulative]]))</f>
        <v>18958.432317695133</v>
      </c>
      <c r="J54" s="10">
        <f>Tabella8[[#This Row],[Italy sum]]+CI</f>
        <v>19191.288434812137</v>
      </c>
      <c r="K54" s="10">
        <f>MAX(Tabella8[[#This Row],[Italy sum]]-CI,0)</f>
        <v>18746.129842246628</v>
      </c>
      <c r="L54" s="86">
        <f t="shared" si="0"/>
        <v>10238</v>
      </c>
      <c r="M54" s="10">
        <f>Tabella8[[#This Row],[Lombardy]]*NOT(ISBLANK(Tabella8[[#This Row],[Lombardy]]))</f>
        <v>10238</v>
      </c>
      <c r="N54" s="27">
        <f>(Kr^(1-pr)-(1-pr)*EXP(-(Tabella8[[#This Row],[Day]]-t0r)/wr))^(1/(1-pr))</f>
        <v>10289.864685632427</v>
      </c>
      <c r="O54" s="10">
        <f>Tabella8[[#This Row],[Lombardy fit]]*NOT(ISBLANK(Tabella8[[#This Row],[Lombardy]]))</f>
        <v>10289.864685632427</v>
      </c>
      <c r="P54" s="10">
        <f>Tabella8[[#This Row],[Lombardy fit]]+CIr</f>
        <v>10466.724362377807</v>
      </c>
      <c r="Q54" s="10">
        <f>MAX(Tabella8[[#This Row],[Lombardy fit]]-CIr,0)</f>
        <v>10113.005008887047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27">
        <f>(Ko^(1-po)-(1-po)*EXP(-(Tabella8[[#This Row],[Day]]-t0o)/wo))^(1/(1-po))</f>
        <v>8678.8444528969576</v>
      </c>
      <c r="U54" s="27">
        <f>Tabella8[[#This Row],[rest of Italy fit]]*NOT(ISBLANK(Tabella8[[#This Row],[rest of Italy ]]))</f>
        <v>8678.8444528969576</v>
      </c>
      <c r="V54" s="10">
        <f>Tabella8[[#This Row],[rest of Italy fit]]+CIo</f>
        <v>8796.6061575069798</v>
      </c>
      <c r="W54" s="10">
        <f>MAX(Tabella8[[#This Row],[rest of Italy fit]]-CIo,0)</f>
        <v>8561.0827482869354</v>
      </c>
      <c r="Y54" s="84" t="s">
        <v>153</v>
      </c>
      <c r="Z54" t="s">
        <v>206</v>
      </c>
      <c r="AA54"/>
    </row>
    <row r="55" spans="2:27" x14ac:dyDescent="0.3">
      <c r="B55" s="9">
        <v>43932</v>
      </c>
      <c r="C55" s="4">
        <f t="shared" si="1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19502.785856222898</v>
      </c>
      <c r="G55" s="10">
        <f>Tabella8[[#This Row],[Italy sum]]*NOT(ISBLANK(Tabella8[[#This Row],[Italy cumulative]]))</f>
        <v>19502.785856222898</v>
      </c>
      <c r="H55" s="27">
        <f>(Kt^(1-pt)-(1-pt)*EXP(-(Tabella8[[#This Row],[Day]]-t0t)/wt))^(1/(1-pt))</f>
        <v>19487.817040144375</v>
      </c>
      <c r="I55" s="10">
        <f>Tabella8[[#This Row],[Italy fit]]*NOT(ISBLANK(Tabella8[[#This Row],[Italy cumulative]]))</f>
        <v>19487.817040144375</v>
      </c>
      <c r="J55" s="10">
        <f>Tabella8[[#This Row],[Italy sum]]+CI</f>
        <v>19725.365152505652</v>
      </c>
      <c r="K55" s="10">
        <f>MAX(Tabella8[[#This Row],[Italy sum]]-CI,0)</f>
        <v>19280.206559940143</v>
      </c>
      <c r="L55" s="86">
        <f t="shared" si="0"/>
        <v>10511</v>
      </c>
      <c r="M55" s="10">
        <f>Tabella8[[#This Row],[Lombardy]]*NOT(ISBLANK(Tabella8[[#This Row],[Lombardy]]))</f>
        <v>10511</v>
      </c>
      <c r="N55" s="27">
        <f>(Kr^(1-pr)-(1-pr)*EXP(-(Tabella8[[#This Row],[Day]]-t0r)/wr))^(1/(1-pr))</f>
        <v>10530.178813652714</v>
      </c>
      <c r="O55" s="10">
        <f>Tabella8[[#This Row],[Lombardy fit]]*NOT(ISBLANK(Tabella8[[#This Row],[Lombardy]]))</f>
        <v>10530.178813652714</v>
      </c>
      <c r="P55" s="10">
        <f>Tabella8[[#This Row],[Lombardy fit]]+CIr</f>
        <v>10707.038490398094</v>
      </c>
      <c r="Q55" s="10">
        <f>MAX(Tabella8[[#This Row],[Lombardy fit]]-CIr,0)</f>
        <v>10353.319136907334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27">
        <f>(Ko^(1-po)-(1-po)*EXP(-(Tabella8[[#This Row],[Day]]-t0o)/wo))^(1/(1-po))</f>
        <v>8972.6070425701837</v>
      </c>
      <c r="U55" s="27">
        <f>Tabella8[[#This Row],[rest of Italy fit]]*NOT(ISBLANK(Tabella8[[#This Row],[rest of Italy ]]))</f>
        <v>8972.6070425701837</v>
      </c>
      <c r="V55" s="10">
        <f>Tabella8[[#This Row],[rest of Italy fit]]+CIo</f>
        <v>9090.3687471802059</v>
      </c>
      <c r="W55" s="10">
        <f>MAX(Tabella8[[#This Row],[rest of Italy fit]]-CIo,0)</f>
        <v>8854.8453379601615</v>
      </c>
      <c r="Y55" s="85" t="s">
        <v>155</v>
      </c>
      <c r="Z55" s="88">
        <v>6</v>
      </c>
      <c r="AA55"/>
    </row>
    <row r="56" spans="2:27" x14ac:dyDescent="0.3">
      <c r="B56" s="9">
        <v>43933</v>
      </c>
      <c r="C56" s="4">
        <f t="shared" si="1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20010.653072398469</v>
      </c>
      <c r="G56" s="10">
        <f>Tabella8[[#This Row],[Italy sum]]*NOT(ISBLANK(Tabella8[[#This Row],[Italy cumulative]]))</f>
        <v>20010.653072398469</v>
      </c>
      <c r="H56" s="27">
        <f>(Kt^(1-pt)-(1-pt)*EXP(-(Tabella8[[#This Row],[Day]]-t0t)/wt))^(1/(1-pt))</f>
        <v>19990.799060185396</v>
      </c>
      <c r="I56" s="10">
        <f>Tabella8[[#This Row],[Italy fit]]*NOT(ISBLANK(Tabella8[[#This Row],[Italy cumulative]]))</f>
        <v>19990.799060185396</v>
      </c>
      <c r="J56" s="10">
        <f>Tabella8[[#This Row],[Italy sum]]+CI</f>
        <v>20233.232368681223</v>
      </c>
      <c r="K56" s="10">
        <f>MAX(Tabella8[[#This Row],[Italy sum]]-CI,0)</f>
        <v>19788.073776115714</v>
      </c>
      <c r="L56" s="86">
        <f t="shared" si="0"/>
        <v>10621</v>
      </c>
      <c r="M56" s="10">
        <f>Tabella8[[#This Row],[Lombardy]]*NOT(ISBLANK(Tabella8[[#This Row],[Lombardy]]))</f>
        <v>10621</v>
      </c>
      <c r="N56" s="27">
        <f>(Kr^(1-pr)-(1-pr)*EXP(-(Tabella8[[#This Row],[Day]]-t0r)/wr))^(1/(1-pr))</f>
        <v>10756.580123383781</v>
      </c>
      <c r="O56" s="10">
        <f>Tabella8[[#This Row],[Lombardy fit]]*NOT(ISBLANK(Tabella8[[#This Row],[Lombardy]]))</f>
        <v>10756.580123383781</v>
      </c>
      <c r="P56" s="10">
        <f>Tabella8[[#This Row],[Lombardy fit]]+CIr</f>
        <v>10933.439800129161</v>
      </c>
      <c r="Q56" s="10">
        <f>MAX(Tabella8[[#This Row],[Lombardy fit]]-CIr,0)</f>
        <v>10579.720446638401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27">
        <f>(Ko^(1-po)-(1-po)*EXP(-(Tabella8[[#This Row],[Day]]-t0o)/wo))^(1/(1-po))</f>
        <v>9254.0729490146896</v>
      </c>
      <c r="U56" s="27">
        <f>Tabella8[[#This Row],[rest of Italy fit]]*NOT(ISBLANK(Tabella8[[#This Row],[rest of Italy ]]))</f>
        <v>9254.0729490146896</v>
      </c>
      <c r="V56" s="10">
        <f>Tabella8[[#This Row],[rest of Italy fit]]+CIo</f>
        <v>9371.8346536247118</v>
      </c>
      <c r="W56" s="10">
        <f>MAX(Tabella8[[#This Row],[rest of Italy fit]]-CIo,0)</f>
        <v>9136.3112444046674</v>
      </c>
      <c r="Y56" s="85" t="s">
        <v>156</v>
      </c>
      <c r="Z56" s="88">
        <v>9</v>
      </c>
      <c r="AA56"/>
    </row>
    <row r="57" spans="2:27" x14ac:dyDescent="0.3">
      <c r="B57" s="9">
        <v>43934</v>
      </c>
      <c r="C57" s="4">
        <f t="shared" si="1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20492.636753998879</v>
      </c>
      <c r="G57" s="10">
        <f>Tabella8[[#This Row],[Italy sum]]*NOT(ISBLANK(Tabella8[[#This Row],[Italy cumulative]]))</f>
        <v>20492.636753998879</v>
      </c>
      <c r="H57" s="27">
        <f>(Kt^(1-pt)-(1-pt)*EXP(-(Tabella8[[#This Row],[Day]]-t0t)/wt))^(1/(1-pt))</f>
        <v>20467.749650044065</v>
      </c>
      <c r="I57" s="10">
        <f>Tabella8[[#This Row],[Italy fit]]*NOT(ISBLANK(Tabella8[[#This Row],[Italy cumulative]]))</f>
        <v>20467.749650044065</v>
      </c>
      <c r="J57" s="10">
        <f>Tabella8[[#This Row],[Italy sum]]+CI</f>
        <v>20715.216050281633</v>
      </c>
      <c r="K57" s="10">
        <f>MAX(Tabella8[[#This Row],[Italy sum]]-CI,0)</f>
        <v>20270.057457716124</v>
      </c>
      <c r="L57" s="86">
        <f t="shared" si="0"/>
        <v>10901</v>
      </c>
      <c r="M57" s="10">
        <f>Tabella8[[#This Row],[Lombardy]]*NOT(ISBLANK(Tabella8[[#This Row],[Lombardy]]))</f>
        <v>10901</v>
      </c>
      <c r="N57" s="27">
        <f>(Kr^(1-pr)-(1-pr)*EXP(-(Tabella8[[#This Row],[Day]]-t0r)/wr))^(1/(1-pr))</f>
        <v>10969.502895188954</v>
      </c>
      <c r="O57" s="10">
        <f>Tabella8[[#This Row],[Lombardy fit]]*NOT(ISBLANK(Tabella8[[#This Row],[Lombardy]]))</f>
        <v>10969.502895188954</v>
      </c>
      <c r="P57" s="10">
        <f>Tabella8[[#This Row],[Lombardy fit]]+CIr</f>
        <v>11146.362571934334</v>
      </c>
      <c r="Q57" s="10">
        <f>MAX(Tabella8[[#This Row],[Lombardy fit]]-CIr,0)</f>
        <v>10792.643218443574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27">
        <f>(Ko^(1-po)-(1-po)*EXP(-(Tabella8[[#This Row],[Day]]-t0o)/wo))^(1/(1-po))</f>
        <v>9523.1338588099225</v>
      </c>
      <c r="U57" s="27">
        <f>Tabella8[[#This Row],[rest of Italy fit]]*NOT(ISBLANK(Tabella8[[#This Row],[rest of Italy ]]))</f>
        <v>9523.1338588099225</v>
      </c>
      <c r="V57" s="10">
        <f>Tabella8[[#This Row],[rest of Italy fit]]+CIo</f>
        <v>9640.8955634199447</v>
      </c>
      <c r="W57" s="10">
        <f>MAX(Tabella8[[#This Row],[rest of Italy fit]]-CIo,0)</f>
        <v>9405.3721541999003</v>
      </c>
      <c r="Y57" s="85" t="s">
        <v>157</v>
      </c>
      <c r="Z57" s="88">
        <v>9</v>
      </c>
      <c r="AA57"/>
    </row>
    <row r="58" spans="2:27" x14ac:dyDescent="0.3">
      <c r="B58" s="9">
        <v>43935</v>
      </c>
      <c r="C58" s="4">
        <f t="shared" si="1"/>
        <v>50</v>
      </c>
      <c r="D58" s="10">
        <f>'dpc-covid19-ita-andamento-naz'!K52</f>
        <v>21067</v>
      </c>
      <c r="E58" s="10">
        <f>Tabella8[[#This Row],[Italy cumulative]]*NOT(ISBLANK(Tabella8[[#This Row],[Italy cumulative]]))</f>
        <v>21067</v>
      </c>
      <c r="F58" s="10">
        <f>Tabella8[[#This Row],[Lombardy fit]]+Tabella8[[#This Row],[rest of Italy fit]]</f>
        <v>20949.213496516088</v>
      </c>
      <c r="G58" s="10">
        <f>Tabella8[[#This Row],[Italy sum]]*NOT(ISBLANK(Tabella8[[#This Row],[Italy cumulative]]))</f>
        <v>20949.213496516088</v>
      </c>
      <c r="H58" s="27">
        <f>(Kt^(1-pt)-(1-pt)*EXP(-(Tabella8[[#This Row],[Day]]-t0t)/wt))^(1/(1-pt))</f>
        <v>20919.187996957193</v>
      </c>
      <c r="I58" s="10">
        <f>Tabella8[[#This Row],[Italy fit]]*NOT(ISBLANK(Tabella8[[#This Row],[Italy cumulative]]))</f>
        <v>20919.187996957193</v>
      </c>
      <c r="J58" s="10">
        <f>Tabella8[[#This Row],[Italy sum]]+CI</f>
        <v>21171.792792798842</v>
      </c>
      <c r="K58" s="10">
        <f>MAX(Tabella8[[#This Row],[Italy sum]]-CI,0)</f>
        <v>20726.634200233333</v>
      </c>
      <c r="L58" s="86">
        <f t="shared" si="0"/>
        <v>11142</v>
      </c>
      <c r="M58" s="10">
        <f>Tabella8[[#This Row],[Lombardy]]*NOT(ISBLANK(Tabella8[[#This Row],[Lombardy]]))</f>
        <v>11142</v>
      </c>
      <c r="N58" s="27">
        <f>(Kr^(1-pr)-(1-pr)*EXP(-(Tabella8[[#This Row],[Day]]-t0r)/wr))^(1/(1-pr))</f>
        <v>11169.428419789021</v>
      </c>
      <c r="O58" s="10">
        <f>Tabella8[[#This Row],[Lombardy fit]]*NOT(ISBLANK(Tabella8[[#This Row],[Lombardy]]))</f>
        <v>11169.428419789021</v>
      </c>
      <c r="P58" s="10">
        <f>Tabella8[[#This Row],[Lombardy fit]]+CIr</f>
        <v>11346.288096534401</v>
      </c>
      <c r="Q58" s="10">
        <f>MAX(Tabella8[[#This Row],[Lombardy fit]]-CIr,0)</f>
        <v>10992.568743043641</v>
      </c>
      <c r="R58" s="10">
        <f>Tabella8[[#This Row],[Italy cumulative]]-Tabella8[[#This Row],[Lombardy]]</f>
        <v>9925</v>
      </c>
      <c r="S58" s="10">
        <f>Tabella8[[#This Row],[rest of Italy ]]*NOT(ISBLANK(Tabella8[[#This Row],[rest of Italy ]]))</f>
        <v>9925</v>
      </c>
      <c r="T58" s="27">
        <f>(Ko^(1-po)-(1-po)*EXP(-(Tabella8[[#This Row],[Day]]-t0o)/wo))^(1/(1-po))</f>
        <v>9779.7850767270666</v>
      </c>
      <c r="U58" s="27">
        <f>Tabella8[[#This Row],[rest of Italy fit]]*NOT(ISBLANK(Tabella8[[#This Row],[rest of Italy ]]))</f>
        <v>9779.7850767270666</v>
      </c>
      <c r="V58" s="10">
        <f>Tabella8[[#This Row],[rest of Italy fit]]+CIo</f>
        <v>9897.5467813370888</v>
      </c>
      <c r="W58" s="10">
        <f>MAX(Tabella8[[#This Row],[rest of Italy fit]]-CIo,0)</f>
        <v>9662.0233721170443</v>
      </c>
      <c r="Y58" s="85" t="s">
        <v>158</v>
      </c>
      <c r="Z58" s="88">
        <v>14</v>
      </c>
      <c r="AA58"/>
    </row>
    <row r="59" spans="2:27" x14ac:dyDescent="0.3">
      <c r="B59" s="9">
        <v>43936</v>
      </c>
      <c r="C59" s="4">
        <f t="shared" si="1"/>
        <v>51</v>
      </c>
      <c r="D59" s="10">
        <f>'dpc-covid19-ita-andamento-naz'!K53</f>
        <v>21645</v>
      </c>
      <c r="E59" s="10">
        <f>Tabella8[[#This Row],[Italy cumulative]]*NOT(ISBLANK(Tabella8[[#This Row],[Italy cumulative]]))</f>
        <v>21645</v>
      </c>
      <c r="F59" s="10">
        <f>Tabella8[[#This Row],[Lombardy fit]]+Tabella8[[#This Row],[rest of Italy fit]]</f>
        <v>21380.984546944885</v>
      </c>
      <c r="G59" s="10">
        <f>Tabella8[[#This Row],[Italy sum]]*NOT(ISBLANK(Tabella8[[#This Row],[Italy cumulative]]))</f>
        <v>21380.984546944885</v>
      </c>
      <c r="H59" s="27">
        <f>(Kt^(1-pt)-(1-pt)*EXP(-(Tabella8[[#This Row],[Day]]-t0t)/wt))^(1/(1-pt))</f>
        <v>21345.754835999029</v>
      </c>
      <c r="I59" s="10">
        <f>Tabella8[[#This Row],[Italy fit]]*NOT(ISBLANK(Tabella8[[#This Row],[Italy cumulative]]))</f>
        <v>21345.754835999029</v>
      </c>
      <c r="J59" s="10">
        <f>Tabella8[[#This Row],[Italy sum]]+CI</f>
        <v>21603.563843227639</v>
      </c>
      <c r="K59" s="10">
        <f>MAX(Tabella8[[#This Row],[Italy sum]]-CI,0)</f>
        <v>21158.40525066213</v>
      </c>
      <c r="L59" s="86">
        <f t="shared" si="0"/>
        <v>11377</v>
      </c>
      <c r="M59" s="10">
        <f>Tabella8[[#This Row],[Lombardy]]*NOT(ISBLANK(Tabella8[[#This Row],[Lombardy]]))</f>
        <v>11377</v>
      </c>
      <c r="N59" s="27">
        <f>(Kr^(1-pr)-(1-pr)*EXP(-(Tabella8[[#This Row],[Day]]-t0r)/wr))^(1/(1-pr))</f>
        <v>11356.872644007968</v>
      </c>
      <c r="O59" s="10">
        <f>Tabella8[[#This Row],[Lombardy fit]]*NOT(ISBLANK(Tabella8[[#This Row],[Lombardy]]))</f>
        <v>11356.872644007968</v>
      </c>
      <c r="P59" s="10">
        <f>Tabella8[[#This Row],[Lombardy fit]]+CIr</f>
        <v>11533.732320753348</v>
      </c>
      <c r="Q59" s="10">
        <f>MAX(Tabella8[[#This Row],[Lombardy fit]]-CIr,0)</f>
        <v>11180.012967262588</v>
      </c>
      <c r="R59" s="10">
        <f>Tabella8[[#This Row],[Italy cumulative]]-Tabella8[[#This Row],[Lombardy]]</f>
        <v>10268</v>
      </c>
      <c r="S59" s="10">
        <f>Tabella8[[#This Row],[rest of Italy ]]*NOT(ISBLANK(Tabella8[[#This Row],[rest of Italy ]]))</f>
        <v>10268</v>
      </c>
      <c r="T59" s="27">
        <f>(Ko^(1-po)-(1-po)*EXP(-(Tabella8[[#This Row],[Day]]-t0o)/wo))^(1/(1-po))</f>
        <v>10024.111902936917</v>
      </c>
      <c r="U59" s="27">
        <f>Tabella8[[#This Row],[rest of Italy fit]]*NOT(ISBLANK(Tabella8[[#This Row],[rest of Italy ]]))</f>
        <v>10024.111902936917</v>
      </c>
      <c r="V59" s="10">
        <f>Tabella8[[#This Row],[rest of Italy fit]]+CIo</f>
        <v>10141.873607546939</v>
      </c>
      <c r="W59" s="10">
        <f>MAX(Tabella8[[#This Row],[rest of Italy fit]]-CIo,0)</f>
        <v>9906.3501983268943</v>
      </c>
      <c r="Y59" s="85" t="s">
        <v>159</v>
      </c>
      <c r="Z59" s="88">
        <v>17</v>
      </c>
      <c r="AA59"/>
    </row>
    <row r="60" spans="2:27" x14ac:dyDescent="0.3">
      <c r="B60" s="9">
        <v>43937</v>
      </c>
      <c r="C60" s="4">
        <f t="shared" si="1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21788.652168069661</v>
      </c>
      <c r="G60" s="10">
        <f>Tabella8[[#This Row],[Italy sum]]*NOT(ISBLANK(Tabella8[[#This Row],[Italy cumulative]]))</f>
        <v>0</v>
      </c>
      <c r="H60" s="27">
        <f>(Kt^(1-pt)-(1-pt)*EXP(-(Tabella8[[#This Row],[Day]]-t0t)/wt))^(1/(1-pt))</f>
        <v>21748.188531252305</v>
      </c>
      <c r="I60" s="10">
        <f>Tabella8[[#This Row],[Italy fit]]*NOT(ISBLANK(Tabella8[[#This Row],[Italy cumulative]]))</f>
        <v>0</v>
      </c>
      <c r="J60" s="10"/>
      <c r="K60" s="10"/>
      <c r="L60" s="87"/>
      <c r="M60" s="10">
        <f>Tabella8[[#This Row],[Lombardy]]*NOT(ISBLANK(Tabella8[[#This Row],[Lombardy]]))</f>
        <v>0</v>
      </c>
      <c r="N60" s="27">
        <f>(Kr^(1-pr)-(1-pr)*EXP(-(Tabella8[[#This Row],[Day]]-t0r)/wr))^(1/(1-pr))</f>
        <v>11532.375437406905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27">
        <f>(Ko^(1-po)-(1-po)*EXP(-(Tabella8[[#This Row],[Day]]-t0o)/wo))^(1/(1-po))</f>
        <v>10256.276730662757</v>
      </c>
      <c r="U60" s="27">
        <f>Tabella8[[#This Row],[rest of Italy fit]]*NOT(ISBLANK(Tabella8[[#This Row],[rest of Italy ]]))</f>
        <v>0</v>
      </c>
      <c r="Y60" s="85" t="s">
        <v>160</v>
      </c>
      <c r="Z60" s="88">
        <v>23</v>
      </c>
      <c r="AA60"/>
    </row>
    <row r="61" spans="2:27" x14ac:dyDescent="0.3">
      <c r="B61" s="9">
        <v>43938</v>
      </c>
      <c r="C61" s="4">
        <f t="shared" si="1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22172.998319361301</v>
      </c>
      <c r="G61" s="10">
        <f>Tabella8[[#This Row],[Italy sum]]*NOT(ISBLANK(Tabella8[[#This Row],[Italy cumulative]]))</f>
        <v>0</v>
      </c>
      <c r="H61" s="27">
        <f>(Kt^(1-pt)-(1-pt)*EXP(-(Tabella8[[#This Row],[Day]]-t0t)/wt))^(1/(1-pt))</f>
        <v>22127.303634657346</v>
      </c>
      <c r="I61" s="10">
        <f>Tabella8[[#This Row],[Italy fit]]*NOT(ISBLANK(Tabella8[[#This Row],[Italy cumulative]]))</f>
        <v>0</v>
      </c>
      <c r="J61" s="10"/>
      <c r="K61" s="10"/>
      <c r="L61" s="87"/>
      <c r="M61" s="10">
        <f>Tabella8[[#This Row],[Lombardy]]*NOT(ISBLANK(Tabella8[[#This Row],[Lombardy]]))</f>
        <v>0</v>
      </c>
      <c r="N61" s="27">
        <f>(Kr^(1-pr)-(1-pr)*EXP(-(Tabella8[[#This Row],[Day]]-t0r)/wr))^(1/(1-pr))</f>
        <v>11696.491326119556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27">
        <f>(Ko^(1-po)-(1-po)*EXP(-(Tabella8[[#This Row],[Day]]-t0o)/wo))^(1/(1-po))</f>
        <v>10476.506993241743</v>
      </c>
      <c r="U61" s="27">
        <f>Tabella8[[#This Row],[rest of Italy fit]]*NOT(ISBLANK(Tabella8[[#This Row],[rest of Italy ]]))</f>
        <v>0</v>
      </c>
      <c r="Y61" s="85" t="s">
        <v>161</v>
      </c>
      <c r="Z61" s="88">
        <v>24</v>
      </c>
      <c r="AA61"/>
    </row>
    <row r="62" spans="2:27" x14ac:dyDescent="0.3">
      <c r="B62" s="9">
        <v>43939</v>
      </c>
      <c r="C62" s="4">
        <f t="shared" si="1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22534.865697657035</v>
      </c>
      <c r="G62" s="10">
        <f>Tabella8[[#This Row],[Italy sum]]*NOT(ISBLANK(Tabella8[[#This Row],[Italy cumulative]]))</f>
        <v>0</v>
      </c>
      <c r="H62" s="27">
        <f>(Kt^(1-pt)-(1-pt)*EXP(-(Tabella8[[#This Row],[Day]]-t0t)/wt))^(1/(1-pt))</f>
        <v>22483.971884358893</v>
      </c>
      <c r="I62" s="10">
        <f>Tabella8[[#This Row],[Italy fit]]*NOT(ISBLANK(Tabella8[[#This Row],[Italy cumulative]]))</f>
        <v>0</v>
      </c>
      <c r="J62" s="10"/>
      <c r="K62" s="10"/>
      <c r="L62" s="87"/>
      <c r="M62" s="10">
        <f>Tabella8[[#This Row],[Lombardy]]*NOT(ISBLANK(Tabella8[[#This Row],[Lombardy]]))</f>
        <v>0</v>
      </c>
      <c r="N62" s="27">
        <f>(Kr^(1-pr)-(1-pr)*EXP(-(Tabella8[[#This Row],[Day]]-t0r)/wr))^(1/(1-pr))</f>
        <v>11849.78163006352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27">
        <f>(Ko^(1-po)-(1-po)*EXP(-(Tabella8[[#This Row],[Day]]-t0o)/wo))^(1/(1-po))</f>
        <v>10685.084067593514</v>
      </c>
      <c r="U62" s="27">
        <f>Tabella8[[#This Row],[rest of Italy fit]]*NOT(ISBLANK(Tabella8[[#This Row],[rest of Italy ]]))</f>
        <v>0</v>
      </c>
      <c r="Y62" s="85" t="s">
        <v>162</v>
      </c>
      <c r="Z62" s="88">
        <v>38</v>
      </c>
      <c r="AA62"/>
    </row>
    <row r="63" spans="2:27" x14ac:dyDescent="0.3">
      <c r="B63" s="9">
        <v>43940</v>
      </c>
      <c r="C63" s="4">
        <f t="shared" si="1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22875.14097929823</v>
      </c>
      <c r="G63" s="10">
        <f>Tabella8[[#This Row],[Italy sum]]*NOT(ISBLANK(Tabella8[[#This Row],[Italy cumulative]]))</f>
        <v>0</v>
      </c>
      <c r="H63" s="27">
        <f>(Kt^(1-pt)-(1-pt)*EXP(-(Tabella8[[#This Row],[Day]]-t0t)/wt))^(1/(1-pt))</f>
        <v>22819.10552289111</v>
      </c>
      <c r="I63" s="10">
        <f>Tabella8[[#This Row],[Italy fit]]*NOT(ISBLANK(Tabella8[[#This Row],[Italy cumulative]]))</f>
        <v>0</v>
      </c>
      <c r="J63" s="10"/>
      <c r="K63" s="10"/>
      <c r="L63" s="87"/>
      <c r="M63" s="10">
        <f>Tabella8[[#This Row],[Lombardy]]*NOT(ISBLANK(Tabella8[[#This Row],[Lombardy]]))</f>
        <v>0</v>
      </c>
      <c r="N63" s="27">
        <f>(Kr^(1-pr)-(1-pr)*EXP(-(Tabella8[[#This Row],[Day]]-t0r)/wr))^(1/(1-pr))</f>
        <v>11992.807853907409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27">
        <f>(Ko^(1-po)-(1-po)*EXP(-(Tabella8[[#This Row],[Day]]-t0o)/wo))^(1/(1-po))</f>
        <v>10882.33312539082</v>
      </c>
      <c r="U63" s="27">
        <f>Tabella8[[#This Row],[rest of Italy fit]]*NOT(ISBLANK(Tabella8[[#This Row],[rest of Italy ]]))</f>
        <v>0</v>
      </c>
      <c r="Y63" s="85" t="s">
        <v>163</v>
      </c>
      <c r="Z63" s="88">
        <v>55</v>
      </c>
      <c r="AA63"/>
    </row>
    <row r="64" spans="2:27" x14ac:dyDescent="0.3">
      <c r="B64" s="9">
        <v>43941</v>
      </c>
      <c r="C64" s="4">
        <f t="shared" si="1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23194.740247580205</v>
      </c>
      <c r="G64" s="10">
        <f>Tabella8[[#This Row],[Italy sum]]*NOT(ISBLANK(Tabella8[[#This Row],[Italy cumulative]]))</f>
        <v>0</v>
      </c>
      <c r="H64" s="27">
        <f>(Kt^(1-pt)-(1-pt)*EXP(-(Tabella8[[#This Row],[Day]]-t0t)/wt))^(1/(1-pt))</f>
        <v>23133.642800443668</v>
      </c>
      <c r="I64" s="10">
        <f>Tabella8[[#This Row],[Italy fit]]*NOT(ISBLANK(Tabella8[[#This Row],[Italy cumulative]]))</f>
        <v>0</v>
      </c>
      <c r="J64" s="10"/>
      <c r="K64" s="10"/>
      <c r="L64" s="87"/>
      <c r="M64" s="10">
        <f>Tabella8[[#This Row],[Lombardy]]*NOT(ISBLANK(Tabella8[[#This Row],[Lombardy]]))</f>
        <v>0</v>
      </c>
      <c r="N64" s="27">
        <f>(Kr^(1-pr)-(1-pr)*EXP(-(Tabella8[[#This Row],[Day]]-t0r)/wr))^(1/(1-pr))</f>
        <v>12126.126215659962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27">
        <f>(Ko^(1-po)-(1-po)*EXP(-(Tabella8[[#This Row],[Day]]-t0o)/wo))^(1/(1-po))</f>
        <v>11068.614031920242</v>
      </c>
      <c r="U64" s="27">
        <f>Tabella8[[#This Row],[rest of Italy fit]]*NOT(ISBLANK(Tabella8[[#This Row],[rest of Italy ]]))</f>
        <v>0</v>
      </c>
      <c r="Y64" s="85" t="s">
        <v>164</v>
      </c>
      <c r="Z64" s="88">
        <v>73</v>
      </c>
      <c r="AA64"/>
    </row>
    <row r="65" spans="2:27" x14ac:dyDescent="0.3">
      <c r="B65" s="9">
        <v>43942</v>
      </c>
      <c r="C65" s="4">
        <f t="shared" si="1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23494.59636385171</v>
      </c>
      <c r="G65" s="10">
        <f>Tabella8[[#This Row],[Italy sum]]*NOT(ISBLANK(Tabella8[[#This Row],[Italy cumulative]]))</f>
        <v>0</v>
      </c>
      <c r="H65" s="27">
        <f>(Kt^(1-pt)-(1-pt)*EXP(-(Tabella8[[#This Row],[Day]]-t0t)/wt))^(1/(1-pt))</f>
        <v>23428.535533536113</v>
      </c>
      <c r="I65" s="10">
        <f>Tabella8[[#This Row],[Italy fit]]*NOT(ISBLANK(Tabella8[[#This Row],[Italy cumulative]]))</f>
        <v>0</v>
      </c>
      <c r="J65" s="10"/>
      <c r="K65" s="10"/>
      <c r="L65" s="87"/>
      <c r="M65" s="10">
        <f>Tabella8[[#This Row],[Lombardy]]*NOT(ISBLANK(Tabella8[[#This Row],[Lombardy]]))</f>
        <v>0</v>
      </c>
      <c r="N65" s="27">
        <f>(Kr^(1-pr)-(1-pr)*EXP(-(Tabella8[[#This Row],[Day]]-t0r)/wr))^(1/(1-pr))</f>
        <v>12250.283176185689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27">
        <f>(Ko^(1-po)-(1-po)*EXP(-(Tabella8[[#This Row],[Day]]-t0o)/wo))^(1/(1-po))</f>
        <v>11244.313187666021</v>
      </c>
      <c r="U65" s="27">
        <f>Tabella8[[#This Row],[rest of Italy fit]]*NOT(ISBLANK(Tabella8[[#This Row],[rest of Italy ]]))</f>
        <v>0</v>
      </c>
      <c r="Y65" s="85" t="s">
        <v>165</v>
      </c>
      <c r="Z65" s="88">
        <v>98</v>
      </c>
      <c r="AA65"/>
    </row>
    <row r="66" spans="2:27" x14ac:dyDescent="0.3">
      <c r="B66" s="9">
        <v>43943</v>
      </c>
      <c r="C66" s="4">
        <f t="shared" si="1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23775.648208448161</v>
      </c>
      <c r="G66" s="10">
        <f>Tabella8[[#This Row],[Italy sum]]*NOT(ISBLANK(Tabella8[[#This Row],[Italy cumulative]]))</f>
        <v>0</v>
      </c>
      <c r="H66" s="27">
        <f>(Kt^(1-pt)-(1-pt)*EXP(-(Tabella8[[#This Row],[Day]]-t0t)/wt))^(1/(1-pt))</f>
        <v>23704.738538249912</v>
      </c>
      <c r="I66" s="10">
        <f>Tabella8[[#This Row],[Italy fit]]*NOT(ISBLANK(Tabella8[[#This Row],[Italy cumulative]]))</f>
        <v>0</v>
      </c>
      <c r="J66" s="10"/>
      <c r="K66" s="10"/>
      <c r="L66" s="87"/>
      <c r="M66" s="10">
        <f>Tabella8[[#This Row],[Lombardy]]*NOT(ISBLANK(Tabella8[[#This Row],[Lombardy]]))</f>
        <v>0</v>
      </c>
      <c r="N66" s="27">
        <f>(Kr^(1-pr)-(1-pr)*EXP(-(Tabella8[[#This Row],[Day]]-t0r)/wr))^(1/(1-pr))</f>
        <v>12365.811873344213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27">
        <f>(Ko^(1-po)-(1-po)*EXP(-(Tabella8[[#This Row],[Day]]-t0o)/wo))^(1/(1-po))</f>
        <v>11409.836335103948</v>
      </c>
      <c r="U66" s="27">
        <f>Tabella8[[#This Row],[rest of Italy fit]]*NOT(ISBLANK(Tabella8[[#This Row],[rest of Italy ]]))</f>
        <v>0</v>
      </c>
      <c r="Y66" s="85" t="s">
        <v>166</v>
      </c>
      <c r="Z66" s="88">
        <v>135</v>
      </c>
      <c r="AA66"/>
    </row>
    <row r="67" spans="2:27" x14ac:dyDescent="0.3">
      <c r="B67" s="9">
        <v>43944</v>
      </c>
      <c r="C67" s="4">
        <f t="shared" si="1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24038.83158373816</v>
      </c>
      <c r="G67" s="10">
        <f>Tabella8[[#This Row],[Italy sum]]*NOT(ISBLANK(Tabella8[[#This Row],[Italy cumulative]]))</f>
        <v>0</v>
      </c>
      <c r="H67" s="27">
        <f>(Kt^(1-pt)-(1-pt)*EXP(-(Tabella8[[#This Row],[Day]]-t0t)/wt))^(1/(1-pt))</f>
        <v>23963.200750925815</v>
      </c>
      <c r="I67" s="10">
        <f>Tabella8[[#This Row],[Italy fit]]*NOT(ISBLANK(Tabella8[[#This Row],[Italy cumulative]]))</f>
        <v>0</v>
      </c>
      <c r="J67" s="10"/>
      <c r="K67" s="10"/>
      <c r="L67" s="87"/>
      <c r="M67" s="10">
        <f>Tabella8[[#This Row],[Lombardy]]*NOT(ISBLANK(Tabella8[[#This Row],[Lombardy]]))</f>
        <v>0</v>
      </c>
      <c r="N67" s="27">
        <f>(Kr^(1-pr)-(1-pr)*EXP(-(Tabella8[[#This Row],[Day]]-t0r)/wr))^(1/(1-pr))</f>
        <v>12473.229324014168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27">
        <f>(Ko^(1-po)-(1-po)*EXP(-(Tabella8[[#This Row],[Day]]-t0o)/wo))^(1/(1-po))</f>
        <v>11565.602259723993</v>
      </c>
      <c r="U67" s="27">
        <f>Tabella8[[#This Row],[rest of Italy fit]]*NOT(ISBLANK(Tabella8[[#This Row],[rest of Italy ]]))</f>
        <v>0</v>
      </c>
      <c r="Y67" s="85" t="s">
        <v>167</v>
      </c>
      <c r="Z67" s="88">
        <v>154</v>
      </c>
      <c r="AA67"/>
    </row>
    <row r="68" spans="2:27" x14ac:dyDescent="0.3">
      <c r="B68" s="9">
        <v>43945</v>
      </c>
      <c r="C68" s="4">
        <f t="shared" si="1"/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24285.071627922036</v>
      </c>
      <c r="G68" s="10">
        <f>Tabella8[[#This Row],[Italy sum]]*NOT(ISBLANK(Tabella8[[#This Row],[Italy cumulative]]))</f>
        <v>0</v>
      </c>
      <c r="H68" s="27">
        <f>(Kt^(1-pt)-(1-pt)*EXP(-(Tabella8[[#This Row],[Day]]-t0t)/wt))^(1/(1-pt))</f>
        <v>24204.857875720609</v>
      </c>
      <c r="I68" s="10">
        <f>Tabella8[[#This Row],[Italy fit]]*NOT(ISBLANK(Tabella8[[#This Row],[Italy cumulative]]))</f>
        <v>0</v>
      </c>
      <c r="J68" s="10"/>
      <c r="K68" s="10"/>
      <c r="L68" s="87"/>
      <c r="M68" s="10">
        <f>Tabella8[[#This Row],[Lombardy]]*NOT(ISBLANK(Tabella8[[#This Row],[Lombardy]]))</f>
        <v>0</v>
      </c>
      <c r="N68" s="27">
        <f>(Kr^(1-pr)-(1-pr)*EXP(-(Tabella8[[#This Row],[Day]]-t0r)/wr))^(1/(1-pr))</f>
        <v>12573.034297542687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27">
        <f>(Ko^(1-po)-(1-po)*EXP(-(Tabella8[[#This Row],[Day]]-t0o)/wo))^(1/(1-po))</f>
        <v>11712.037330379348</v>
      </c>
      <c r="U68" s="27">
        <f>Tabella8[[#This Row],[rest of Italy fit]]*NOT(ISBLANK(Tabella8[[#This Row],[rest of Italy ]]))</f>
        <v>0</v>
      </c>
      <c r="Y68" s="85" t="s">
        <v>168</v>
      </c>
      <c r="Z68" s="88">
        <v>267</v>
      </c>
      <c r="AA68"/>
    </row>
    <row r="69" spans="2:27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24515.276603020189</v>
      </c>
      <c r="G69" s="10">
        <f>Tabella8[[#This Row],[Italy sum]]*NOT(ISBLANK(Tabella8[[#This Row],[Italy cumulative]]))</f>
        <v>0</v>
      </c>
      <c r="H69" s="27">
        <f>(Kt^(1-pt)-(1-pt)*EXP(-(Tabella8[[#This Row],[Day]]-t0t)/wt))^(1/(1-pt))</f>
        <v>24430.626409689521</v>
      </c>
      <c r="I69" s="10">
        <f>Tabella8[[#This Row],[Italy fit]]*NOT(ISBLANK(Tabella8[[#This Row],[Italy cumulative]]))</f>
        <v>0</v>
      </c>
      <c r="J69" s="10"/>
      <c r="K69" s="10"/>
      <c r="L69" s="87"/>
      <c r="M69" s="10">
        <f>Tabella8[[#This Row],[Lombardy]]*NOT(ISBLANK(Tabella8[[#This Row],[Lombardy]]))</f>
        <v>0</v>
      </c>
      <c r="N69" s="27">
        <f>(Kr^(1-pr)-(1-pr)*EXP(-(Tabella8[[#This Row],[Day]]-t0r)/wr))^(1/(1-pr))</f>
        <v>12665.705773989934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27">
        <f>(Ko^(1-po)-(1-po)*EXP(-(Tabella8[[#This Row],[Day]]-t0o)/wo))^(1/(1-po))</f>
        <v>11849.570829030254</v>
      </c>
      <c r="U69" s="27">
        <f>Tabella8[[#This Row],[rest of Italy fit]]*NOT(ISBLANK(Tabella8[[#This Row],[rest of Italy ]]))</f>
        <v>0</v>
      </c>
      <c r="Y69" s="85" t="s">
        <v>169</v>
      </c>
      <c r="Z69" s="88">
        <v>333</v>
      </c>
      <c r="AA69"/>
    </row>
    <row r="70" spans="2:27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24730.332841013056</v>
      </c>
      <c r="G70" s="10">
        <f>Tabella8[[#This Row],[Italy sum]]*NOT(ISBLANK(Tabella8[[#This Row],[Italy cumulative]]))</f>
        <v>0</v>
      </c>
      <c r="H70" s="27">
        <f>(Kt^(1-pt)-(1-pt)*EXP(-(Tabella8[[#This Row],[Day]]-t0t)/wt))^(1/(1-pt))</f>
        <v>24641.398827999219</v>
      </c>
      <c r="I70" s="10">
        <f>Tabella8[[#This Row],[Italy fit]]*NOT(ISBLANK(Tabella8[[#This Row],[Italy cumulative]]))</f>
        <v>0</v>
      </c>
      <c r="J70" s="10"/>
      <c r="K70" s="10"/>
      <c r="L70" s="87"/>
      <c r="M70" s="10">
        <f>Tabella8[[#This Row],[Lombardy]]*NOT(ISBLANK(Tabella8[[#This Row],[Lombardy]]))</f>
        <v>0</v>
      </c>
      <c r="N70" s="27">
        <f>(Kr^(1-pr)-(1-pr)*EXP(-(Tabella8[[#This Row],[Day]]-t0r)/wr))^(1/(1-pr))</f>
        <v>12751.701876228357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27">
        <f>(Ko^(1-po)-(1-po)*EXP(-(Tabella8[[#This Row],[Day]]-t0o)/wo))^(1/(1-po))</f>
        <v>11978.630964784701</v>
      </c>
      <c r="U70" s="27">
        <f>Tabella8[[#This Row],[rest of Italy fit]]*NOT(ISBLANK(Tabella8[[#This Row],[rest of Italy ]]))</f>
        <v>0</v>
      </c>
      <c r="Y70" s="85" t="s">
        <v>170</v>
      </c>
      <c r="Z70" s="88">
        <v>468</v>
      </c>
      <c r="AA70"/>
    </row>
    <row r="71" spans="2:27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24931.100789283581</v>
      </c>
      <c r="G71" s="10">
        <f>Tabella8[[#This Row],[Italy sum]]*NOT(ISBLANK(Tabella8[[#This Row],[Italy cumulative]]))</f>
        <v>0</v>
      </c>
      <c r="H71" s="27">
        <f>(Kt^(1-pt)-(1-pt)*EXP(-(Tabella8[[#This Row],[Day]]-t0t)/wt))^(1/(1-pt))</f>
        <v>24838.039849129404</v>
      </c>
      <c r="I71" s="10">
        <f>Tabella8[[#This Row],[Italy fit]]*NOT(ISBLANK(Tabella8[[#This Row],[Italy cumulative]]))</f>
        <v>0</v>
      </c>
      <c r="J71" s="10"/>
      <c r="K71" s="10"/>
      <c r="L71" s="87"/>
      <c r="M71" s="10">
        <f>Tabella8[[#This Row],[Lombardy]]*NOT(ISBLANK(Tabella8[[#This Row],[Lombardy]]))</f>
        <v>0</v>
      </c>
      <c r="N71" s="27">
        <f>(Kr^(1-pr)-(1-pr)*EXP(-(Tabella8[[#This Row],[Day]]-t0r)/wr))^(1/(1-pr))</f>
        <v>12831.459237992347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27">
        <f>(Ko^(1-po)-(1-po)*EXP(-(Tabella8[[#This Row],[Day]]-t0o)/wo))^(1/(1-po))</f>
        <v>12099.641551291234</v>
      </c>
      <c r="U71" s="27">
        <f>Tabella8[[#This Row],[rest of Italy fit]]*NOT(ISBLANK(Tabella8[[#This Row],[rest of Italy ]]))</f>
        <v>0</v>
      </c>
      <c r="Y71" s="85" t="s">
        <v>171</v>
      </c>
      <c r="Z71" s="88">
        <v>617</v>
      </c>
      <c r="AA71"/>
    </row>
    <row r="72" spans="2:27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25118.411949970614</v>
      </c>
      <c r="G72" s="10">
        <f>Tabella8[[#This Row],[Italy sum]]*NOT(ISBLANK(Tabella8[[#This Row],[Italy cumulative]]))</f>
        <v>0</v>
      </c>
      <c r="H72" s="27">
        <f>(Kt^(1-pt)-(1-pt)*EXP(-(Tabella8[[#This Row],[Day]]-t0t)/wt))^(1/(1-pt))</f>
        <v>25021.383597979413</v>
      </c>
      <c r="I72" s="10">
        <f>Tabella8[[#This Row],[Italy fit]]*NOT(ISBLANK(Tabella8[[#This Row],[Italy cumulative]]))</f>
        <v>0</v>
      </c>
      <c r="J72" s="10"/>
      <c r="K72" s="10"/>
      <c r="L72" s="87"/>
      <c r="M72" s="10">
        <f>Tabella8[[#This Row],[Lombardy]]*NOT(ISBLANK(Tabella8[[#This Row],[Lombardy]]))</f>
        <v>0</v>
      </c>
      <c r="N72" s="27">
        <f>(Kr^(1-pr)-(1-pr)*EXP(-(Tabella8[[#This Row],[Day]]-t0r)/wr))^(1/(1-pr))</f>
        <v>12905.392700159908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27">
        <f>(Ko^(1-po)-(1-po)*EXP(-(Tabella8[[#This Row],[Day]]-t0o)/wo))^(1/(1-po))</f>
        <v>12213.019249810706</v>
      </c>
      <c r="U72" s="27">
        <f>Tabella8[[#This Row],[rest of Italy fit]]*NOT(ISBLANK(Tabella8[[#This Row],[rest of Italy ]]))</f>
        <v>0</v>
      </c>
      <c r="Y72" s="85" t="s">
        <v>172</v>
      </c>
      <c r="Z72" s="88">
        <v>744</v>
      </c>
    </row>
    <row r="73" spans="2:27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25293.066613378989</v>
      </c>
      <c r="G73" s="10">
        <f>Tabella8[[#This Row],[Italy sum]]*NOT(ISBLANK(Tabella8[[#This Row],[Italy cumulative]]))</f>
        <v>0</v>
      </c>
      <c r="H73" s="27">
        <f>(Kt^(1-pt)-(1-pt)*EXP(-(Tabella8[[#This Row],[Day]]-t0t)/wt))^(1/(1-pt))</f>
        <v>25192.23155906831</v>
      </c>
      <c r="I73" s="10">
        <f>Tabella8[[#This Row],[Italy fit]]*NOT(ISBLANK(Tabella8[[#This Row],[Italy cumulative]]))</f>
        <v>0</v>
      </c>
      <c r="J73" s="10"/>
      <c r="K73" s="10"/>
      <c r="L73" s="87"/>
      <c r="M73" s="10">
        <f>Tabella8[[#This Row],[Lombardy]]*NOT(ISBLANK(Tabella8[[#This Row],[Lombardy]]))</f>
        <v>0</v>
      </c>
      <c r="N73" s="27">
        <f>(Kr^(1-pr)-(1-pr)*EXP(-(Tabella8[[#This Row],[Day]]-t0r)/wr))^(1/(1-pr))</f>
        <v>12973.895282181598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27">
        <f>(Ko^(1-po)-(1-po)*EXP(-(Tabella8[[#This Row],[Day]]-t0o)/wo))^(1/(1-po))</f>
        <v>12319.171331197391</v>
      </c>
      <c r="U73" s="27">
        <f>Tabella8[[#This Row],[rest of Italy fit]]*NOT(ISBLANK(Tabella8[[#This Row],[rest of Italy ]]))</f>
        <v>0</v>
      </c>
      <c r="Y73" s="85" t="s">
        <v>173</v>
      </c>
      <c r="Z73" s="88">
        <v>890</v>
      </c>
    </row>
    <row r="74" spans="2:27" x14ac:dyDescent="0.3">
      <c r="B74" s="9">
        <v>43951</v>
      </c>
      <c r="C74" s="4">
        <f t="shared" ref="C74:C78" si="2">C73+1</f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25455.832283747885</v>
      </c>
      <c r="G74" s="10">
        <f>Tabella8[[#This Row],[Italy sum]]*NOT(ISBLANK(Tabella8[[#This Row],[Italy cumulative]]))</f>
        <v>0</v>
      </c>
      <c r="H74" s="27">
        <f>(Kt^(1-pt)-(1-pt)*EXP(-(Tabella8[[#This Row],[Day]]-t0t)/wt))^(1/(1-pt))</f>
        <v>25351.351189372872</v>
      </c>
      <c r="I74" s="10">
        <f>Tabella8[[#This Row],[Italy fit]]*NOT(ISBLANK(Tabella8[[#This Row],[Italy cumulative]]))</f>
        <v>0</v>
      </c>
      <c r="J74" s="10"/>
      <c r="K74" s="10"/>
      <c r="L74" s="87"/>
      <c r="M74" s="10">
        <f>Tabella8[[#This Row],[Lombardy]]*NOT(ISBLANK(Tabella8[[#This Row],[Lombardy]]))</f>
        <v>0</v>
      </c>
      <c r="N74" s="27">
        <f>(Kr^(1-pr)-(1-pr)*EXP(-(Tabella8[[#This Row],[Day]]-t0r)/wr))^(1/(1-pr))</f>
        <v>13037.338400353814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27">
        <f>(Ko^(1-po)-(1-po)*EXP(-(Tabella8[[#This Row],[Day]]-t0o)/wo))^(1/(1-po))</f>
        <v>12418.493883394071</v>
      </c>
      <c r="U74" s="27">
        <f>Tabella8[[#This Row],[rest of Italy fit]]*NOT(ISBLANK(Tabella8[[#This Row],[rest of Italy ]]))</f>
        <v>0</v>
      </c>
      <c r="Y74" s="85" t="s">
        <v>174</v>
      </c>
      <c r="Z74" s="88">
        <v>966</v>
      </c>
    </row>
    <row r="75" spans="2:27" x14ac:dyDescent="0.3">
      <c r="B75" s="9">
        <v>43952</v>
      </c>
      <c r="C75" s="4">
        <f t="shared" si="2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25607.442688940122</v>
      </c>
      <c r="G75" s="10">
        <f>Tabella8[[#This Row],[Italy sum]]*NOT(ISBLANK(Tabella8[[#This Row],[Italy cumulative]]))</f>
        <v>0</v>
      </c>
      <c r="H75" s="27">
        <f>(Kt^(1-pt)-(1-pt)*EXP(-(Tabella8[[#This Row],[Day]]-t0t)/wt))^(1/(1-pt))</f>
        <v>25499.475085947568</v>
      </c>
      <c r="I75" s="10">
        <f>Tabella8[[#This Row],[Italy fit]]*NOT(ISBLANK(Tabella8[[#This Row],[Italy cumulative]]))</f>
        <v>0</v>
      </c>
      <c r="J75" s="10"/>
      <c r="K75" s="10"/>
      <c r="L75" s="87"/>
      <c r="M75" s="10">
        <f>Tabella8[[#This Row],[Lombardy]]*NOT(ISBLANK(Tabella8[[#This Row],[Lombardy]]))</f>
        <v>0</v>
      </c>
      <c r="N75" s="27">
        <f>(Kr^(1-pr)-(1-pr)*EXP(-(Tabella8[[#This Row],[Day]]-t0r)/wr))^(1/(1-pr))</f>
        <v>13096.072270979683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27">
        <f>(Ko^(1-po)-(1-po)*EXP(-(Tabella8[[#This Row],[Day]]-t0o)/wo))^(1/(1-po))</f>
        <v>12511.370417960441</v>
      </c>
      <c r="U75" s="27">
        <f>Tabella8[[#This Row],[rest of Italy fit]]*NOT(ISBLANK(Tabella8[[#This Row],[rest of Italy ]]))</f>
        <v>0</v>
      </c>
      <c r="Y75" s="85" t="s">
        <v>175</v>
      </c>
      <c r="Z75" s="88">
        <v>1218</v>
      </c>
    </row>
    <row r="76" spans="2:27" x14ac:dyDescent="0.3">
      <c r="B76" s="9">
        <v>43953</v>
      </c>
      <c r="C76" s="4">
        <f t="shared" si="2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25748.597259743612</v>
      </c>
      <c r="G76" s="10">
        <f>Tabella8[[#This Row],[Italy sum]]*NOT(ISBLANK(Tabella8[[#This Row],[Italy cumulative]]))</f>
        <v>0</v>
      </c>
      <c r="H76" s="27">
        <f>(Kt^(1-pt)-(1-pt)*EXP(-(Tabella8[[#This Row],[Day]]-t0t)/wt))^(1/(1-pt))</f>
        <v>25637.300663462243</v>
      </c>
      <c r="I76" s="10">
        <f>Tabella8[[#This Row],[Italy fit]]*NOT(ISBLANK(Tabella8[[#This Row],[Italy cumulative]]))</f>
        <v>0</v>
      </c>
      <c r="J76" s="10"/>
      <c r="K76" s="10"/>
      <c r="L76" s="87"/>
      <c r="M76" s="10">
        <f>Tabella8[[#This Row],[Lombardy]]*NOT(ISBLANK(Tabella8[[#This Row],[Lombardy]]))</f>
        <v>0</v>
      </c>
      <c r="N76" s="27">
        <f>(Kr^(1-pr)-(1-pr)*EXP(-(Tabella8[[#This Row],[Day]]-t0r)/wr))^(1/(1-pr))</f>
        <v>13150.426438079603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27">
        <f>(Ko^(1-po)-(1-po)*EXP(-(Tabella8[[#This Row],[Day]]-t0o)/wo))^(1/(1-po))</f>
        <v>12598.170821664009</v>
      </c>
      <c r="U76" s="27">
        <f>Tabella8[[#This Row],[rest of Italy fit]]*NOT(ISBLANK(Tabella8[[#This Row],[rest of Italy ]]))</f>
        <v>0</v>
      </c>
      <c r="Y76" s="85" t="s">
        <v>176</v>
      </c>
      <c r="Z76" s="88">
        <v>1420</v>
      </c>
    </row>
    <row r="77" spans="2:27" x14ac:dyDescent="0.3">
      <c r="B77" s="9">
        <v>43954</v>
      </c>
      <c r="C77" s="4">
        <f t="shared" si="2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25879.961029829097</v>
      </c>
      <c r="G77" s="10">
        <f>Tabella8[[#This Row],[Italy sum]]*NOT(ISBLANK(Tabella8[[#This Row],[Italy cumulative]]))</f>
        <v>0</v>
      </c>
      <c r="H77" s="27">
        <f>(Kt^(1-pt)-(1-pt)*EXP(-(Tabella8[[#This Row],[Day]]-t0t)/wt))^(1/(1-pt))</f>
        <v>25765.490175027851</v>
      </c>
      <c r="I77" s="10">
        <f>Tabella8[[#This Row],[Italy fit]]*NOT(ISBLANK(Tabella8[[#This Row],[Italy cumulative]]))</f>
        <v>0</v>
      </c>
      <c r="J77" s="10"/>
      <c r="K77" s="10"/>
      <c r="L77" s="87"/>
      <c r="M77" s="10">
        <f>Tabella8[[#This Row],[Lombardy]]*NOT(ISBLANK(Tabella8[[#This Row],[Lombardy]]))</f>
        <v>0</v>
      </c>
      <c r="N77" s="27">
        <f>(Kr^(1-pr)-(1-pr)*EXP(-(Tabella8[[#This Row],[Day]]-t0r)/wr))^(1/(1-pr))</f>
        <v>13200.710427775106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27">
        <f>(Ko^(1-po)-(1-po)*EXP(-(Tabella8[[#This Row],[Day]]-t0o)/wo))^(1/(1-po))</f>
        <v>12679.250602053991</v>
      </c>
      <c r="U77" s="27">
        <f>Tabella8[[#This Row],[rest of Italy fit]]*NOT(ISBLANK(Tabella8[[#This Row],[rest of Italy ]]))</f>
        <v>0</v>
      </c>
      <c r="Y77" s="85" t="s">
        <v>177</v>
      </c>
      <c r="Z77" s="88">
        <v>1640</v>
      </c>
    </row>
    <row r="78" spans="2:27" x14ac:dyDescent="0.3">
      <c r="B78" s="9">
        <v>43955</v>
      </c>
      <c r="C78" s="4">
        <f t="shared" si="2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26002.164887710918</v>
      </c>
      <c r="G78" s="10">
        <f>Tabella8[[#This Row],[Italy sum]]*NOT(ISBLANK(Tabella8[[#This Row],[Italy cumulative]]))</f>
        <v>0</v>
      </c>
      <c r="H78" s="27">
        <f>(Kt^(1-pt)-(1-pt)*EXP(-(Tabella8[[#This Row],[Day]]-t0t)/wt))^(1/(1-pt))</f>
        <v>25884.671114090215</v>
      </c>
      <c r="I78" s="10">
        <f>Tabella8[[#This Row],[Italy fit]]*NOT(ISBLANK(Tabella8[[#This Row],[Italy cumulative]]))</f>
        <v>0</v>
      </c>
      <c r="J78" s="10"/>
      <c r="K78" s="10"/>
      <c r="L78" s="87"/>
      <c r="M78" s="10">
        <f>Tabella8[[#This Row],[Lombardy]]*NOT(ISBLANK(Tabella8[[#This Row],[Lombardy]]))</f>
        <v>0</v>
      </c>
      <c r="N78" s="27">
        <f>(Kr^(1-pr)-(1-pr)*EXP(-(Tabella8[[#This Row],[Day]]-t0r)/wr))^(1/(1-pr))</f>
        <v>13247.21448636688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27">
        <f>(Ko^(1-po)-(1-po)*EXP(-(Tabella8[[#This Row],[Day]]-t0o)/wo))^(1/(1-po))</f>
        <v>12754.950401344036</v>
      </c>
      <c r="U78" s="27">
        <f>Tabella8[[#This Row],[rest of Italy fit]]*NOT(ISBLANK(Tabella8[[#This Row],[rest of Italy ]]))</f>
        <v>0</v>
      </c>
      <c r="Y78" s="85" t="s">
        <v>178</v>
      </c>
      <c r="Z78" s="88">
        <v>1959</v>
      </c>
    </row>
    <row r="79" spans="2:27" x14ac:dyDescent="0.3">
      <c r="Y79" s="85" t="s">
        <v>179</v>
      </c>
      <c r="Z79" s="88">
        <v>2168</v>
      </c>
    </row>
    <row r="80" spans="2:27" x14ac:dyDescent="0.3">
      <c r="Y80" s="85" t="s">
        <v>180</v>
      </c>
      <c r="Z80" s="88">
        <v>2549</v>
      </c>
    </row>
    <row r="81" spans="25:26" x14ac:dyDescent="0.3">
      <c r="Y81" s="85" t="s">
        <v>181</v>
      </c>
      <c r="Z81" s="88">
        <v>3095</v>
      </c>
    </row>
    <row r="82" spans="25:26" x14ac:dyDescent="0.3">
      <c r="Y82" s="85" t="s">
        <v>182</v>
      </c>
      <c r="Z82" s="88">
        <v>3456</v>
      </c>
    </row>
    <row r="83" spans="25:26" x14ac:dyDescent="0.3">
      <c r="Y83" s="85" t="s">
        <v>183</v>
      </c>
      <c r="Z83" s="88">
        <v>3776</v>
      </c>
    </row>
    <row r="84" spans="25:26" x14ac:dyDescent="0.3">
      <c r="Y84" s="85" t="s">
        <v>184</v>
      </c>
      <c r="Z84" s="88">
        <v>4178</v>
      </c>
    </row>
    <row r="85" spans="25:26" x14ac:dyDescent="0.3">
      <c r="Y85" s="85" t="s">
        <v>185</v>
      </c>
      <c r="Z85" s="88">
        <v>4474</v>
      </c>
    </row>
    <row r="86" spans="25:26" x14ac:dyDescent="0.3">
      <c r="Y86" s="85" t="s">
        <v>186</v>
      </c>
      <c r="Z86" s="88">
        <v>4861</v>
      </c>
    </row>
    <row r="87" spans="25:26" x14ac:dyDescent="0.3">
      <c r="Y87" s="85" t="s">
        <v>187</v>
      </c>
      <c r="Z87" s="88">
        <v>5402</v>
      </c>
    </row>
    <row r="88" spans="25:26" x14ac:dyDescent="0.3">
      <c r="Y88" s="85" t="s">
        <v>188</v>
      </c>
      <c r="Z88" s="88">
        <v>5944</v>
      </c>
    </row>
    <row r="89" spans="25:26" x14ac:dyDescent="0.3">
      <c r="Y89" s="85" t="s">
        <v>189</v>
      </c>
      <c r="Z89" s="88">
        <v>6360</v>
      </c>
    </row>
    <row r="90" spans="25:26" x14ac:dyDescent="0.3">
      <c r="Y90" s="85" t="s">
        <v>190</v>
      </c>
      <c r="Z90" s="88">
        <v>6818</v>
      </c>
    </row>
    <row r="91" spans="25:26" x14ac:dyDescent="0.3">
      <c r="Y91" s="85" t="s">
        <v>191</v>
      </c>
      <c r="Z91" s="88">
        <v>7199</v>
      </c>
    </row>
    <row r="92" spans="25:26" x14ac:dyDescent="0.3">
      <c r="Y92" s="85" t="s">
        <v>192</v>
      </c>
      <c r="Z92" s="88">
        <v>7593</v>
      </c>
    </row>
    <row r="93" spans="25:26" x14ac:dyDescent="0.3">
      <c r="Y93" s="85" t="s">
        <v>193</v>
      </c>
      <c r="Z93" s="88">
        <v>7960</v>
      </c>
    </row>
    <row r="94" spans="25:26" x14ac:dyDescent="0.3">
      <c r="Y94" s="85" t="s">
        <v>194</v>
      </c>
      <c r="Z94" s="88">
        <v>8311</v>
      </c>
    </row>
    <row r="95" spans="25:26" x14ac:dyDescent="0.3">
      <c r="Y95" s="85" t="s">
        <v>195</v>
      </c>
      <c r="Z95" s="88">
        <v>8656</v>
      </c>
    </row>
    <row r="96" spans="25:26" x14ac:dyDescent="0.3">
      <c r="Y96" s="85" t="s">
        <v>196</v>
      </c>
      <c r="Z96" s="88">
        <v>8905</v>
      </c>
    </row>
    <row r="97" spans="25:26" x14ac:dyDescent="0.3">
      <c r="Y97" s="85" t="s">
        <v>197</v>
      </c>
      <c r="Z97" s="88">
        <v>9202</v>
      </c>
    </row>
    <row r="98" spans="25:26" x14ac:dyDescent="0.3">
      <c r="Y98" s="85" t="s">
        <v>198</v>
      </c>
      <c r="Z98" s="88">
        <v>9484</v>
      </c>
    </row>
    <row r="99" spans="25:26" x14ac:dyDescent="0.3">
      <c r="Y99" s="85" t="s">
        <v>199</v>
      </c>
      <c r="Z99" s="88">
        <v>9722</v>
      </c>
    </row>
    <row r="100" spans="25:26" x14ac:dyDescent="0.3">
      <c r="Y100" s="85" t="s">
        <v>200</v>
      </c>
      <c r="Z100" s="88">
        <v>10022</v>
      </c>
    </row>
    <row r="101" spans="25:26" x14ac:dyDescent="0.3">
      <c r="Y101" s="85" t="s">
        <v>201</v>
      </c>
      <c r="Z101" s="88">
        <v>10238</v>
      </c>
    </row>
    <row r="102" spans="25:26" x14ac:dyDescent="0.3">
      <c r="Y102" s="85" t="s">
        <v>202</v>
      </c>
      <c r="Z102" s="88">
        <v>10511</v>
      </c>
    </row>
    <row r="103" spans="25:26" x14ac:dyDescent="0.3">
      <c r="Y103" s="85" t="s">
        <v>203</v>
      </c>
      <c r="Z103" s="88">
        <v>10621</v>
      </c>
    </row>
    <row r="104" spans="25:26" x14ac:dyDescent="0.3">
      <c r="Y104" s="85" t="s">
        <v>204</v>
      </c>
      <c r="Z104" s="88">
        <v>10901</v>
      </c>
    </row>
    <row r="105" spans="25:26" x14ac:dyDescent="0.3">
      <c r="Y105" s="85" t="s">
        <v>205</v>
      </c>
      <c r="Z105" s="88">
        <v>11142</v>
      </c>
    </row>
    <row r="106" spans="25:26" x14ac:dyDescent="0.3">
      <c r="Y106" s="85" t="s">
        <v>211</v>
      </c>
      <c r="Z106" s="88">
        <v>11377</v>
      </c>
    </row>
    <row r="107" spans="25:26" x14ac:dyDescent="0.3">
      <c r="Y107" s="85" t="s">
        <v>154</v>
      </c>
      <c r="Z107" s="13">
        <v>216102</v>
      </c>
    </row>
    <row r="108" spans="25:26" x14ac:dyDescent="0.3">
      <c r="Y108"/>
    </row>
    <row r="109" spans="25:26" x14ac:dyDescent="0.3">
      <c r="Y109"/>
    </row>
    <row r="110" spans="25:26" x14ac:dyDescent="0.3">
      <c r="Y110"/>
    </row>
    <row r="111" spans="25:26" x14ac:dyDescent="0.3">
      <c r="Y111"/>
    </row>
    <row r="112" spans="25:26" x14ac:dyDescent="0.3">
      <c r="Y112"/>
    </row>
    <row r="113" spans="25:25" x14ac:dyDescent="0.3">
      <c r="Y113"/>
    </row>
    <row r="114" spans="25:25" x14ac:dyDescent="0.3">
      <c r="Y114"/>
    </row>
    <row r="115" spans="25:25" x14ac:dyDescent="0.3">
      <c r="Y115"/>
    </row>
    <row r="116" spans="25:25" x14ac:dyDescent="0.3">
      <c r="Y116"/>
    </row>
    <row r="117" spans="25:25" x14ac:dyDescent="0.3">
      <c r="Y117"/>
    </row>
    <row r="118" spans="25:25" x14ac:dyDescent="0.3">
      <c r="Y118"/>
    </row>
    <row r="119" spans="25:25" x14ac:dyDescent="0.3">
      <c r="Y119"/>
    </row>
    <row r="120" spans="25:25" x14ac:dyDescent="0.3">
      <c r="Y120"/>
    </row>
    <row r="121" spans="25:25" x14ac:dyDescent="0.3">
      <c r="Y121"/>
    </row>
    <row r="122" spans="25:25" x14ac:dyDescent="0.3">
      <c r="Y122"/>
    </row>
    <row r="123" spans="25:25" x14ac:dyDescent="0.3">
      <c r="Y123"/>
    </row>
    <row r="124" spans="25:25" x14ac:dyDescent="0.3">
      <c r="Y124"/>
    </row>
    <row r="125" spans="25:25" x14ac:dyDescent="0.3">
      <c r="Y125"/>
    </row>
    <row r="126" spans="25:25" x14ac:dyDescent="0.3">
      <c r="Y126"/>
    </row>
    <row r="127" spans="25:25" x14ac:dyDescent="0.3">
      <c r="Y127"/>
    </row>
    <row r="128" spans="25:25" x14ac:dyDescent="0.3">
      <c r="Y128"/>
    </row>
    <row r="129" spans="25:25" x14ac:dyDescent="0.3">
      <c r="Y129"/>
    </row>
    <row r="130" spans="25:25" x14ac:dyDescent="0.3">
      <c r="Y130"/>
    </row>
    <row r="131" spans="25:25" x14ac:dyDescent="0.3">
      <c r="Y131"/>
    </row>
    <row r="132" spans="25:25" x14ac:dyDescent="0.3">
      <c r="Y132"/>
    </row>
    <row r="133" spans="25:25" x14ac:dyDescent="0.3">
      <c r="Y133"/>
    </row>
    <row r="134" spans="25:25" x14ac:dyDescent="0.3">
      <c r="Y134"/>
    </row>
    <row r="135" spans="25:25" x14ac:dyDescent="0.3">
      <c r="Y135"/>
    </row>
    <row r="136" spans="25:25" x14ac:dyDescent="0.3">
      <c r="Y136"/>
    </row>
    <row r="137" spans="25:25" x14ac:dyDescent="0.3">
      <c r="Y137"/>
    </row>
    <row r="138" spans="25:25" x14ac:dyDescent="0.3">
      <c r="Y138"/>
    </row>
    <row r="139" spans="25:25" x14ac:dyDescent="0.3">
      <c r="Y139"/>
    </row>
    <row r="140" spans="25:25" x14ac:dyDescent="0.3">
      <c r="Y140"/>
    </row>
    <row r="141" spans="25:25" x14ac:dyDescent="0.3">
      <c r="Y141"/>
    </row>
    <row r="142" spans="25:25" x14ac:dyDescent="0.3">
      <c r="Y142"/>
    </row>
    <row r="143" spans="25:25" x14ac:dyDescent="0.3">
      <c r="Y143"/>
    </row>
    <row r="144" spans="25:25" x14ac:dyDescent="0.3">
      <c r="Y144"/>
    </row>
    <row r="145" spans="25:25" x14ac:dyDescent="0.3">
      <c r="Y145"/>
    </row>
    <row r="146" spans="25:25" x14ac:dyDescent="0.3">
      <c r="Y146"/>
    </row>
    <row r="147" spans="25:25" x14ac:dyDescent="0.3">
      <c r="Y147"/>
    </row>
    <row r="148" spans="25:25" x14ac:dyDescent="0.3">
      <c r="Y148"/>
    </row>
    <row r="149" spans="25:25" x14ac:dyDescent="0.3">
      <c r="Y149"/>
    </row>
    <row r="150" spans="25:25" x14ac:dyDescent="0.3">
      <c r="Y150"/>
    </row>
    <row r="151" spans="25:25" x14ac:dyDescent="0.3">
      <c r="Y151"/>
    </row>
    <row r="152" spans="25:25" x14ac:dyDescent="0.3">
      <c r="Y152"/>
    </row>
    <row r="153" spans="25:25" x14ac:dyDescent="0.3">
      <c r="Y153"/>
    </row>
    <row r="154" spans="25:25" x14ac:dyDescent="0.3">
      <c r="Y154"/>
    </row>
    <row r="155" spans="25:25" x14ac:dyDescent="0.3">
      <c r="Y155"/>
    </row>
    <row r="156" spans="25:25" x14ac:dyDescent="0.3">
      <c r="Y156"/>
    </row>
    <row r="157" spans="25:25" x14ac:dyDescent="0.3">
      <c r="Y157"/>
    </row>
    <row r="158" spans="25:25" x14ac:dyDescent="0.3">
      <c r="Y158"/>
    </row>
    <row r="159" spans="25:25" x14ac:dyDescent="0.3">
      <c r="Y159"/>
    </row>
    <row r="160" spans="25:25" x14ac:dyDescent="0.3">
      <c r="Y160"/>
    </row>
    <row r="161" spans="25:25" x14ac:dyDescent="0.3">
      <c r="Y161"/>
    </row>
    <row r="162" spans="25:25" x14ac:dyDescent="0.3">
      <c r="Y162"/>
    </row>
    <row r="163" spans="25:25" x14ac:dyDescent="0.3">
      <c r="Y163"/>
    </row>
    <row r="164" spans="25:25" x14ac:dyDescent="0.3">
      <c r="Y164"/>
    </row>
    <row r="165" spans="25:25" x14ac:dyDescent="0.3">
      <c r="Y165"/>
    </row>
    <row r="166" spans="25:25" x14ac:dyDescent="0.3">
      <c r="Y166"/>
    </row>
    <row r="167" spans="25:25" x14ac:dyDescent="0.3">
      <c r="Y167"/>
    </row>
    <row r="168" spans="25:25" x14ac:dyDescent="0.3">
      <c r="Y168"/>
    </row>
    <row r="169" spans="25:25" x14ac:dyDescent="0.3">
      <c r="Y169"/>
    </row>
    <row r="170" spans="25:25" x14ac:dyDescent="0.3">
      <c r="Y170"/>
    </row>
    <row r="171" spans="25:25" x14ac:dyDescent="0.3">
      <c r="Y171"/>
    </row>
    <row r="172" spans="25:25" x14ac:dyDescent="0.3">
      <c r="Y172"/>
    </row>
    <row r="173" spans="25:25" x14ac:dyDescent="0.3">
      <c r="Y173"/>
    </row>
    <row r="174" spans="25:25" x14ac:dyDescent="0.3">
      <c r="Y174"/>
    </row>
    <row r="175" spans="25:25" x14ac:dyDescent="0.3">
      <c r="Y175"/>
    </row>
    <row r="176" spans="25:25" x14ac:dyDescent="0.3">
      <c r="Y176"/>
    </row>
    <row r="177" spans="25:25" x14ac:dyDescent="0.3">
      <c r="Y177"/>
    </row>
    <row r="178" spans="25:25" x14ac:dyDescent="0.3">
      <c r="Y178"/>
    </row>
    <row r="179" spans="25:25" x14ac:dyDescent="0.3">
      <c r="Y179"/>
    </row>
    <row r="180" spans="25:25" x14ac:dyDescent="0.3">
      <c r="Y180"/>
    </row>
    <row r="181" spans="25:25" x14ac:dyDescent="0.3">
      <c r="Y181"/>
    </row>
    <row r="182" spans="25:25" x14ac:dyDescent="0.3">
      <c r="Y182"/>
    </row>
    <row r="183" spans="25:25" x14ac:dyDescent="0.3">
      <c r="Y183"/>
    </row>
    <row r="184" spans="25:25" x14ac:dyDescent="0.3">
      <c r="Y184"/>
    </row>
    <row r="185" spans="25:25" x14ac:dyDescent="0.3">
      <c r="Y185"/>
    </row>
    <row r="186" spans="25:25" x14ac:dyDescent="0.3">
      <c r="Y186"/>
    </row>
    <row r="187" spans="25:25" x14ac:dyDescent="0.3">
      <c r="Y187"/>
    </row>
    <row r="188" spans="25:25" x14ac:dyDescent="0.3">
      <c r="Y188"/>
    </row>
    <row r="189" spans="25:25" x14ac:dyDescent="0.3">
      <c r="Y189"/>
    </row>
    <row r="190" spans="25:25" x14ac:dyDescent="0.3">
      <c r="Y190"/>
    </row>
    <row r="191" spans="25:25" x14ac:dyDescent="0.3">
      <c r="Y191"/>
    </row>
    <row r="192" spans="25:25" x14ac:dyDescent="0.3">
      <c r="Y192"/>
    </row>
    <row r="193" spans="25:25" x14ac:dyDescent="0.3">
      <c r="Y193"/>
    </row>
    <row r="194" spans="25:25" x14ac:dyDescent="0.3">
      <c r="Y194"/>
    </row>
    <row r="195" spans="25:25" x14ac:dyDescent="0.3">
      <c r="Y195"/>
    </row>
    <row r="196" spans="25:25" x14ac:dyDescent="0.3">
      <c r="Y196"/>
    </row>
    <row r="197" spans="25:25" x14ac:dyDescent="0.3">
      <c r="Y197"/>
    </row>
    <row r="198" spans="25:25" x14ac:dyDescent="0.3">
      <c r="Y198"/>
    </row>
    <row r="199" spans="25:25" x14ac:dyDescent="0.3">
      <c r="Y199"/>
    </row>
    <row r="200" spans="25:25" x14ac:dyDescent="0.3">
      <c r="Y200"/>
    </row>
    <row r="201" spans="25:25" x14ac:dyDescent="0.3">
      <c r="Y201"/>
    </row>
    <row r="202" spans="25:25" x14ac:dyDescent="0.3">
      <c r="Y202"/>
    </row>
    <row r="203" spans="25:25" x14ac:dyDescent="0.3">
      <c r="Y203"/>
    </row>
    <row r="204" spans="25:25" x14ac:dyDescent="0.3">
      <c r="Y204"/>
    </row>
    <row r="205" spans="25:25" x14ac:dyDescent="0.3">
      <c r="Y205"/>
    </row>
    <row r="206" spans="25:25" x14ac:dyDescent="0.3">
      <c r="Y206"/>
    </row>
    <row r="207" spans="25:25" x14ac:dyDescent="0.3">
      <c r="Y207"/>
    </row>
    <row r="208" spans="25:25" x14ac:dyDescent="0.3">
      <c r="Y208"/>
    </row>
    <row r="209" spans="25:25" x14ac:dyDescent="0.3">
      <c r="Y209"/>
    </row>
    <row r="210" spans="25:25" x14ac:dyDescent="0.3">
      <c r="Y210"/>
    </row>
    <row r="211" spans="25:25" x14ac:dyDescent="0.3">
      <c r="Y211"/>
    </row>
    <row r="212" spans="25:25" x14ac:dyDescent="0.3">
      <c r="Y212"/>
    </row>
    <row r="213" spans="25:25" x14ac:dyDescent="0.3">
      <c r="Y213"/>
    </row>
    <row r="214" spans="25:25" x14ac:dyDescent="0.3">
      <c r="Y214"/>
    </row>
    <row r="215" spans="25:25" x14ac:dyDescent="0.3">
      <c r="Y215"/>
    </row>
    <row r="216" spans="25:25" x14ac:dyDescent="0.3">
      <c r="Y216"/>
    </row>
    <row r="217" spans="25:25" x14ac:dyDescent="0.3">
      <c r="Y217"/>
    </row>
    <row r="218" spans="25:25" x14ac:dyDescent="0.3">
      <c r="Y218"/>
    </row>
    <row r="219" spans="25:25" x14ac:dyDescent="0.3">
      <c r="Y219"/>
    </row>
    <row r="220" spans="25:25" x14ac:dyDescent="0.3">
      <c r="Y220"/>
    </row>
    <row r="221" spans="25:25" x14ac:dyDescent="0.3">
      <c r="Y221"/>
    </row>
    <row r="222" spans="25:25" x14ac:dyDescent="0.3">
      <c r="Y222"/>
    </row>
    <row r="223" spans="25:25" x14ac:dyDescent="0.3">
      <c r="Y223"/>
    </row>
    <row r="224" spans="25:25" x14ac:dyDescent="0.3">
      <c r="Y224"/>
    </row>
    <row r="225" spans="25:25" x14ac:dyDescent="0.3">
      <c r="Y225"/>
    </row>
    <row r="226" spans="25:25" x14ac:dyDescent="0.3">
      <c r="Y226"/>
    </row>
    <row r="227" spans="25:25" x14ac:dyDescent="0.3">
      <c r="Y227"/>
    </row>
    <row r="228" spans="25:25" x14ac:dyDescent="0.3">
      <c r="Y228"/>
    </row>
    <row r="229" spans="25:25" x14ac:dyDescent="0.3">
      <c r="Y229"/>
    </row>
    <row r="230" spans="25:25" x14ac:dyDescent="0.3">
      <c r="Y230"/>
    </row>
    <row r="231" spans="25:25" x14ac:dyDescent="0.3">
      <c r="Y231"/>
    </row>
    <row r="232" spans="25:25" x14ac:dyDescent="0.3">
      <c r="Y232"/>
    </row>
    <row r="233" spans="25:25" x14ac:dyDescent="0.3">
      <c r="Y233"/>
    </row>
    <row r="234" spans="25:25" x14ac:dyDescent="0.3">
      <c r="Y234"/>
    </row>
    <row r="235" spans="25:25" x14ac:dyDescent="0.3">
      <c r="Y235"/>
    </row>
    <row r="236" spans="25:25" x14ac:dyDescent="0.3">
      <c r="Y236"/>
    </row>
    <row r="237" spans="25:25" x14ac:dyDescent="0.3">
      <c r="Y237"/>
    </row>
    <row r="238" spans="25:25" x14ac:dyDescent="0.3">
      <c r="Y238"/>
    </row>
    <row r="239" spans="25:25" x14ac:dyDescent="0.3">
      <c r="Y239"/>
    </row>
    <row r="240" spans="25:25" x14ac:dyDescent="0.3">
      <c r="Y240"/>
    </row>
    <row r="241" spans="25:25" x14ac:dyDescent="0.3">
      <c r="Y241"/>
    </row>
    <row r="242" spans="25:25" x14ac:dyDescent="0.3">
      <c r="Y242"/>
    </row>
    <row r="243" spans="25:25" x14ac:dyDescent="0.3">
      <c r="Y243"/>
    </row>
    <row r="244" spans="25:25" x14ac:dyDescent="0.3">
      <c r="Y244"/>
    </row>
    <row r="245" spans="25:25" x14ac:dyDescent="0.3">
      <c r="Y245"/>
    </row>
    <row r="246" spans="25:25" x14ac:dyDescent="0.3">
      <c r="Y246"/>
    </row>
    <row r="247" spans="25:25" x14ac:dyDescent="0.3">
      <c r="Y247"/>
    </row>
    <row r="248" spans="25:25" x14ac:dyDescent="0.3">
      <c r="Y248"/>
    </row>
    <row r="249" spans="25:25" x14ac:dyDescent="0.3">
      <c r="Y249"/>
    </row>
    <row r="250" spans="25:25" x14ac:dyDescent="0.3">
      <c r="Y250"/>
    </row>
    <row r="251" spans="25:25" x14ac:dyDescent="0.3">
      <c r="Y251"/>
    </row>
    <row r="252" spans="25:25" x14ac:dyDescent="0.3">
      <c r="Y252"/>
    </row>
    <row r="253" spans="25:25" x14ac:dyDescent="0.3">
      <c r="Y253"/>
    </row>
    <row r="254" spans="25:25" x14ac:dyDescent="0.3">
      <c r="Y254"/>
    </row>
    <row r="255" spans="25:25" x14ac:dyDescent="0.3">
      <c r="Y255"/>
    </row>
    <row r="256" spans="25:25" x14ac:dyDescent="0.3">
      <c r="Y256"/>
    </row>
    <row r="257" spans="25:25" x14ac:dyDescent="0.3">
      <c r="Y257"/>
    </row>
    <row r="258" spans="25:25" x14ac:dyDescent="0.3">
      <c r="Y258"/>
    </row>
    <row r="259" spans="25:25" x14ac:dyDescent="0.3">
      <c r="Y259"/>
    </row>
    <row r="260" spans="25:25" x14ac:dyDescent="0.3">
      <c r="Y260"/>
    </row>
    <row r="261" spans="25:25" x14ac:dyDescent="0.3">
      <c r="Y261"/>
    </row>
    <row r="262" spans="25:25" x14ac:dyDescent="0.3">
      <c r="Y262"/>
    </row>
    <row r="263" spans="25:25" x14ac:dyDescent="0.3">
      <c r="Y263"/>
    </row>
    <row r="264" spans="25:25" x14ac:dyDescent="0.3">
      <c r="Y264"/>
    </row>
    <row r="265" spans="25:25" x14ac:dyDescent="0.3">
      <c r="Y265"/>
    </row>
    <row r="266" spans="25:25" x14ac:dyDescent="0.3">
      <c r="Y266"/>
    </row>
    <row r="267" spans="25:25" x14ac:dyDescent="0.3">
      <c r="Y267"/>
    </row>
    <row r="268" spans="25:25" x14ac:dyDescent="0.3">
      <c r="Y268"/>
    </row>
    <row r="269" spans="25:25" x14ac:dyDescent="0.3">
      <c r="Y269"/>
    </row>
    <row r="270" spans="25:25" x14ac:dyDescent="0.3">
      <c r="Y270"/>
    </row>
    <row r="271" spans="25:25" x14ac:dyDescent="0.3">
      <c r="Y271"/>
    </row>
    <row r="272" spans="25:25" x14ac:dyDescent="0.3">
      <c r="Y272"/>
    </row>
    <row r="273" spans="25:25" x14ac:dyDescent="0.3">
      <c r="Y273"/>
    </row>
    <row r="274" spans="25:25" x14ac:dyDescent="0.3">
      <c r="Y274"/>
    </row>
    <row r="275" spans="25:25" x14ac:dyDescent="0.3">
      <c r="Y275"/>
    </row>
    <row r="276" spans="25:25" x14ac:dyDescent="0.3">
      <c r="Y276"/>
    </row>
    <row r="277" spans="25:25" x14ac:dyDescent="0.3">
      <c r="Y277"/>
    </row>
    <row r="278" spans="25:25" x14ac:dyDescent="0.3">
      <c r="Y278"/>
    </row>
    <row r="279" spans="25:25" x14ac:dyDescent="0.3">
      <c r="Y279"/>
    </row>
    <row r="280" spans="25:25" x14ac:dyDescent="0.3">
      <c r="Y280"/>
    </row>
    <row r="281" spans="25:25" x14ac:dyDescent="0.3">
      <c r="Y281"/>
    </row>
    <row r="282" spans="25:25" x14ac:dyDescent="0.3">
      <c r="Y282"/>
    </row>
    <row r="283" spans="25:25" x14ac:dyDescent="0.3">
      <c r="Y283"/>
    </row>
    <row r="284" spans="25:25" x14ac:dyDescent="0.3">
      <c r="Y284"/>
    </row>
    <row r="285" spans="25:25" x14ac:dyDescent="0.3">
      <c r="Y285"/>
    </row>
    <row r="286" spans="25:25" x14ac:dyDescent="0.3">
      <c r="Y286"/>
    </row>
    <row r="287" spans="25:25" x14ac:dyDescent="0.3">
      <c r="Y287"/>
    </row>
    <row r="288" spans="25:25" x14ac:dyDescent="0.3">
      <c r="Y288"/>
    </row>
    <row r="289" spans="25:25" x14ac:dyDescent="0.3">
      <c r="Y289"/>
    </row>
    <row r="290" spans="25:25" x14ac:dyDescent="0.3">
      <c r="Y290"/>
    </row>
    <row r="291" spans="25:25" x14ac:dyDescent="0.3">
      <c r="Y291"/>
    </row>
    <row r="292" spans="25:25" x14ac:dyDescent="0.3">
      <c r="Y292"/>
    </row>
    <row r="293" spans="25:25" x14ac:dyDescent="0.3">
      <c r="Y293"/>
    </row>
    <row r="294" spans="25:25" x14ac:dyDescent="0.3">
      <c r="Y294"/>
    </row>
    <row r="295" spans="25:25" x14ac:dyDescent="0.3">
      <c r="Y295"/>
    </row>
    <row r="296" spans="25:25" x14ac:dyDescent="0.3">
      <c r="Y296"/>
    </row>
    <row r="297" spans="25:25" x14ac:dyDescent="0.3">
      <c r="Y297"/>
    </row>
    <row r="298" spans="25:25" x14ac:dyDescent="0.3">
      <c r="Y298"/>
    </row>
    <row r="299" spans="25:25" x14ac:dyDescent="0.3">
      <c r="Y299"/>
    </row>
    <row r="300" spans="25:25" x14ac:dyDescent="0.3">
      <c r="Y300"/>
    </row>
    <row r="301" spans="25:25" x14ac:dyDescent="0.3">
      <c r="Y301"/>
    </row>
    <row r="302" spans="25:25" x14ac:dyDescent="0.3">
      <c r="Y302"/>
    </row>
    <row r="303" spans="25:25" x14ac:dyDescent="0.3">
      <c r="Y303"/>
    </row>
    <row r="304" spans="25:25" x14ac:dyDescent="0.3">
      <c r="Y304"/>
    </row>
    <row r="305" spans="25:25" x14ac:dyDescent="0.3">
      <c r="Y305"/>
    </row>
    <row r="306" spans="25:25" x14ac:dyDescent="0.3">
      <c r="Y306"/>
    </row>
    <row r="307" spans="25:25" x14ac:dyDescent="0.3">
      <c r="Y307"/>
    </row>
    <row r="308" spans="25:25" x14ac:dyDescent="0.3">
      <c r="Y308"/>
    </row>
    <row r="309" spans="25:25" x14ac:dyDescent="0.3">
      <c r="Y309"/>
    </row>
    <row r="310" spans="25:25" x14ac:dyDescent="0.3">
      <c r="Y310"/>
    </row>
    <row r="311" spans="25:25" x14ac:dyDescent="0.3">
      <c r="Y311"/>
    </row>
    <row r="312" spans="25:25" x14ac:dyDescent="0.3">
      <c r="Y312"/>
    </row>
    <row r="313" spans="25:25" x14ac:dyDescent="0.3">
      <c r="Y313"/>
    </row>
    <row r="314" spans="25:25" x14ac:dyDescent="0.3">
      <c r="Y314"/>
    </row>
    <row r="315" spans="25:25" x14ac:dyDescent="0.3">
      <c r="Y315"/>
    </row>
    <row r="316" spans="25:25" x14ac:dyDescent="0.3">
      <c r="Y316"/>
    </row>
    <row r="317" spans="25:25" x14ac:dyDescent="0.3">
      <c r="Y317"/>
    </row>
    <row r="318" spans="25:25" x14ac:dyDescent="0.3">
      <c r="Y318"/>
    </row>
    <row r="319" spans="25:25" x14ac:dyDescent="0.3">
      <c r="Y319"/>
    </row>
    <row r="320" spans="25:25" x14ac:dyDescent="0.3">
      <c r="Y320"/>
    </row>
    <row r="321" spans="25:25" x14ac:dyDescent="0.3">
      <c r="Y321"/>
    </row>
    <row r="322" spans="25:25" x14ac:dyDescent="0.3">
      <c r="Y322"/>
    </row>
    <row r="323" spans="25:25" x14ac:dyDescent="0.3">
      <c r="Y323"/>
    </row>
    <row r="324" spans="25:25" x14ac:dyDescent="0.3">
      <c r="Y324"/>
    </row>
    <row r="325" spans="25:25" x14ac:dyDescent="0.3">
      <c r="Y325"/>
    </row>
    <row r="326" spans="25:25" x14ac:dyDescent="0.3">
      <c r="Y326"/>
    </row>
    <row r="327" spans="25:25" x14ac:dyDescent="0.3">
      <c r="Y327"/>
    </row>
    <row r="328" spans="25:25" x14ac:dyDescent="0.3">
      <c r="Y328"/>
    </row>
    <row r="329" spans="25:25" x14ac:dyDescent="0.3">
      <c r="Y329"/>
    </row>
    <row r="330" spans="25:25" x14ac:dyDescent="0.3">
      <c r="Y330"/>
    </row>
    <row r="331" spans="25:25" x14ac:dyDescent="0.3">
      <c r="Y331"/>
    </row>
    <row r="332" spans="25:25" x14ac:dyDescent="0.3">
      <c r="Y332"/>
    </row>
    <row r="333" spans="25:25" x14ac:dyDescent="0.3">
      <c r="Y333"/>
    </row>
    <row r="334" spans="25:25" x14ac:dyDescent="0.3">
      <c r="Y334"/>
    </row>
    <row r="335" spans="25:25" x14ac:dyDescent="0.3">
      <c r="Y335"/>
    </row>
    <row r="336" spans="25:25" x14ac:dyDescent="0.3">
      <c r="Y336"/>
    </row>
    <row r="337" spans="25:25" x14ac:dyDescent="0.3">
      <c r="Y337"/>
    </row>
    <row r="338" spans="25:25" x14ac:dyDescent="0.3">
      <c r="Y338"/>
    </row>
    <row r="339" spans="25:25" x14ac:dyDescent="0.3">
      <c r="Y339"/>
    </row>
    <row r="340" spans="25:25" x14ac:dyDescent="0.3">
      <c r="Y340"/>
    </row>
    <row r="341" spans="25:25" x14ac:dyDescent="0.3">
      <c r="Y341"/>
    </row>
    <row r="342" spans="25:25" x14ac:dyDescent="0.3">
      <c r="Y342"/>
    </row>
    <row r="343" spans="25:25" x14ac:dyDescent="0.3">
      <c r="Y343"/>
    </row>
    <row r="344" spans="25:25" x14ac:dyDescent="0.3">
      <c r="Y344"/>
    </row>
    <row r="345" spans="25:25" x14ac:dyDescent="0.3">
      <c r="Y345"/>
    </row>
    <row r="346" spans="25:25" x14ac:dyDescent="0.3">
      <c r="Y346"/>
    </row>
    <row r="347" spans="25:25" x14ac:dyDescent="0.3">
      <c r="Y347"/>
    </row>
    <row r="348" spans="25:25" x14ac:dyDescent="0.3">
      <c r="Y348"/>
    </row>
    <row r="349" spans="25:25" x14ac:dyDescent="0.3">
      <c r="Y349"/>
    </row>
    <row r="350" spans="25:25" x14ac:dyDescent="0.3">
      <c r="Y350"/>
    </row>
    <row r="351" spans="25:25" x14ac:dyDescent="0.3">
      <c r="Y351"/>
    </row>
    <row r="352" spans="25:25" x14ac:dyDescent="0.3">
      <c r="Y352"/>
    </row>
    <row r="353" spans="25:25" x14ac:dyDescent="0.3">
      <c r="Y353"/>
    </row>
    <row r="354" spans="25:25" x14ac:dyDescent="0.3">
      <c r="Y354"/>
    </row>
    <row r="355" spans="25:25" x14ac:dyDescent="0.3">
      <c r="Y355"/>
    </row>
    <row r="356" spans="25:25" x14ac:dyDescent="0.3">
      <c r="Y356"/>
    </row>
    <row r="357" spans="25:25" x14ac:dyDescent="0.3">
      <c r="Y357"/>
    </row>
    <row r="358" spans="25:25" x14ac:dyDescent="0.3">
      <c r="Y358"/>
    </row>
    <row r="359" spans="25:25" x14ac:dyDescent="0.3">
      <c r="Y359"/>
    </row>
    <row r="360" spans="25:25" x14ac:dyDescent="0.3">
      <c r="Y360"/>
    </row>
    <row r="361" spans="25:25" x14ac:dyDescent="0.3">
      <c r="Y361"/>
    </row>
    <row r="362" spans="25:25" x14ac:dyDescent="0.3">
      <c r="Y362"/>
    </row>
    <row r="363" spans="25:25" x14ac:dyDescent="0.3">
      <c r="Y363"/>
    </row>
    <row r="364" spans="25:25" x14ac:dyDescent="0.3">
      <c r="Y364"/>
    </row>
    <row r="365" spans="25:25" x14ac:dyDescent="0.3">
      <c r="Y365"/>
    </row>
    <row r="366" spans="25:25" x14ac:dyDescent="0.3">
      <c r="Y366"/>
    </row>
    <row r="367" spans="25:25" x14ac:dyDescent="0.3">
      <c r="Y367"/>
    </row>
    <row r="368" spans="25:25" x14ac:dyDescent="0.3">
      <c r="Y368"/>
    </row>
    <row r="369" spans="25:25" x14ac:dyDescent="0.3">
      <c r="Y369"/>
    </row>
    <row r="370" spans="25:25" x14ac:dyDescent="0.3">
      <c r="Y370"/>
    </row>
    <row r="371" spans="25:25" x14ac:dyDescent="0.3">
      <c r="Y371"/>
    </row>
    <row r="372" spans="25:25" x14ac:dyDescent="0.3">
      <c r="Y372"/>
    </row>
    <row r="373" spans="25:25" x14ac:dyDescent="0.3">
      <c r="Y373"/>
    </row>
    <row r="374" spans="25:25" x14ac:dyDescent="0.3">
      <c r="Y374"/>
    </row>
    <row r="375" spans="25:25" x14ac:dyDescent="0.3">
      <c r="Y375"/>
    </row>
    <row r="376" spans="25:25" x14ac:dyDescent="0.3">
      <c r="Y376"/>
    </row>
    <row r="377" spans="25:25" x14ac:dyDescent="0.3">
      <c r="Y377"/>
    </row>
    <row r="378" spans="25:25" x14ac:dyDescent="0.3">
      <c r="Y378"/>
    </row>
    <row r="379" spans="25:25" x14ac:dyDescent="0.3">
      <c r="Y379"/>
    </row>
    <row r="380" spans="25:25" x14ac:dyDescent="0.3">
      <c r="Y380"/>
    </row>
    <row r="381" spans="25:25" x14ac:dyDescent="0.3">
      <c r="Y381"/>
    </row>
    <row r="382" spans="25:25" x14ac:dyDescent="0.3">
      <c r="Y382"/>
    </row>
    <row r="383" spans="25:25" x14ac:dyDescent="0.3">
      <c r="Y383"/>
    </row>
    <row r="384" spans="25:25" x14ac:dyDescent="0.3">
      <c r="Y384"/>
    </row>
    <row r="385" spans="25:25" x14ac:dyDescent="0.3">
      <c r="Y385"/>
    </row>
    <row r="386" spans="25:25" x14ac:dyDescent="0.3">
      <c r="Y386"/>
    </row>
    <row r="387" spans="25:25" x14ac:dyDescent="0.3">
      <c r="Y387"/>
    </row>
    <row r="388" spans="25:25" x14ac:dyDescent="0.3">
      <c r="Y388"/>
    </row>
    <row r="389" spans="25:25" x14ac:dyDescent="0.3">
      <c r="Y389"/>
    </row>
    <row r="390" spans="25:25" x14ac:dyDescent="0.3">
      <c r="Y390"/>
    </row>
    <row r="391" spans="25:25" x14ac:dyDescent="0.3">
      <c r="Y391"/>
    </row>
    <row r="392" spans="25:25" x14ac:dyDescent="0.3">
      <c r="Y392"/>
    </row>
    <row r="393" spans="25:25" x14ac:dyDescent="0.3">
      <c r="Y393"/>
    </row>
    <row r="394" spans="25:25" x14ac:dyDescent="0.3">
      <c r="Y394"/>
    </row>
    <row r="395" spans="25:25" x14ac:dyDescent="0.3">
      <c r="Y395"/>
    </row>
    <row r="396" spans="25:25" x14ac:dyDescent="0.3">
      <c r="Y396"/>
    </row>
    <row r="397" spans="25:25" x14ac:dyDescent="0.3">
      <c r="Y397"/>
    </row>
    <row r="398" spans="25:25" x14ac:dyDescent="0.3">
      <c r="Y398"/>
    </row>
    <row r="399" spans="25:25" x14ac:dyDescent="0.3">
      <c r="Y399"/>
    </row>
    <row r="400" spans="25:25" x14ac:dyDescent="0.3">
      <c r="Y400"/>
    </row>
    <row r="401" spans="25:25" x14ac:dyDescent="0.3">
      <c r="Y401"/>
    </row>
    <row r="402" spans="25:25" x14ac:dyDescent="0.3">
      <c r="Y402"/>
    </row>
    <row r="403" spans="25:25" x14ac:dyDescent="0.3">
      <c r="Y403"/>
    </row>
    <row r="404" spans="25:25" x14ac:dyDescent="0.3">
      <c r="Y404"/>
    </row>
    <row r="405" spans="25:25" x14ac:dyDescent="0.3">
      <c r="Y405"/>
    </row>
    <row r="406" spans="25:25" x14ac:dyDescent="0.3">
      <c r="Y406"/>
    </row>
    <row r="407" spans="25:25" x14ac:dyDescent="0.3">
      <c r="Y407"/>
    </row>
    <row r="408" spans="25:25" x14ac:dyDescent="0.3">
      <c r="Y408"/>
    </row>
    <row r="409" spans="25:25" x14ac:dyDescent="0.3">
      <c r="Y409"/>
    </row>
    <row r="410" spans="25:25" x14ac:dyDescent="0.3">
      <c r="Y410"/>
    </row>
    <row r="411" spans="25:25" x14ac:dyDescent="0.3">
      <c r="Y411"/>
    </row>
    <row r="412" spans="25:25" x14ac:dyDescent="0.3">
      <c r="Y412"/>
    </row>
    <row r="413" spans="25:25" x14ac:dyDescent="0.3">
      <c r="Y413"/>
    </row>
    <row r="414" spans="25:25" x14ac:dyDescent="0.3">
      <c r="Y414"/>
    </row>
    <row r="415" spans="25:25" x14ac:dyDescent="0.3">
      <c r="Y415"/>
    </row>
    <row r="416" spans="25:25" x14ac:dyDescent="0.3">
      <c r="Y416"/>
    </row>
    <row r="417" spans="25:25" x14ac:dyDescent="0.3">
      <c r="Y417"/>
    </row>
    <row r="418" spans="25:25" x14ac:dyDescent="0.3">
      <c r="Y418"/>
    </row>
    <row r="419" spans="25:25" x14ac:dyDescent="0.3">
      <c r="Y419"/>
    </row>
    <row r="420" spans="25:25" x14ac:dyDescent="0.3">
      <c r="Y420"/>
    </row>
    <row r="421" spans="25:25" x14ac:dyDescent="0.3">
      <c r="Y421"/>
    </row>
    <row r="422" spans="25:25" x14ac:dyDescent="0.3">
      <c r="Y422"/>
    </row>
    <row r="423" spans="25:25" x14ac:dyDescent="0.3">
      <c r="Y423"/>
    </row>
    <row r="424" spans="25:25" x14ac:dyDescent="0.3">
      <c r="Y424"/>
    </row>
    <row r="425" spans="25:25" x14ac:dyDescent="0.3">
      <c r="Y425"/>
    </row>
    <row r="426" spans="25:25" x14ac:dyDescent="0.3">
      <c r="Y426"/>
    </row>
    <row r="427" spans="25:25" x14ac:dyDescent="0.3">
      <c r="Y427"/>
    </row>
    <row r="428" spans="25:25" x14ac:dyDescent="0.3">
      <c r="Y428"/>
    </row>
    <row r="429" spans="25:25" x14ac:dyDescent="0.3">
      <c r="Y429"/>
    </row>
    <row r="430" spans="25:25" x14ac:dyDescent="0.3">
      <c r="Y430"/>
    </row>
    <row r="431" spans="25:25" x14ac:dyDescent="0.3">
      <c r="Y431"/>
    </row>
    <row r="432" spans="25:25" x14ac:dyDescent="0.3">
      <c r="Y432"/>
    </row>
    <row r="433" spans="25:25" x14ac:dyDescent="0.3">
      <c r="Y433"/>
    </row>
    <row r="434" spans="25:25" x14ac:dyDescent="0.3">
      <c r="Y434"/>
    </row>
    <row r="435" spans="25:25" x14ac:dyDescent="0.3">
      <c r="Y435"/>
    </row>
    <row r="436" spans="25:25" x14ac:dyDescent="0.3">
      <c r="Y436"/>
    </row>
    <row r="437" spans="25:25" x14ac:dyDescent="0.3">
      <c r="Y437"/>
    </row>
    <row r="438" spans="25:25" x14ac:dyDescent="0.3">
      <c r="Y438"/>
    </row>
    <row r="439" spans="25:25" x14ac:dyDescent="0.3">
      <c r="Y439"/>
    </row>
    <row r="440" spans="25:25" x14ac:dyDescent="0.3">
      <c r="Y440"/>
    </row>
    <row r="441" spans="25:25" x14ac:dyDescent="0.3">
      <c r="Y441"/>
    </row>
    <row r="442" spans="25:25" x14ac:dyDescent="0.3">
      <c r="Y442"/>
    </row>
    <row r="443" spans="25:25" x14ac:dyDescent="0.3">
      <c r="Y443"/>
    </row>
    <row r="444" spans="25:25" x14ac:dyDescent="0.3">
      <c r="Y444"/>
    </row>
    <row r="445" spans="25:25" x14ac:dyDescent="0.3">
      <c r="Y445"/>
    </row>
    <row r="446" spans="25:25" x14ac:dyDescent="0.3">
      <c r="Y446"/>
    </row>
    <row r="447" spans="25:25" x14ac:dyDescent="0.3">
      <c r="Y447"/>
    </row>
    <row r="448" spans="25:25" x14ac:dyDescent="0.3">
      <c r="Y448"/>
    </row>
    <row r="449" spans="25:25" x14ac:dyDescent="0.3">
      <c r="Y449"/>
    </row>
    <row r="450" spans="25:25" x14ac:dyDescent="0.3">
      <c r="Y450"/>
    </row>
    <row r="451" spans="25:25" x14ac:dyDescent="0.3">
      <c r="Y451"/>
    </row>
    <row r="452" spans="25:25" x14ac:dyDescent="0.3">
      <c r="Y452"/>
    </row>
    <row r="453" spans="25:25" x14ac:dyDescent="0.3">
      <c r="Y453"/>
    </row>
    <row r="454" spans="25:25" x14ac:dyDescent="0.3">
      <c r="Y454"/>
    </row>
    <row r="455" spans="25:25" x14ac:dyDescent="0.3">
      <c r="Y455"/>
    </row>
    <row r="456" spans="25:25" x14ac:dyDescent="0.3">
      <c r="Y456"/>
    </row>
    <row r="457" spans="25:25" x14ac:dyDescent="0.3">
      <c r="Y457"/>
    </row>
    <row r="458" spans="25:25" x14ac:dyDescent="0.3">
      <c r="Y458"/>
    </row>
    <row r="459" spans="25:25" x14ac:dyDescent="0.3">
      <c r="Y459"/>
    </row>
    <row r="460" spans="25:25" x14ac:dyDescent="0.3">
      <c r="Y460"/>
    </row>
    <row r="461" spans="25:25" x14ac:dyDescent="0.3">
      <c r="Y461"/>
    </row>
    <row r="462" spans="25:25" x14ac:dyDescent="0.3">
      <c r="Y462"/>
    </row>
    <row r="463" spans="25:25" x14ac:dyDescent="0.3">
      <c r="Y463"/>
    </row>
    <row r="464" spans="25:25" x14ac:dyDescent="0.3">
      <c r="Y464"/>
    </row>
    <row r="465" spans="25:25" x14ac:dyDescent="0.3">
      <c r="Y465"/>
    </row>
    <row r="466" spans="25:25" x14ac:dyDescent="0.3">
      <c r="Y466"/>
    </row>
    <row r="467" spans="25:25" x14ac:dyDescent="0.3">
      <c r="Y467"/>
    </row>
    <row r="468" spans="25:25" x14ac:dyDescent="0.3">
      <c r="Y468"/>
    </row>
    <row r="469" spans="25:25" x14ac:dyDescent="0.3">
      <c r="Y469"/>
    </row>
    <row r="470" spans="25:25" x14ac:dyDescent="0.3">
      <c r="Y470"/>
    </row>
    <row r="471" spans="25:25" x14ac:dyDescent="0.3">
      <c r="Y471"/>
    </row>
    <row r="472" spans="25:25" x14ac:dyDescent="0.3">
      <c r="Y472"/>
    </row>
    <row r="473" spans="25:25" x14ac:dyDescent="0.3">
      <c r="Y473"/>
    </row>
    <row r="474" spans="25:25" x14ac:dyDescent="0.3">
      <c r="Y474"/>
    </row>
    <row r="475" spans="25:25" x14ac:dyDescent="0.3">
      <c r="Y475"/>
    </row>
    <row r="476" spans="25:25" x14ac:dyDescent="0.3">
      <c r="Y476"/>
    </row>
    <row r="477" spans="25:25" x14ac:dyDescent="0.3">
      <c r="Y477"/>
    </row>
    <row r="478" spans="25:25" x14ac:dyDescent="0.3">
      <c r="Y478"/>
    </row>
    <row r="479" spans="25:25" x14ac:dyDescent="0.3">
      <c r="Y479"/>
    </row>
    <row r="480" spans="25:25" x14ac:dyDescent="0.3">
      <c r="Y480"/>
    </row>
    <row r="481" spans="25:25" x14ac:dyDescent="0.3">
      <c r="Y481"/>
    </row>
    <row r="482" spans="25:25" x14ac:dyDescent="0.3">
      <c r="Y482"/>
    </row>
    <row r="483" spans="25:25" x14ac:dyDescent="0.3">
      <c r="Y483"/>
    </row>
    <row r="484" spans="25:25" x14ac:dyDescent="0.3">
      <c r="Y484"/>
    </row>
    <row r="485" spans="25:25" x14ac:dyDescent="0.3">
      <c r="Y485"/>
    </row>
    <row r="486" spans="25:25" x14ac:dyDescent="0.3">
      <c r="Y486"/>
    </row>
    <row r="487" spans="25:25" x14ac:dyDescent="0.3">
      <c r="Y487"/>
    </row>
    <row r="488" spans="25:25" x14ac:dyDescent="0.3">
      <c r="Y488"/>
    </row>
    <row r="489" spans="25:25" x14ac:dyDescent="0.3">
      <c r="Y489"/>
    </row>
    <row r="490" spans="25:25" x14ac:dyDescent="0.3">
      <c r="Y490"/>
    </row>
    <row r="491" spans="25:25" x14ac:dyDescent="0.3">
      <c r="Y491"/>
    </row>
    <row r="492" spans="25:25" x14ac:dyDescent="0.3">
      <c r="Y492"/>
    </row>
    <row r="493" spans="25:25" x14ac:dyDescent="0.3">
      <c r="Y493"/>
    </row>
    <row r="494" spans="25:25" x14ac:dyDescent="0.3">
      <c r="Y494"/>
    </row>
    <row r="495" spans="25:25" x14ac:dyDescent="0.3">
      <c r="Y495"/>
    </row>
    <row r="496" spans="25:25" x14ac:dyDescent="0.3">
      <c r="Y496"/>
    </row>
    <row r="497" spans="25:25" x14ac:dyDescent="0.3">
      <c r="Y497"/>
    </row>
    <row r="498" spans="25:25" x14ac:dyDescent="0.3">
      <c r="Y498"/>
    </row>
    <row r="499" spans="25:25" x14ac:dyDescent="0.3">
      <c r="Y499"/>
    </row>
    <row r="500" spans="25:25" x14ac:dyDescent="0.3">
      <c r="Y500"/>
    </row>
    <row r="501" spans="25:25" x14ac:dyDescent="0.3">
      <c r="Y501"/>
    </row>
    <row r="502" spans="25:25" x14ac:dyDescent="0.3">
      <c r="Y502"/>
    </row>
    <row r="503" spans="25:25" x14ac:dyDescent="0.3">
      <c r="Y503"/>
    </row>
    <row r="504" spans="25:25" x14ac:dyDescent="0.3">
      <c r="Y504"/>
    </row>
    <row r="505" spans="25:25" x14ac:dyDescent="0.3">
      <c r="Y505"/>
    </row>
    <row r="506" spans="25:25" x14ac:dyDescent="0.3">
      <c r="Y506"/>
    </row>
    <row r="507" spans="25:25" x14ac:dyDescent="0.3">
      <c r="Y507"/>
    </row>
    <row r="508" spans="25:25" x14ac:dyDescent="0.3">
      <c r="Y508"/>
    </row>
    <row r="509" spans="25:25" x14ac:dyDescent="0.3">
      <c r="Y509"/>
    </row>
    <row r="510" spans="25:25" x14ac:dyDescent="0.3">
      <c r="Y510"/>
    </row>
    <row r="511" spans="25:25" x14ac:dyDescent="0.3">
      <c r="Y511"/>
    </row>
    <row r="512" spans="25:25" x14ac:dyDescent="0.3">
      <c r="Y512"/>
    </row>
    <row r="513" spans="25:25" x14ac:dyDescent="0.3">
      <c r="Y513"/>
    </row>
    <row r="514" spans="25:25" x14ac:dyDescent="0.3">
      <c r="Y514"/>
    </row>
    <row r="515" spans="25:25" x14ac:dyDescent="0.3">
      <c r="Y515"/>
    </row>
    <row r="516" spans="25:25" x14ac:dyDescent="0.3">
      <c r="Y516"/>
    </row>
    <row r="517" spans="25:25" x14ac:dyDescent="0.3">
      <c r="Y517"/>
    </row>
    <row r="518" spans="25:25" x14ac:dyDescent="0.3">
      <c r="Y518"/>
    </row>
    <row r="519" spans="25:25" x14ac:dyDescent="0.3">
      <c r="Y519"/>
    </row>
    <row r="520" spans="25:25" x14ac:dyDescent="0.3">
      <c r="Y520"/>
    </row>
    <row r="521" spans="25:25" x14ac:dyDescent="0.3">
      <c r="Y521"/>
    </row>
    <row r="522" spans="25:25" x14ac:dyDescent="0.3">
      <c r="Y522"/>
    </row>
    <row r="523" spans="25:25" x14ac:dyDescent="0.3">
      <c r="Y523"/>
    </row>
    <row r="524" spans="25:25" x14ac:dyDescent="0.3">
      <c r="Y524"/>
    </row>
    <row r="525" spans="25:25" x14ac:dyDescent="0.3">
      <c r="Y525"/>
    </row>
    <row r="526" spans="25:25" x14ac:dyDescent="0.3">
      <c r="Y526"/>
    </row>
    <row r="527" spans="25:25" x14ac:dyDescent="0.3">
      <c r="Y527"/>
    </row>
    <row r="528" spans="25:25" x14ac:dyDescent="0.3">
      <c r="Y528"/>
    </row>
    <row r="529" spans="25:25" x14ac:dyDescent="0.3">
      <c r="Y529"/>
    </row>
    <row r="530" spans="25:25" x14ac:dyDescent="0.3">
      <c r="Y530"/>
    </row>
    <row r="531" spans="25:25" x14ac:dyDescent="0.3">
      <c r="Y531"/>
    </row>
    <row r="532" spans="25:25" x14ac:dyDescent="0.3">
      <c r="Y532"/>
    </row>
    <row r="533" spans="25:25" x14ac:dyDescent="0.3">
      <c r="Y533"/>
    </row>
    <row r="534" spans="25:25" x14ac:dyDescent="0.3">
      <c r="Y534"/>
    </row>
    <row r="535" spans="25:25" x14ac:dyDescent="0.3">
      <c r="Y535"/>
    </row>
    <row r="536" spans="25:25" x14ac:dyDescent="0.3">
      <c r="Y536"/>
    </row>
    <row r="537" spans="25:25" x14ac:dyDescent="0.3">
      <c r="Y537"/>
    </row>
    <row r="538" spans="25:25" x14ac:dyDescent="0.3">
      <c r="Y538"/>
    </row>
    <row r="539" spans="25:25" x14ac:dyDescent="0.3">
      <c r="Y539"/>
    </row>
    <row r="540" spans="25:25" x14ac:dyDescent="0.3">
      <c r="Y540"/>
    </row>
    <row r="541" spans="25:25" x14ac:dyDescent="0.3">
      <c r="Y541"/>
    </row>
    <row r="542" spans="25:25" x14ac:dyDescent="0.3">
      <c r="Y542"/>
    </row>
    <row r="543" spans="25:25" x14ac:dyDescent="0.3">
      <c r="Y543"/>
    </row>
    <row r="544" spans="25:25" x14ac:dyDescent="0.3">
      <c r="Y544"/>
    </row>
    <row r="545" spans="25:25" x14ac:dyDescent="0.3">
      <c r="Y545"/>
    </row>
    <row r="546" spans="25:25" x14ac:dyDescent="0.3">
      <c r="Y546"/>
    </row>
    <row r="547" spans="25:25" x14ac:dyDescent="0.3">
      <c r="Y547"/>
    </row>
    <row r="548" spans="25:25" x14ac:dyDescent="0.3">
      <c r="Y548"/>
    </row>
    <row r="549" spans="25:25" x14ac:dyDescent="0.3">
      <c r="Y549"/>
    </row>
    <row r="550" spans="25:25" x14ac:dyDescent="0.3">
      <c r="Y550"/>
    </row>
    <row r="551" spans="25:25" x14ac:dyDescent="0.3">
      <c r="Y551"/>
    </row>
    <row r="552" spans="25:25" x14ac:dyDescent="0.3">
      <c r="Y552"/>
    </row>
    <row r="553" spans="25:25" x14ac:dyDescent="0.3">
      <c r="Y553"/>
    </row>
    <row r="554" spans="25:25" x14ac:dyDescent="0.3">
      <c r="Y554"/>
    </row>
    <row r="555" spans="25:25" x14ac:dyDescent="0.3">
      <c r="Y555"/>
    </row>
    <row r="556" spans="25:25" x14ac:dyDescent="0.3">
      <c r="Y556"/>
    </row>
    <row r="557" spans="25:25" x14ac:dyDescent="0.3">
      <c r="Y557"/>
    </row>
    <row r="558" spans="25:25" x14ac:dyDescent="0.3">
      <c r="Y558"/>
    </row>
    <row r="559" spans="25:25" x14ac:dyDescent="0.3">
      <c r="Y559"/>
    </row>
    <row r="560" spans="25:25" x14ac:dyDescent="0.3">
      <c r="Y560"/>
    </row>
    <row r="561" spans="25:25" x14ac:dyDescent="0.3">
      <c r="Y561"/>
    </row>
    <row r="562" spans="25:25" x14ac:dyDescent="0.3">
      <c r="Y562"/>
    </row>
    <row r="563" spans="25:25" x14ac:dyDescent="0.3">
      <c r="Y563"/>
    </row>
    <row r="564" spans="25:25" x14ac:dyDescent="0.3">
      <c r="Y564"/>
    </row>
    <row r="565" spans="25:25" x14ac:dyDescent="0.3">
      <c r="Y565"/>
    </row>
    <row r="566" spans="25:25" x14ac:dyDescent="0.3">
      <c r="Y566"/>
    </row>
    <row r="567" spans="25:25" x14ac:dyDescent="0.3">
      <c r="Y567"/>
    </row>
    <row r="568" spans="25:25" x14ac:dyDescent="0.3">
      <c r="Y568"/>
    </row>
    <row r="569" spans="25:25" x14ac:dyDescent="0.3">
      <c r="Y569"/>
    </row>
    <row r="570" spans="25:25" x14ac:dyDescent="0.3">
      <c r="Y570"/>
    </row>
    <row r="571" spans="25:25" x14ac:dyDescent="0.3">
      <c r="Y571"/>
    </row>
    <row r="572" spans="25:25" x14ac:dyDescent="0.3">
      <c r="Y572"/>
    </row>
    <row r="573" spans="25:25" x14ac:dyDescent="0.3">
      <c r="Y573"/>
    </row>
    <row r="574" spans="25:25" x14ac:dyDescent="0.3">
      <c r="Y574"/>
    </row>
    <row r="575" spans="25:25" x14ac:dyDescent="0.3">
      <c r="Y575"/>
    </row>
    <row r="576" spans="25:25" x14ac:dyDescent="0.3">
      <c r="Y576"/>
    </row>
    <row r="577" spans="25:25" x14ac:dyDescent="0.3">
      <c r="Y577"/>
    </row>
    <row r="578" spans="25:25" x14ac:dyDescent="0.3">
      <c r="Y578"/>
    </row>
    <row r="579" spans="25:25" x14ac:dyDescent="0.3">
      <c r="Y579"/>
    </row>
    <row r="580" spans="25:25" x14ac:dyDescent="0.3">
      <c r="Y580"/>
    </row>
    <row r="581" spans="25:25" x14ac:dyDescent="0.3">
      <c r="Y581"/>
    </row>
    <row r="582" spans="25:25" x14ac:dyDescent="0.3">
      <c r="Y582"/>
    </row>
    <row r="583" spans="25:25" x14ac:dyDescent="0.3">
      <c r="Y583"/>
    </row>
    <row r="584" spans="25:25" x14ac:dyDescent="0.3">
      <c r="Y584"/>
    </row>
    <row r="585" spans="25:25" x14ac:dyDescent="0.3">
      <c r="Y585"/>
    </row>
    <row r="586" spans="25:25" x14ac:dyDescent="0.3">
      <c r="Y586"/>
    </row>
    <row r="587" spans="25:25" x14ac:dyDescent="0.3">
      <c r="Y587"/>
    </row>
    <row r="588" spans="25:25" x14ac:dyDescent="0.3">
      <c r="Y588"/>
    </row>
    <row r="589" spans="25:25" x14ac:dyDescent="0.3">
      <c r="Y589"/>
    </row>
    <row r="590" spans="25:25" x14ac:dyDescent="0.3">
      <c r="Y590"/>
    </row>
    <row r="591" spans="25:25" x14ac:dyDescent="0.3">
      <c r="Y591"/>
    </row>
    <row r="592" spans="25:25" x14ac:dyDescent="0.3">
      <c r="Y592"/>
    </row>
    <row r="593" spans="25:25" x14ac:dyDescent="0.3">
      <c r="Y593"/>
    </row>
    <row r="594" spans="25:25" x14ac:dyDescent="0.3">
      <c r="Y594"/>
    </row>
    <row r="595" spans="25:25" x14ac:dyDescent="0.3">
      <c r="Y595"/>
    </row>
    <row r="596" spans="25:25" x14ac:dyDescent="0.3">
      <c r="Y596"/>
    </row>
    <row r="597" spans="25:25" x14ac:dyDescent="0.3">
      <c r="Y597"/>
    </row>
    <row r="598" spans="25:25" x14ac:dyDescent="0.3">
      <c r="Y598"/>
    </row>
    <row r="599" spans="25:25" x14ac:dyDescent="0.3">
      <c r="Y599"/>
    </row>
    <row r="600" spans="25:25" x14ac:dyDescent="0.3">
      <c r="Y600"/>
    </row>
    <row r="601" spans="25:25" x14ac:dyDescent="0.3">
      <c r="Y601"/>
    </row>
    <row r="602" spans="25:25" x14ac:dyDescent="0.3">
      <c r="Y602"/>
    </row>
    <row r="603" spans="25:25" x14ac:dyDescent="0.3">
      <c r="Y603"/>
    </row>
    <row r="604" spans="25:25" x14ac:dyDescent="0.3">
      <c r="Y604"/>
    </row>
    <row r="605" spans="25:25" x14ac:dyDescent="0.3">
      <c r="Y605"/>
    </row>
    <row r="606" spans="25:25" x14ac:dyDescent="0.3">
      <c r="Y606"/>
    </row>
    <row r="607" spans="25:25" x14ac:dyDescent="0.3">
      <c r="Y607"/>
    </row>
    <row r="608" spans="25:25" x14ac:dyDescent="0.3">
      <c r="Y608"/>
    </row>
    <row r="609" spans="25:25" x14ac:dyDescent="0.3">
      <c r="Y609"/>
    </row>
    <row r="610" spans="25:25" x14ac:dyDescent="0.3">
      <c r="Y610"/>
    </row>
    <row r="611" spans="25:25" x14ac:dyDescent="0.3">
      <c r="Y611"/>
    </row>
    <row r="612" spans="25:25" x14ac:dyDescent="0.3">
      <c r="Y612"/>
    </row>
    <row r="613" spans="25:25" x14ac:dyDescent="0.3">
      <c r="Y613"/>
    </row>
    <row r="614" spans="25:25" x14ac:dyDescent="0.3">
      <c r="Y614"/>
    </row>
    <row r="615" spans="25:25" x14ac:dyDescent="0.3">
      <c r="Y615"/>
    </row>
    <row r="616" spans="25:25" x14ac:dyDescent="0.3">
      <c r="Y616"/>
    </row>
    <row r="617" spans="25:25" x14ac:dyDescent="0.3">
      <c r="Y617"/>
    </row>
    <row r="618" spans="25:25" x14ac:dyDescent="0.3">
      <c r="Y618"/>
    </row>
    <row r="619" spans="25:25" x14ac:dyDescent="0.3">
      <c r="Y619"/>
    </row>
    <row r="620" spans="25:25" x14ac:dyDescent="0.3">
      <c r="Y620"/>
    </row>
    <row r="621" spans="25:25" x14ac:dyDescent="0.3">
      <c r="Y621"/>
    </row>
    <row r="622" spans="25:25" x14ac:dyDescent="0.3">
      <c r="Y622"/>
    </row>
    <row r="623" spans="25:25" x14ac:dyDescent="0.3">
      <c r="Y623"/>
    </row>
    <row r="624" spans="25:25" x14ac:dyDescent="0.3">
      <c r="Y624"/>
    </row>
    <row r="625" spans="25:25" x14ac:dyDescent="0.3">
      <c r="Y625"/>
    </row>
    <row r="626" spans="25:25" x14ac:dyDescent="0.3">
      <c r="Y626"/>
    </row>
    <row r="627" spans="25:25" x14ac:dyDescent="0.3">
      <c r="Y627"/>
    </row>
    <row r="628" spans="25:25" x14ac:dyDescent="0.3">
      <c r="Y628"/>
    </row>
    <row r="629" spans="25:25" x14ac:dyDescent="0.3">
      <c r="Y629"/>
    </row>
    <row r="630" spans="25:25" x14ac:dyDescent="0.3">
      <c r="Y630"/>
    </row>
    <row r="631" spans="25:25" x14ac:dyDescent="0.3">
      <c r="Y631"/>
    </row>
    <row r="632" spans="25:25" x14ac:dyDescent="0.3">
      <c r="Y632"/>
    </row>
    <row r="633" spans="25:25" x14ac:dyDescent="0.3">
      <c r="Y633"/>
    </row>
    <row r="634" spans="25:25" x14ac:dyDescent="0.3">
      <c r="Y634"/>
    </row>
    <row r="635" spans="25:25" x14ac:dyDescent="0.3">
      <c r="Y635"/>
    </row>
    <row r="636" spans="25:25" x14ac:dyDescent="0.3">
      <c r="Y636"/>
    </row>
    <row r="637" spans="25:25" x14ac:dyDescent="0.3">
      <c r="Y637"/>
    </row>
    <row r="638" spans="25:25" x14ac:dyDescent="0.3">
      <c r="Y638"/>
    </row>
    <row r="639" spans="25:25" x14ac:dyDescent="0.3">
      <c r="Y639"/>
    </row>
    <row r="640" spans="25:25" x14ac:dyDescent="0.3">
      <c r="Y640"/>
    </row>
    <row r="641" spans="25:25" x14ac:dyDescent="0.3">
      <c r="Y641"/>
    </row>
    <row r="642" spans="25:25" x14ac:dyDescent="0.3">
      <c r="Y642"/>
    </row>
    <row r="643" spans="25:25" x14ac:dyDescent="0.3">
      <c r="Y643"/>
    </row>
    <row r="644" spans="25:25" x14ac:dyDescent="0.3">
      <c r="Y644"/>
    </row>
    <row r="645" spans="25:25" x14ac:dyDescent="0.3">
      <c r="Y645"/>
    </row>
    <row r="646" spans="25:25" x14ac:dyDescent="0.3">
      <c r="Y646"/>
    </row>
    <row r="647" spans="25:25" x14ac:dyDescent="0.3">
      <c r="Y647"/>
    </row>
    <row r="648" spans="25:25" x14ac:dyDescent="0.3">
      <c r="Y648"/>
    </row>
    <row r="649" spans="25:25" x14ac:dyDescent="0.3">
      <c r="Y649"/>
    </row>
    <row r="650" spans="25:25" x14ac:dyDescent="0.3">
      <c r="Y650"/>
    </row>
    <row r="651" spans="25:25" x14ac:dyDescent="0.3">
      <c r="Y651"/>
    </row>
    <row r="652" spans="25:25" x14ac:dyDescent="0.3">
      <c r="Y652"/>
    </row>
    <row r="653" spans="25:25" x14ac:dyDescent="0.3">
      <c r="Y653"/>
    </row>
    <row r="654" spans="25:25" x14ac:dyDescent="0.3">
      <c r="Y654"/>
    </row>
    <row r="655" spans="25:25" x14ac:dyDescent="0.3">
      <c r="Y655"/>
    </row>
    <row r="656" spans="25:25" x14ac:dyDescent="0.3">
      <c r="Y656"/>
    </row>
    <row r="657" spans="25:25" x14ac:dyDescent="0.3">
      <c r="Y657"/>
    </row>
    <row r="658" spans="25:25" x14ac:dyDescent="0.3">
      <c r="Y658"/>
    </row>
    <row r="659" spans="25:25" x14ac:dyDescent="0.3">
      <c r="Y659"/>
    </row>
    <row r="660" spans="25:25" x14ac:dyDescent="0.3">
      <c r="Y660"/>
    </row>
    <row r="661" spans="25:25" x14ac:dyDescent="0.3">
      <c r="Y661"/>
    </row>
    <row r="662" spans="25:25" x14ac:dyDescent="0.3">
      <c r="Y662"/>
    </row>
    <row r="663" spans="25:25" x14ac:dyDescent="0.3">
      <c r="Y663"/>
    </row>
    <row r="664" spans="25:25" x14ac:dyDescent="0.3">
      <c r="Y664"/>
    </row>
    <row r="665" spans="25:25" x14ac:dyDescent="0.3">
      <c r="Y665"/>
    </row>
    <row r="666" spans="25:25" x14ac:dyDescent="0.3">
      <c r="Y666"/>
    </row>
    <row r="667" spans="25:25" x14ac:dyDescent="0.3">
      <c r="Y667"/>
    </row>
    <row r="668" spans="25:25" x14ac:dyDescent="0.3">
      <c r="Y668"/>
    </row>
    <row r="669" spans="25:25" x14ac:dyDescent="0.3">
      <c r="Y669"/>
    </row>
    <row r="670" spans="25:25" x14ac:dyDescent="0.3">
      <c r="Y670"/>
    </row>
    <row r="671" spans="25:25" x14ac:dyDescent="0.3">
      <c r="Y671"/>
    </row>
    <row r="672" spans="25:25" x14ac:dyDescent="0.3">
      <c r="Y672"/>
    </row>
    <row r="673" spans="25:25" x14ac:dyDescent="0.3">
      <c r="Y673"/>
    </row>
    <row r="674" spans="25:25" x14ac:dyDescent="0.3">
      <c r="Y674"/>
    </row>
    <row r="675" spans="25:25" x14ac:dyDescent="0.3">
      <c r="Y675"/>
    </row>
    <row r="676" spans="25:25" x14ac:dyDescent="0.3">
      <c r="Y676"/>
    </row>
    <row r="677" spans="25:25" x14ac:dyDescent="0.3">
      <c r="Y677"/>
    </row>
    <row r="678" spans="25:25" x14ac:dyDescent="0.3">
      <c r="Y678"/>
    </row>
    <row r="679" spans="25:25" x14ac:dyDescent="0.3">
      <c r="Y679"/>
    </row>
    <row r="680" spans="25:25" x14ac:dyDescent="0.3">
      <c r="Y680"/>
    </row>
    <row r="681" spans="25:25" x14ac:dyDescent="0.3">
      <c r="Y681"/>
    </row>
    <row r="682" spans="25:25" x14ac:dyDescent="0.3">
      <c r="Y682"/>
    </row>
    <row r="683" spans="25:25" x14ac:dyDescent="0.3">
      <c r="Y683"/>
    </row>
    <row r="684" spans="25:25" x14ac:dyDescent="0.3">
      <c r="Y684"/>
    </row>
    <row r="685" spans="25:25" x14ac:dyDescent="0.3">
      <c r="Y685"/>
    </row>
    <row r="686" spans="25:25" x14ac:dyDescent="0.3">
      <c r="Y686"/>
    </row>
    <row r="687" spans="25:25" x14ac:dyDescent="0.3">
      <c r="Y687"/>
    </row>
    <row r="688" spans="25:25" x14ac:dyDescent="0.3">
      <c r="Y688"/>
    </row>
    <row r="689" spans="25:25" x14ac:dyDescent="0.3">
      <c r="Y689"/>
    </row>
    <row r="690" spans="25:25" x14ac:dyDescent="0.3">
      <c r="Y690"/>
    </row>
    <row r="691" spans="25:25" x14ac:dyDescent="0.3">
      <c r="Y691"/>
    </row>
    <row r="692" spans="25:25" x14ac:dyDescent="0.3">
      <c r="Y692"/>
    </row>
    <row r="693" spans="25:25" x14ac:dyDescent="0.3">
      <c r="Y693"/>
    </row>
    <row r="694" spans="25:25" x14ac:dyDescent="0.3">
      <c r="Y694"/>
    </row>
    <row r="695" spans="25:25" x14ac:dyDescent="0.3">
      <c r="Y695"/>
    </row>
    <row r="696" spans="25:25" x14ac:dyDescent="0.3">
      <c r="Y696"/>
    </row>
    <row r="697" spans="25:25" x14ac:dyDescent="0.3">
      <c r="Y697"/>
    </row>
    <row r="698" spans="25:25" x14ac:dyDescent="0.3">
      <c r="Y698"/>
    </row>
    <row r="699" spans="25:25" x14ac:dyDescent="0.3">
      <c r="Y699"/>
    </row>
    <row r="700" spans="25:25" x14ac:dyDescent="0.3">
      <c r="Y700"/>
    </row>
    <row r="701" spans="25:25" x14ac:dyDescent="0.3">
      <c r="Y701"/>
    </row>
    <row r="702" spans="25:25" x14ac:dyDescent="0.3">
      <c r="Y702"/>
    </row>
    <row r="703" spans="25:25" x14ac:dyDescent="0.3">
      <c r="Y703"/>
    </row>
    <row r="704" spans="25:25" x14ac:dyDescent="0.3">
      <c r="Y704"/>
    </row>
    <row r="705" spans="25:25" x14ac:dyDescent="0.3">
      <c r="Y705"/>
    </row>
    <row r="706" spans="25:25" x14ac:dyDescent="0.3">
      <c r="Y706"/>
    </row>
    <row r="707" spans="25:25" x14ac:dyDescent="0.3">
      <c r="Y707"/>
    </row>
    <row r="708" spans="25:25" x14ac:dyDescent="0.3">
      <c r="Y708"/>
    </row>
    <row r="709" spans="25:25" x14ac:dyDescent="0.3">
      <c r="Y709"/>
    </row>
    <row r="710" spans="25:25" x14ac:dyDescent="0.3">
      <c r="Y710"/>
    </row>
    <row r="711" spans="25:25" x14ac:dyDescent="0.3">
      <c r="Y711"/>
    </row>
    <row r="712" spans="25:25" x14ac:dyDescent="0.3">
      <c r="Y712"/>
    </row>
    <row r="713" spans="25:25" x14ac:dyDescent="0.3">
      <c r="Y713"/>
    </row>
    <row r="714" spans="25:25" x14ac:dyDescent="0.3">
      <c r="Y714"/>
    </row>
    <row r="715" spans="25:25" x14ac:dyDescent="0.3">
      <c r="Y715"/>
    </row>
    <row r="716" spans="25:25" x14ac:dyDescent="0.3">
      <c r="Y716"/>
    </row>
    <row r="717" spans="25:25" x14ac:dyDescent="0.3">
      <c r="Y717"/>
    </row>
    <row r="718" spans="25:25" x14ac:dyDescent="0.3">
      <c r="Y718"/>
    </row>
    <row r="719" spans="25:25" x14ac:dyDescent="0.3">
      <c r="Y719"/>
    </row>
    <row r="720" spans="25:25" x14ac:dyDescent="0.3">
      <c r="Y720"/>
    </row>
    <row r="721" spans="25:25" x14ac:dyDescent="0.3">
      <c r="Y721"/>
    </row>
    <row r="722" spans="25:25" x14ac:dyDescent="0.3">
      <c r="Y722"/>
    </row>
    <row r="723" spans="25:25" x14ac:dyDescent="0.3">
      <c r="Y723"/>
    </row>
    <row r="724" spans="25:25" x14ac:dyDescent="0.3">
      <c r="Y724"/>
    </row>
    <row r="725" spans="25:25" x14ac:dyDescent="0.3">
      <c r="Y725"/>
    </row>
    <row r="726" spans="25:25" x14ac:dyDescent="0.3">
      <c r="Y726"/>
    </row>
    <row r="727" spans="25:25" x14ac:dyDescent="0.3">
      <c r="Y727"/>
    </row>
    <row r="728" spans="25:25" x14ac:dyDescent="0.3">
      <c r="Y728"/>
    </row>
    <row r="729" spans="25:25" x14ac:dyDescent="0.3">
      <c r="Y729"/>
    </row>
    <row r="730" spans="25:25" x14ac:dyDescent="0.3">
      <c r="Y730"/>
    </row>
    <row r="731" spans="25:25" x14ac:dyDescent="0.3">
      <c r="Y731"/>
    </row>
    <row r="732" spans="25:25" x14ac:dyDescent="0.3">
      <c r="Y732"/>
    </row>
    <row r="733" spans="25:25" x14ac:dyDescent="0.3">
      <c r="Y733"/>
    </row>
    <row r="734" spans="25:25" x14ac:dyDescent="0.3">
      <c r="Y734"/>
    </row>
    <row r="735" spans="25:25" x14ac:dyDescent="0.3">
      <c r="Y735"/>
    </row>
    <row r="736" spans="25:25" x14ac:dyDescent="0.3">
      <c r="Y736"/>
    </row>
    <row r="737" spans="25:25" x14ac:dyDescent="0.3">
      <c r="Y737"/>
    </row>
    <row r="738" spans="25:25" x14ac:dyDescent="0.3">
      <c r="Y738"/>
    </row>
    <row r="739" spans="25:25" x14ac:dyDescent="0.3">
      <c r="Y739"/>
    </row>
    <row r="740" spans="25:25" x14ac:dyDescent="0.3">
      <c r="Y740"/>
    </row>
    <row r="741" spans="25:25" x14ac:dyDescent="0.3">
      <c r="Y741"/>
    </row>
    <row r="742" spans="25:25" x14ac:dyDescent="0.3">
      <c r="Y742"/>
    </row>
    <row r="743" spans="25:25" x14ac:dyDescent="0.3">
      <c r="Y743"/>
    </row>
    <row r="744" spans="25:25" x14ac:dyDescent="0.3">
      <c r="Y744"/>
    </row>
    <row r="745" spans="25:25" x14ac:dyDescent="0.3">
      <c r="Y745"/>
    </row>
    <row r="746" spans="25:25" x14ac:dyDescent="0.3">
      <c r="Y746"/>
    </row>
    <row r="747" spans="25:25" x14ac:dyDescent="0.3">
      <c r="Y747"/>
    </row>
    <row r="748" spans="25:25" x14ac:dyDescent="0.3">
      <c r="Y748"/>
    </row>
    <row r="749" spans="25:25" x14ac:dyDescent="0.3">
      <c r="Y749"/>
    </row>
    <row r="750" spans="25:25" x14ac:dyDescent="0.3">
      <c r="Y750"/>
    </row>
    <row r="751" spans="25:25" x14ac:dyDescent="0.3">
      <c r="Y751"/>
    </row>
    <row r="752" spans="25:25" x14ac:dyDescent="0.3">
      <c r="Y752"/>
    </row>
    <row r="753" spans="25:25" x14ac:dyDescent="0.3">
      <c r="Y753"/>
    </row>
    <row r="754" spans="25:25" x14ac:dyDescent="0.3">
      <c r="Y754"/>
    </row>
    <row r="755" spans="25:25" x14ac:dyDescent="0.3">
      <c r="Y755"/>
    </row>
    <row r="756" spans="25:25" x14ac:dyDescent="0.3">
      <c r="Y756"/>
    </row>
    <row r="757" spans="25:25" x14ac:dyDescent="0.3">
      <c r="Y757"/>
    </row>
    <row r="758" spans="25:25" x14ac:dyDescent="0.3">
      <c r="Y758"/>
    </row>
    <row r="759" spans="25:25" x14ac:dyDescent="0.3">
      <c r="Y759"/>
    </row>
    <row r="760" spans="25:25" x14ac:dyDescent="0.3">
      <c r="Y760"/>
    </row>
    <row r="761" spans="25:25" x14ac:dyDescent="0.3">
      <c r="Y761"/>
    </row>
    <row r="762" spans="25:25" x14ac:dyDescent="0.3">
      <c r="Y762"/>
    </row>
    <row r="763" spans="25:25" x14ac:dyDescent="0.3">
      <c r="Y763"/>
    </row>
    <row r="764" spans="25:25" x14ac:dyDescent="0.3">
      <c r="Y764"/>
    </row>
    <row r="765" spans="25:25" x14ac:dyDescent="0.3">
      <c r="Y765"/>
    </row>
    <row r="766" spans="25:25" x14ac:dyDescent="0.3">
      <c r="Y766"/>
    </row>
    <row r="767" spans="25:25" x14ac:dyDescent="0.3">
      <c r="Y767"/>
    </row>
    <row r="768" spans="25:25" x14ac:dyDescent="0.3">
      <c r="Y768"/>
    </row>
    <row r="769" spans="25:25" x14ac:dyDescent="0.3">
      <c r="Y769"/>
    </row>
    <row r="770" spans="25:25" x14ac:dyDescent="0.3">
      <c r="Y770"/>
    </row>
    <row r="771" spans="25:25" x14ac:dyDescent="0.3">
      <c r="Y771"/>
    </row>
    <row r="772" spans="25:25" x14ac:dyDescent="0.3">
      <c r="Y772"/>
    </row>
    <row r="773" spans="25:25" x14ac:dyDescent="0.3">
      <c r="Y773"/>
    </row>
    <row r="774" spans="25:25" x14ac:dyDescent="0.3">
      <c r="Y774"/>
    </row>
    <row r="775" spans="25:25" x14ac:dyDescent="0.3">
      <c r="Y775"/>
    </row>
    <row r="776" spans="25:25" x14ac:dyDescent="0.3">
      <c r="Y776"/>
    </row>
    <row r="777" spans="25:25" x14ac:dyDescent="0.3">
      <c r="Y777"/>
    </row>
    <row r="778" spans="25:25" x14ac:dyDescent="0.3">
      <c r="Y778"/>
    </row>
    <row r="779" spans="25:25" x14ac:dyDescent="0.3">
      <c r="Y779"/>
    </row>
    <row r="780" spans="25:25" x14ac:dyDescent="0.3">
      <c r="Y780"/>
    </row>
    <row r="781" spans="25:25" x14ac:dyDescent="0.3">
      <c r="Y781"/>
    </row>
    <row r="782" spans="25:25" x14ac:dyDescent="0.3">
      <c r="Y782"/>
    </row>
    <row r="783" spans="25:25" x14ac:dyDescent="0.3">
      <c r="Y783"/>
    </row>
    <row r="784" spans="25:25" x14ac:dyDescent="0.3">
      <c r="Y784"/>
    </row>
    <row r="785" spans="25:25" x14ac:dyDescent="0.3">
      <c r="Y785"/>
    </row>
    <row r="786" spans="25:25" x14ac:dyDescent="0.3">
      <c r="Y786"/>
    </row>
    <row r="787" spans="25:25" x14ac:dyDescent="0.3">
      <c r="Y787"/>
    </row>
    <row r="788" spans="25:25" x14ac:dyDescent="0.3">
      <c r="Y788"/>
    </row>
    <row r="789" spans="25:25" x14ac:dyDescent="0.3">
      <c r="Y789"/>
    </row>
    <row r="790" spans="25:25" x14ac:dyDescent="0.3">
      <c r="Y790"/>
    </row>
    <row r="791" spans="25:25" x14ac:dyDescent="0.3">
      <c r="Y791"/>
    </row>
    <row r="792" spans="25:25" x14ac:dyDescent="0.3">
      <c r="Y792"/>
    </row>
    <row r="793" spans="25:25" x14ac:dyDescent="0.3">
      <c r="Y793"/>
    </row>
    <row r="794" spans="25:25" x14ac:dyDescent="0.3">
      <c r="Y794"/>
    </row>
    <row r="795" spans="25:25" x14ac:dyDescent="0.3">
      <c r="Y795"/>
    </row>
    <row r="796" spans="25:25" x14ac:dyDescent="0.3">
      <c r="Y796"/>
    </row>
    <row r="797" spans="25:25" x14ac:dyDescent="0.3">
      <c r="Y797"/>
    </row>
    <row r="798" spans="25:25" x14ac:dyDescent="0.3">
      <c r="Y798"/>
    </row>
    <row r="799" spans="25:25" x14ac:dyDescent="0.3">
      <c r="Y799"/>
    </row>
    <row r="800" spans="25:25" x14ac:dyDescent="0.3">
      <c r="Y800"/>
    </row>
    <row r="801" spans="25:25" x14ac:dyDescent="0.3">
      <c r="Y801"/>
    </row>
    <row r="802" spans="25:25" x14ac:dyDescent="0.3">
      <c r="Y802"/>
    </row>
    <row r="803" spans="25:25" x14ac:dyDescent="0.3">
      <c r="Y803"/>
    </row>
    <row r="804" spans="25:25" x14ac:dyDescent="0.3">
      <c r="Y804"/>
    </row>
    <row r="805" spans="25:25" x14ac:dyDescent="0.3">
      <c r="Y805"/>
    </row>
    <row r="806" spans="25:25" x14ac:dyDescent="0.3">
      <c r="Y806"/>
    </row>
    <row r="807" spans="25:25" x14ac:dyDescent="0.3">
      <c r="Y807"/>
    </row>
    <row r="808" spans="25:25" x14ac:dyDescent="0.3">
      <c r="Y808"/>
    </row>
    <row r="809" spans="25:25" x14ac:dyDescent="0.3">
      <c r="Y809"/>
    </row>
    <row r="810" spans="25:25" x14ac:dyDescent="0.3">
      <c r="Y810"/>
    </row>
    <row r="811" spans="25:25" x14ac:dyDescent="0.3">
      <c r="Y811"/>
    </row>
    <row r="812" spans="25:25" x14ac:dyDescent="0.3">
      <c r="Y812"/>
    </row>
    <row r="813" spans="25:25" x14ac:dyDescent="0.3">
      <c r="Y813"/>
    </row>
    <row r="814" spans="25:25" x14ac:dyDescent="0.3">
      <c r="Y814"/>
    </row>
    <row r="815" spans="25:25" x14ac:dyDescent="0.3">
      <c r="Y815"/>
    </row>
    <row r="816" spans="25:25" x14ac:dyDescent="0.3">
      <c r="Y816"/>
    </row>
    <row r="817" spans="25:25" x14ac:dyDescent="0.3">
      <c r="Y817"/>
    </row>
    <row r="818" spans="25:25" x14ac:dyDescent="0.3">
      <c r="Y818"/>
    </row>
    <row r="819" spans="25:25" x14ac:dyDescent="0.3">
      <c r="Y819"/>
    </row>
    <row r="820" spans="25:25" x14ac:dyDescent="0.3">
      <c r="Y820"/>
    </row>
    <row r="821" spans="25:25" x14ac:dyDescent="0.3">
      <c r="Y821"/>
    </row>
    <row r="822" spans="25:25" x14ac:dyDescent="0.3">
      <c r="Y822"/>
    </row>
    <row r="823" spans="25:25" x14ac:dyDescent="0.3">
      <c r="Y823"/>
    </row>
    <row r="824" spans="25:25" x14ac:dyDescent="0.3">
      <c r="Y824"/>
    </row>
    <row r="825" spans="25:25" x14ac:dyDescent="0.3">
      <c r="Y825"/>
    </row>
    <row r="826" spans="25:25" x14ac:dyDescent="0.3">
      <c r="Y826"/>
    </row>
    <row r="827" spans="25:25" x14ac:dyDescent="0.3">
      <c r="Y827"/>
    </row>
    <row r="828" spans="25:25" x14ac:dyDescent="0.3">
      <c r="Y828"/>
    </row>
    <row r="829" spans="25:25" x14ac:dyDescent="0.3">
      <c r="Y829"/>
    </row>
    <row r="830" spans="25:25" x14ac:dyDescent="0.3">
      <c r="Y830"/>
    </row>
    <row r="831" spans="25:25" x14ac:dyDescent="0.3">
      <c r="Y831"/>
    </row>
    <row r="832" spans="25:25" x14ac:dyDescent="0.3">
      <c r="Y832"/>
    </row>
    <row r="833" spans="25:25" x14ac:dyDescent="0.3">
      <c r="Y833"/>
    </row>
    <row r="834" spans="25:25" x14ac:dyDescent="0.3">
      <c r="Y834"/>
    </row>
    <row r="835" spans="25:25" x14ac:dyDescent="0.3">
      <c r="Y835"/>
    </row>
    <row r="836" spans="25:25" x14ac:dyDescent="0.3">
      <c r="Y836"/>
    </row>
    <row r="837" spans="25:25" x14ac:dyDescent="0.3">
      <c r="Y837"/>
    </row>
    <row r="838" spans="25:25" x14ac:dyDescent="0.3">
      <c r="Y838"/>
    </row>
    <row r="839" spans="25:25" x14ac:dyDescent="0.3">
      <c r="Y839"/>
    </row>
    <row r="840" spans="25:25" x14ac:dyDescent="0.3">
      <c r="Y840"/>
    </row>
    <row r="841" spans="25:25" x14ac:dyDescent="0.3">
      <c r="Y841"/>
    </row>
    <row r="842" spans="25:25" x14ac:dyDescent="0.3">
      <c r="Y842"/>
    </row>
    <row r="843" spans="25:25" x14ac:dyDescent="0.3">
      <c r="Y843"/>
    </row>
    <row r="844" spans="25:25" x14ac:dyDescent="0.3">
      <c r="Y844"/>
    </row>
    <row r="845" spans="25:25" x14ac:dyDescent="0.3">
      <c r="Y845"/>
    </row>
    <row r="846" spans="25:25" x14ac:dyDescent="0.3">
      <c r="Y846"/>
    </row>
    <row r="847" spans="25:25" x14ac:dyDescent="0.3">
      <c r="Y847"/>
    </row>
    <row r="848" spans="25:25" x14ac:dyDescent="0.3">
      <c r="Y848"/>
    </row>
    <row r="849" spans="25:25" x14ac:dyDescent="0.3">
      <c r="Y849"/>
    </row>
    <row r="850" spans="25:25" x14ac:dyDescent="0.3">
      <c r="Y850"/>
    </row>
    <row r="851" spans="25:25" x14ac:dyDescent="0.3">
      <c r="Y851"/>
    </row>
    <row r="852" spans="25:25" x14ac:dyDescent="0.3">
      <c r="Y852"/>
    </row>
    <row r="853" spans="25:25" x14ac:dyDescent="0.3">
      <c r="Y853"/>
    </row>
    <row r="854" spans="25:25" x14ac:dyDescent="0.3">
      <c r="Y854"/>
    </row>
    <row r="855" spans="25:25" x14ac:dyDescent="0.3">
      <c r="Y855"/>
    </row>
    <row r="856" spans="25:25" x14ac:dyDescent="0.3">
      <c r="Y856"/>
    </row>
    <row r="857" spans="25:25" x14ac:dyDescent="0.3">
      <c r="Y857"/>
    </row>
    <row r="858" spans="25:25" x14ac:dyDescent="0.3">
      <c r="Y858"/>
    </row>
    <row r="859" spans="25:25" x14ac:dyDescent="0.3">
      <c r="Y859"/>
    </row>
    <row r="860" spans="25:25" x14ac:dyDescent="0.3">
      <c r="Y860"/>
    </row>
    <row r="861" spans="25:25" x14ac:dyDescent="0.3">
      <c r="Y861"/>
    </row>
    <row r="862" spans="25:25" x14ac:dyDescent="0.3">
      <c r="Y862"/>
    </row>
    <row r="863" spans="25:25" x14ac:dyDescent="0.3">
      <c r="Y863"/>
    </row>
    <row r="864" spans="25:25" x14ac:dyDescent="0.3">
      <c r="Y864"/>
    </row>
    <row r="865" spans="25:25" x14ac:dyDescent="0.3">
      <c r="Y865"/>
    </row>
    <row r="866" spans="25:25" x14ac:dyDescent="0.3">
      <c r="Y866"/>
    </row>
    <row r="867" spans="25:25" x14ac:dyDescent="0.3">
      <c r="Y867"/>
    </row>
    <row r="868" spans="25:25" x14ac:dyDescent="0.3">
      <c r="Y868"/>
    </row>
    <row r="869" spans="25:25" x14ac:dyDescent="0.3">
      <c r="Y869"/>
    </row>
    <row r="870" spans="25:25" x14ac:dyDescent="0.3">
      <c r="Y870"/>
    </row>
    <row r="871" spans="25:25" x14ac:dyDescent="0.3">
      <c r="Y871"/>
    </row>
    <row r="872" spans="25:25" x14ac:dyDescent="0.3">
      <c r="Y872"/>
    </row>
    <row r="873" spans="25:25" x14ac:dyDescent="0.3">
      <c r="Y873"/>
    </row>
    <row r="874" spans="25:25" x14ac:dyDescent="0.3">
      <c r="Y874"/>
    </row>
    <row r="875" spans="25:25" x14ac:dyDescent="0.3">
      <c r="Y875"/>
    </row>
    <row r="876" spans="25:25" x14ac:dyDescent="0.3">
      <c r="Y876"/>
    </row>
    <row r="877" spans="25:25" x14ac:dyDescent="0.3">
      <c r="Y877"/>
    </row>
    <row r="878" spans="25:25" x14ac:dyDescent="0.3">
      <c r="Y878"/>
    </row>
    <row r="879" spans="25:25" x14ac:dyDescent="0.3">
      <c r="Y879"/>
    </row>
    <row r="880" spans="25:25" x14ac:dyDescent="0.3">
      <c r="Y880"/>
    </row>
    <row r="881" spans="25:25" x14ac:dyDescent="0.3">
      <c r="Y881"/>
    </row>
    <row r="882" spans="25:25" x14ac:dyDescent="0.3">
      <c r="Y882"/>
    </row>
    <row r="883" spans="25:25" x14ac:dyDescent="0.3">
      <c r="Y883"/>
    </row>
    <row r="884" spans="25:25" x14ac:dyDescent="0.3">
      <c r="Y884"/>
    </row>
    <row r="885" spans="25:25" x14ac:dyDescent="0.3">
      <c r="Y885"/>
    </row>
    <row r="886" spans="25:25" x14ac:dyDescent="0.3">
      <c r="Y886"/>
    </row>
    <row r="887" spans="25:25" x14ac:dyDescent="0.3">
      <c r="Y887"/>
    </row>
    <row r="888" spans="25:25" x14ac:dyDescent="0.3">
      <c r="Y888"/>
    </row>
    <row r="889" spans="25:25" x14ac:dyDescent="0.3">
      <c r="Y889"/>
    </row>
    <row r="890" spans="25:25" x14ac:dyDescent="0.3">
      <c r="Y890"/>
    </row>
    <row r="891" spans="25:25" x14ac:dyDescent="0.3">
      <c r="Y891"/>
    </row>
    <row r="892" spans="25:25" x14ac:dyDescent="0.3">
      <c r="Y892"/>
    </row>
    <row r="893" spans="25:25" x14ac:dyDescent="0.3">
      <c r="Y893"/>
    </row>
    <row r="894" spans="25:25" x14ac:dyDescent="0.3">
      <c r="Y894"/>
    </row>
    <row r="895" spans="25:25" x14ac:dyDescent="0.3">
      <c r="Y895"/>
    </row>
    <row r="896" spans="25:25" x14ac:dyDescent="0.3">
      <c r="Y896"/>
    </row>
    <row r="897" spans="25:25" x14ac:dyDescent="0.3">
      <c r="Y897"/>
    </row>
    <row r="898" spans="25:25" x14ac:dyDescent="0.3">
      <c r="Y898"/>
    </row>
    <row r="899" spans="25:25" x14ac:dyDescent="0.3">
      <c r="Y899"/>
    </row>
    <row r="900" spans="25:25" x14ac:dyDescent="0.3">
      <c r="Y900"/>
    </row>
    <row r="901" spans="25:25" x14ac:dyDescent="0.3">
      <c r="Y901"/>
    </row>
    <row r="902" spans="25:25" x14ac:dyDescent="0.3">
      <c r="Y902"/>
    </row>
    <row r="903" spans="25:25" x14ac:dyDescent="0.3">
      <c r="Y903"/>
    </row>
    <row r="904" spans="25:25" x14ac:dyDescent="0.3">
      <c r="Y904"/>
    </row>
    <row r="905" spans="25:25" x14ac:dyDescent="0.3">
      <c r="Y905"/>
    </row>
    <row r="906" spans="25:25" x14ac:dyDescent="0.3">
      <c r="Y906"/>
    </row>
    <row r="907" spans="25:25" x14ac:dyDescent="0.3">
      <c r="Y907"/>
    </row>
    <row r="908" spans="25:25" x14ac:dyDescent="0.3">
      <c r="Y908"/>
    </row>
    <row r="909" spans="25:25" x14ac:dyDescent="0.3">
      <c r="Y909"/>
    </row>
    <row r="910" spans="25:25" x14ac:dyDescent="0.3">
      <c r="Y910"/>
    </row>
    <row r="911" spans="25:25" x14ac:dyDescent="0.3">
      <c r="Y911"/>
    </row>
    <row r="912" spans="25:25" x14ac:dyDescent="0.3">
      <c r="Y912"/>
    </row>
    <row r="913" spans="25:25" x14ac:dyDescent="0.3">
      <c r="Y913"/>
    </row>
    <row r="914" spans="25:25" x14ac:dyDescent="0.3">
      <c r="Y914"/>
    </row>
    <row r="915" spans="25:25" x14ac:dyDescent="0.3">
      <c r="Y915"/>
    </row>
    <row r="916" spans="25:25" x14ac:dyDescent="0.3">
      <c r="Y916"/>
    </row>
    <row r="917" spans="25:25" x14ac:dyDescent="0.3">
      <c r="Y917"/>
    </row>
    <row r="918" spans="25:25" x14ac:dyDescent="0.3">
      <c r="Y918"/>
    </row>
    <row r="919" spans="25:25" x14ac:dyDescent="0.3">
      <c r="Y919"/>
    </row>
    <row r="920" spans="25:25" x14ac:dyDescent="0.3">
      <c r="Y920"/>
    </row>
    <row r="921" spans="25:25" x14ac:dyDescent="0.3">
      <c r="Y921"/>
    </row>
    <row r="922" spans="25:25" x14ac:dyDescent="0.3">
      <c r="Y922"/>
    </row>
    <row r="923" spans="25:25" x14ac:dyDescent="0.3">
      <c r="Y923"/>
    </row>
    <row r="924" spans="25:25" x14ac:dyDescent="0.3">
      <c r="Y924"/>
    </row>
    <row r="925" spans="25:25" x14ac:dyDescent="0.3">
      <c r="Y925"/>
    </row>
    <row r="926" spans="25:25" x14ac:dyDescent="0.3">
      <c r="Y926"/>
    </row>
    <row r="927" spans="25:25" x14ac:dyDescent="0.3">
      <c r="Y927"/>
    </row>
    <row r="928" spans="25:25" x14ac:dyDescent="0.3">
      <c r="Y928"/>
    </row>
    <row r="929" spans="25:25" x14ac:dyDescent="0.3">
      <c r="Y929"/>
    </row>
    <row r="930" spans="25:25" x14ac:dyDescent="0.3">
      <c r="Y930"/>
    </row>
    <row r="931" spans="25:25" x14ac:dyDescent="0.3">
      <c r="Y931"/>
    </row>
    <row r="932" spans="25:25" x14ac:dyDescent="0.3">
      <c r="Y932"/>
    </row>
    <row r="933" spans="25:25" x14ac:dyDescent="0.3">
      <c r="Y933"/>
    </row>
    <row r="934" spans="25:25" x14ac:dyDescent="0.3">
      <c r="Y934"/>
    </row>
    <row r="935" spans="25:25" x14ac:dyDescent="0.3">
      <c r="Y935"/>
    </row>
    <row r="936" spans="25:25" x14ac:dyDescent="0.3">
      <c r="Y936"/>
    </row>
    <row r="937" spans="25:25" x14ac:dyDescent="0.3">
      <c r="Y937"/>
    </row>
    <row r="938" spans="25:25" x14ac:dyDescent="0.3">
      <c r="Y938"/>
    </row>
    <row r="939" spans="25:25" x14ac:dyDescent="0.3">
      <c r="Y939"/>
    </row>
    <row r="940" spans="25:25" x14ac:dyDescent="0.3">
      <c r="Y940"/>
    </row>
    <row r="941" spans="25:25" x14ac:dyDescent="0.3">
      <c r="Y941"/>
    </row>
    <row r="942" spans="25:25" x14ac:dyDescent="0.3">
      <c r="Y942"/>
    </row>
    <row r="943" spans="25:25" x14ac:dyDescent="0.3">
      <c r="Y943"/>
    </row>
    <row r="944" spans="25:25" x14ac:dyDescent="0.3">
      <c r="Y944"/>
    </row>
    <row r="945" spans="25:25" x14ac:dyDescent="0.3">
      <c r="Y945"/>
    </row>
    <row r="946" spans="25:25" x14ac:dyDescent="0.3">
      <c r="Y946"/>
    </row>
    <row r="947" spans="25:25" x14ac:dyDescent="0.3">
      <c r="Y947"/>
    </row>
    <row r="948" spans="25:25" x14ac:dyDescent="0.3">
      <c r="Y948"/>
    </row>
    <row r="949" spans="25:25" x14ac:dyDescent="0.3">
      <c r="Y949"/>
    </row>
    <row r="950" spans="25:25" x14ac:dyDescent="0.3">
      <c r="Y950"/>
    </row>
    <row r="951" spans="25:25" x14ac:dyDescent="0.3">
      <c r="Y951"/>
    </row>
    <row r="952" spans="25:25" x14ac:dyDescent="0.3">
      <c r="Y952"/>
    </row>
    <row r="953" spans="25:25" x14ac:dyDescent="0.3">
      <c r="Y953"/>
    </row>
    <row r="954" spans="25:25" x14ac:dyDescent="0.3">
      <c r="Y954"/>
    </row>
    <row r="955" spans="25:25" x14ac:dyDescent="0.3">
      <c r="Y955"/>
    </row>
    <row r="956" spans="25:25" x14ac:dyDescent="0.3">
      <c r="Y956"/>
    </row>
    <row r="957" spans="25:25" x14ac:dyDescent="0.3">
      <c r="Y957"/>
    </row>
    <row r="958" spans="25:25" x14ac:dyDescent="0.3">
      <c r="Y958"/>
    </row>
    <row r="959" spans="25:25" x14ac:dyDescent="0.3">
      <c r="Y959"/>
    </row>
    <row r="960" spans="25:25" x14ac:dyDescent="0.3">
      <c r="Y960"/>
    </row>
    <row r="961" spans="25:25" x14ac:dyDescent="0.3">
      <c r="Y961"/>
    </row>
    <row r="962" spans="25:25" x14ac:dyDescent="0.3">
      <c r="Y962"/>
    </row>
    <row r="963" spans="25:25" x14ac:dyDescent="0.3">
      <c r="Y963"/>
    </row>
    <row r="964" spans="25:25" x14ac:dyDescent="0.3">
      <c r="Y964"/>
    </row>
    <row r="965" spans="25:25" x14ac:dyDescent="0.3">
      <c r="Y965"/>
    </row>
    <row r="966" spans="25:25" x14ac:dyDescent="0.3">
      <c r="Y966"/>
    </row>
    <row r="967" spans="25:25" x14ac:dyDescent="0.3">
      <c r="Y967"/>
    </row>
    <row r="968" spans="25:25" x14ac:dyDescent="0.3">
      <c r="Y968"/>
    </row>
    <row r="969" spans="25:25" x14ac:dyDescent="0.3">
      <c r="Y969"/>
    </row>
    <row r="970" spans="25:25" x14ac:dyDescent="0.3">
      <c r="Y970"/>
    </row>
    <row r="971" spans="25:25" x14ac:dyDescent="0.3">
      <c r="Y971"/>
    </row>
    <row r="972" spans="25:25" x14ac:dyDescent="0.3">
      <c r="Y972"/>
    </row>
    <row r="973" spans="25:25" x14ac:dyDescent="0.3">
      <c r="Y973"/>
    </row>
    <row r="974" spans="25:25" x14ac:dyDescent="0.3">
      <c r="Y974"/>
    </row>
    <row r="975" spans="25:25" x14ac:dyDescent="0.3">
      <c r="Y975"/>
    </row>
    <row r="976" spans="25:25" x14ac:dyDescent="0.3">
      <c r="Y976"/>
    </row>
    <row r="977" spans="25:25" x14ac:dyDescent="0.3">
      <c r="Y977"/>
    </row>
    <row r="978" spans="25:25" x14ac:dyDescent="0.3">
      <c r="Y978"/>
    </row>
    <row r="979" spans="25:25" x14ac:dyDescent="0.3">
      <c r="Y979"/>
    </row>
    <row r="980" spans="25:25" x14ac:dyDescent="0.3">
      <c r="Y980"/>
    </row>
    <row r="981" spans="25:25" x14ac:dyDescent="0.3">
      <c r="Y981"/>
    </row>
    <row r="982" spans="25:25" x14ac:dyDescent="0.3">
      <c r="Y982"/>
    </row>
    <row r="983" spans="25:25" x14ac:dyDescent="0.3">
      <c r="Y983"/>
    </row>
    <row r="984" spans="25:25" x14ac:dyDescent="0.3">
      <c r="Y984"/>
    </row>
    <row r="985" spans="25:25" x14ac:dyDescent="0.3">
      <c r="Y985"/>
    </row>
    <row r="986" spans="25:25" x14ac:dyDescent="0.3">
      <c r="Y986"/>
    </row>
    <row r="987" spans="25:25" x14ac:dyDescent="0.3">
      <c r="Y987"/>
    </row>
    <row r="988" spans="25:25" x14ac:dyDescent="0.3">
      <c r="Y988"/>
    </row>
    <row r="989" spans="25:25" x14ac:dyDescent="0.3">
      <c r="Y989"/>
    </row>
    <row r="990" spans="25:25" x14ac:dyDescent="0.3">
      <c r="Y990"/>
    </row>
    <row r="991" spans="25:25" x14ac:dyDescent="0.3">
      <c r="Y991"/>
    </row>
    <row r="992" spans="25:25" x14ac:dyDescent="0.3">
      <c r="Y992"/>
    </row>
    <row r="993" spans="25:25" x14ac:dyDescent="0.3">
      <c r="Y993"/>
    </row>
    <row r="994" spans="25:25" x14ac:dyDescent="0.3">
      <c r="Y994"/>
    </row>
    <row r="995" spans="25:25" x14ac:dyDescent="0.3">
      <c r="Y995"/>
    </row>
    <row r="996" spans="25:25" x14ac:dyDescent="0.3">
      <c r="Y996"/>
    </row>
    <row r="997" spans="25:25" x14ac:dyDescent="0.3">
      <c r="Y997"/>
    </row>
    <row r="998" spans="25:25" x14ac:dyDescent="0.3">
      <c r="Y998"/>
    </row>
    <row r="999" spans="25:25" x14ac:dyDescent="0.3">
      <c r="Y999"/>
    </row>
    <row r="1000" spans="25:25" x14ac:dyDescent="0.3">
      <c r="Y1000"/>
    </row>
    <row r="1001" spans="25:25" x14ac:dyDescent="0.3">
      <c r="Y1001"/>
    </row>
    <row r="1002" spans="25:25" x14ac:dyDescent="0.3">
      <c r="Y1002"/>
    </row>
    <row r="1003" spans="25:25" x14ac:dyDescent="0.3">
      <c r="Y1003"/>
    </row>
    <row r="1004" spans="25:25" x14ac:dyDescent="0.3">
      <c r="Y1004"/>
    </row>
    <row r="1005" spans="25:25" x14ac:dyDescent="0.3">
      <c r="Y1005"/>
    </row>
    <row r="1006" spans="25:25" x14ac:dyDescent="0.3">
      <c r="Y1006"/>
    </row>
    <row r="1007" spans="25:25" x14ac:dyDescent="0.3">
      <c r="Y1007"/>
    </row>
    <row r="1008" spans="25:25" x14ac:dyDescent="0.3">
      <c r="Y1008"/>
    </row>
    <row r="1009" spans="25:25" x14ac:dyDescent="0.3">
      <c r="Y1009"/>
    </row>
    <row r="1010" spans="25:25" x14ac:dyDescent="0.3">
      <c r="Y1010"/>
    </row>
    <row r="1011" spans="25:25" x14ac:dyDescent="0.3">
      <c r="Y1011"/>
    </row>
    <row r="1012" spans="25:25" x14ac:dyDescent="0.3">
      <c r="Y1012"/>
    </row>
    <row r="1013" spans="25:25" x14ac:dyDescent="0.3">
      <c r="Y1013"/>
    </row>
    <row r="1014" spans="25:25" x14ac:dyDescent="0.3">
      <c r="Y1014"/>
    </row>
    <row r="1015" spans="25:25" x14ac:dyDescent="0.3">
      <c r="Y1015"/>
    </row>
    <row r="1016" spans="25:25" x14ac:dyDescent="0.3">
      <c r="Y1016"/>
    </row>
    <row r="1017" spans="25:25" x14ac:dyDescent="0.3">
      <c r="Y1017"/>
    </row>
    <row r="1018" spans="25:25" x14ac:dyDescent="0.3">
      <c r="Y1018"/>
    </row>
    <row r="1019" spans="25:25" x14ac:dyDescent="0.3">
      <c r="Y1019"/>
    </row>
    <row r="1020" spans="25:25" x14ac:dyDescent="0.3">
      <c r="Y1020"/>
    </row>
    <row r="1021" spans="25:25" x14ac:dyDescent="0.3">
      <c r="Y1021"/>
    </row>
    <row r="1022" spans="25:25" x14ac:dyDescent="0.3">
      <c r="Y1022"/>
    </row>
    <row r="1023" spans="25:25" x14ac:dyDescent="0.3">
      <c r="Y1023"/>
    </row>
    <row r="1024" spans="25:25" x14ac:dyDescent="0.3">
      <c r="Y1024"/>
    </row>
    <row r="1025" spans="25:25" x14ac:dyDescent="0.3">
      <c r="Y1025"/>
    </row>
    <row r="1026" spans="25:25" x14ac:dyDescent="0.3">
      <c r="Y1026"/>
    </row>
    <row r="1027" spans="25:25" x14ac:dyDescent="0.3">
      <c r="Y1027"/>
    </row>
    <row r="1028" spans="25:25" x14ac:dyDescent="0.3">
      <c r="Y1028"/>
    </row>
    <row r="1029" spans="25:25" x14ac:dyDescent="0.3">
      <c r="Y1029"/>
    </row>
    <row r="1030" spans="25:25" x14ac:dyDescent="0.3">
      <c r="Y1030"/>
    </row>
    <row r="1031" spans="25:25" x14ac:dyDescent="0.3">
      <c r="Y1031"/>
    </row>
    <row r="1032" spans="25:25" x14ac:dyDescent="0.3">
      <c r="Y1032"/>
    </row>
    <row r="1033" spans="25:25" x14ac:dyDescent="0.3">
      <c r="Y1033"/>
    </row>
    <row r="1034" spans="25:25" x14ac:dyDescent="0.3">
      <c r="Y1034"/>
    </row>
    <row r="1035" spans="25:25" x14ac:dyDescent="0.3">
      <c r="Y1035"/>
    </row>
    <row r="1036" spans="25:25" x14ac:dyDescent="0.3">
      <c r="Y1036"/>
    </row>
    <row r="1037" spans="25:25" x14ac:dyDescent="0.3">
      <c r="Y1037"/>
    </row>
    <row r="1038" spans="25:25" x14ac:dyDescent="0.3">
      <c r="Y1038"/>
    </row>
    <row r="1039" spans="25:25" x14ac:dyDescent="0.3">
      <c r="Y1039"/>
    </row>
    <row r="1040" spans="25:25" x14ac:dyDescent="0.3">
      <c r="Y1040"/>
    </row>
    <row r="1041" spans="25:25" x14ac:dyDescent="0.3">
      <c r="Y1041"/>
    </row>
    <row r="1042" spans="25:25" x14ac:dyDescent="0.3">
      <c r="Y1042"/>
    </row>
    <row r="1043" spans="25:25" x14ac:dyDescent="0.3">
      <c r="Y1043"/>
    </row>
    <row r="1044" spans="25:25" x14ac:dyDescent="0.3">
      <c r="Y1044"/>
    </row>
    <row r="1045" spans="25:25" x14ac:dyDescent="0.3">
      <c r="Y1045"/>
    </row>
    <row r="1046" spans="25:25" x14ac:dyDescent="0.3">
      <c r="Y1046"/>
    </row>
    <row r="1047" spans="25:25" x14ac:dyDescent="0.3">
      <c r="Y1047"/>
    </row>
    <row r="1048" spans="25:25" x14ac:dyDescent="0.3">
      <c r="Y1048"/>
    </row>
    <row r="1049" spans="25:25" x14ac:dyDescent="0.3">
      <c r="Y1049"/>
    </row>
    <row r="1050" spans="25:25" x14ac:dyDescent="0.3">
      <c r="Y1050"/>
    </row>
    <row r="1051" spans="25:25" x14ac:dyDescent="0.3">
      <c r="Y1051"/>
    </row>
    <row r="1052" spans="25:25" x14ac:dyDescent="0.3">
      <c r="Y1052"/>
    </row>
    <row r="1053" spans="25:25" x14ac:dyDescent="0.3">
      <c r="Y1053"/>
    </row>
    <row r="1054" spans="25:25" x14ac:dyDescent="0.3">
      <c r="Y1054"/>
    </row>
    <row r="1055" spans="25:25" x14ac:dyDescent="0.3">
      <c r="Y1055"/>
    </row>
    <row r="1056" spans="25:25" x14ac:dyDescent="0.3">
      <c r="Y1056"/>
    </row>
    <row r="1057" spans="25:25" x14ac:dyDescent="0.3">
      <c r="Y1057"/>
    </row>
    <row r="1058" spans="25:25" x14ac:dyDescent="0.3">
      <c r="Y1058"/>
    </row>
    <row r="1059" spans="25:25" x14ac:dyDescent="0.3">
      <c r="Y1059"/>
    </row>
    <row r="1060" spans="25:25" x14ac:dyDescent="0.3">
      <c r="Y1060"/>
    </row>
    <row r="1061" spans="25:25" x14ac:dyDescent="0.3">
      <c r="Y1061"/>
    </row>
    <row r="1062" spans="25:25" x14ac:dyDescent="0.3">
      <c r="Y1062"/>
    </row>
    <row r="1063" spans="25:25" x14ac:dyDescent="0.3">
      <c r="Y1063"/>
    </row>
    <row r="1064" spans="25:25" x14ac:dyDescent="0.3">
      <c r="Y1064"/>
    </row>
    <row r="1065" spans="25:25" x14ac:dyDescent="0.3">
      <c r="Y1065"/>
    </row>
    <row r="1066" spans="25:25" x14ac:dyDescent="0.3">
      <c r="Y1066"/>
    </row>
    <row r="1067" spans="25:25" x14ac:dyDescent="0.3">
      <c r="Y1067"/>
    </row>
    <row r="1068" spans="25:25" x14ac:dyDescent="0.3">
      <c r="Y1068"/>
    </row>
    <row r="1069" spans="25:25" x14ac:dyDescent="0.3">
      <c r="Y1069"/>
    </row>
    <row r="1070" spans="25:25" x14ac:dyDescent="0.3">
      <c r="Y1070"/>
    </row>
    <row r="1071" spans="25:25" x14ac:dyDescent="0.3">
      <c r="Y1071"/>
    </row>
    <row r="1072" spans="25:25" x14ac:dyDescent="0.3">
      <c r="Y1072"/>
    </row>
    <row r="1073" spans="25:25" x14ac:dyDescent="0.3">
      <c r="Y1073"/>
    </row>
    <row r="1074" spans="25:25" x14ac:dyDescent="0.3">
      <c r="Y1074"/>
    </row>
    <row r="1075" spans="25:25" x14ac:dyDescent="0.3">
      <c r="Y1075"/>
    </row>
    <row r="1076" spans="25:25" x14ac:dyDescent="0.3">
      <c r="Y1076"/>
    </row>
    <row r="1077" spans="25:25" x14ac:dyDescent="0.3">
      <c r="Y1077"/>
    </row>
    <row r="1078" spans="25:25" x14ac:dyDescent="0.3">
      <c r="Y1078"/>
    </row>
    <row r="1079" spans="25:25" x14ac:dyDescent="0.3">
      <c r="Y1079"/>
    </row>
    <row r="1080" spans="25:25" x14ac:dyDescent="0.3">
      <c r="Y1080"/>
    </row>
    <row r="1081" spans="25:25" x14ac:dyDescent="0.3">
      <c r="Y1081"/>
    </row>
    <row r="1082" spans="25:25" x14ac:dyDescent="0.3">
      <c r="Y1082"/>
    </row>
    <row r="1083" spans="25:25" x14ac:dyDescent="0.3">
      <c r="Y1083"/>
    </row>
    <row r="1084" spans="25:25" x14ac:dyDescent="0.3">
      <c r="Y1084"/>
    </row>
    <row r="1085" spans="25:25" x14ac:dyDescent="0.3">
      <c r="Y1085"/>
    </row>
    <row r="1086" spans="25:25" x14ac:dyDescent="0.3">
      <c r="Y1086"/>
    </row>
    <row r="1087" spans="25:25" x14ac:dyDescent="0.3">
      <c r="Y1087"/>
    </row>
    <row r="1088" spans="25:25" x14ac:dyDescent="0.3">
      <c r="Y1088"/>
    </row>
    <row r="1089" spans="25:25" x14ac:dyDescent="0.3">
      <c r="Y1089"/>
    </row>
    <row r="1090" spans="25:25" x14ac:dyDescent="0.3">
      <c r="Y1090"/>
    </row>
    <row r="1091" spans="25:25" x14ac:dyDescent="0.3">
      <c r="Y1091"/>
    </row>
    <row r="1092" spans="25:25" x14ac:dyDescent="0.3">
      <c r="Y1092"/>
    </row>
    <row r="1093" spans="25:25" x14ac:dyDescent="0.3">
      <c r="Y1093"/>
    </row>
    <row r="1094" spans="25:25" x14ac:dyDescent="0.3">
      <c r="Y1094"/>
    </row>
    <row r="1095" spans="25:25" x14ac:dyDescent="0.3">
      <c r="Y1095"/>
    </row>
    <row r="1096" spans="25:25" x14ac:dyDescent="0.3">
      <c r="Y1096"/>
    </row>
    <row r="1097" spans="25:25" x14ac:dyDescent="0.3">
      <c r="Y1097"/>
    </row>
    <row r="1098" spans="25:25" x14ac:dyDescent="0.3">
      <c r="Y1098"/>
    </row>
    <row r="1099" spans="25:25" x14ac:dyDescent="0.3">
      <c r="Y1099"/>
    </row>
    <row r="1100" spans="25:25" x14ac:dyDescent="0.3">
      <c r="Y1100"/>
    </row>
    <row r="1101" spans="25:25" x14ac:dyDescent="0.3">
      <c r="Y1101"/>
    </row>
    <row r="1102" spans="25:25" x14ac:dyDescent="0.3">
      <c r="Y1102"/>
    </row>
    <row r="1103" spans="25:25" x14ac:dyDescent="0.3">
      <c r="Y1103"/>
    </row>
    <row r="1104" spans="25:25" x14ac:dyDescent="0.3">
      <c r="Y1104"/>
    </row>
    <row r="1105" spans="25:25" x14ac:dyDescent="0.3">
      <c r="Y1105"/>
    </row>
    <row r="1106" spans="25:25" x14ac:dyDescent="0.3">
      <c r="Y1106"/>
    </row>
    <row r="1107" spans="25:25" x14ac:dyDescent="0.3">
      <c r="Y1107"/>
    </row>
    <row r="1108" spans="25:25" x14ac:dyDescent="0.3">
      <c r="Y1108"/>
    </row>
    <row r="1109" spans="25:25" x14ac:dyDescent="0.3">
      <c r="Y1109"/>
    </row>
    <row r="1110" spans="25:25" x14ac:dyDescent="0.3">
      <c r="Y1110"/>
    </row>
    <row r="1111" spans="25:25" x14ac:dyDescent="0.3">
      <c r="Y1111"/>
    </row>
    <row r="1112" spans="25:25" x14ac:dyDescent="0.3">
      <c r="Y1112"/>
    </row>
    <row r="1113" spans="25:25" x14ac:dyDescent="0.3">
      <c r="Y1113"/>
    </row>
    <row r="1114" spans="25:25" x14ac:dyDescent="0.3">
      <c r="Y1114"/>
    </row>
    <row r="1115" spans="25:25" x14ac:dyDescent="0.3">
      <c r="Y1115"/>
    </row>
    <row r="1116" spans="25:25" x14ac:dyDescent="0.3">
      <c r="Y1116"/>
    </row>
    <row r="1117" spans="25:25" x14ac:dyDescent="0.3">
      <c r="Y1117"/>
    </row>
    <row r="1118" spans="25:25" x14ac:dyDescent="0.3">
      <c r="Y1118"/>
    </row>
    <row r="1119" spans="25:25" x14ac:dyDescent="0.3">
      <c r="Y1119"/>
    </row>
    <row r="1120" spans="25:25" x14ac:dyDescent="0.3">
      <c r="Y1120"/>
    </row>
    <row r="1121" spans="25:25" x14ac:dyDescent="0.3">
      <c r="Y1121"/>
    </row>
    <row r="1122" spans="25:25" x14ac:dyDescent="0.3">
      <c r="Y1122"/>
    </row>
    <row r="1123" spans="25:25" x14ac:dyDescent="0.3">
      <c r="Y1123"/>
    </row>
    <row r="1124" spans="25:25" x14ac:dyDescent="0.3">
      <c r="Y1124"/>
    </row>
    <row r="1125" spans="25:25" x14ac:dyDescent="0.3">
      <c r="Y1125"/>
    </row>
    <row r="1126" spans="25:25" x14ac:dyDescent="0.3">
      <c r="Y1126"/>
    </row>
    <row r="1127" spans="25:25" x14ac:dyDescent="0.3">
      <c r="Y1127"/>
    </row>
    <row r="1128" spans="25:25" x14ac:dyDescent="0.3">
      <c r="Y1128"/>
    </row>
    <row r="1129" spans="25:25" x14ac:dyDescent="0.3">
      <c r="Y1129"/>
    </row>
    <row r="1130" spans="25:25" x14ac:dyDescent="0.3">
      <c r="Y1130"/>
    </row>
    <row r="1131" spans="25:25" x14ac:dyDescent="0.3">
      <c r="Y1131"/>
    </row>
    <row r="1132" spans="25:25" x14ac:dyDescent="0.3">
      <c r="Y1132"/>
    </row>
    <row r="1133" spans="25:25" x14ac:dyDescent="0.3">
      <c r="Y1133"/>
    </row>
    <row r="1134" spans="25:25" x14ac:dyDescent="0.3">
      <c r="Y1134"/>
    </row>
    <row r="1135" spans="25:25" x14ac:dyDescent="0.3">
      <c r="Y1135"/>
    </row>
    <row r="1136" spans="25:25" x14ac:dyDescent="0.3">
      <c r="Y1136"/>
    </row>
    <row r="1137" spans="25:25" x14ac:dyDescent="0.3">
      <c r="Y1137"/>
    </row>
    <row r="1138" spans="25:25" x14ac:dyDescent="0.3">
      <c r="Y1138"/>
    </row>
    <row r="1139" spans="25:25" x14ac:dyDescent="0.3">
      <c r="Y1139"/>
    </row>
    <row r="1140" spans="25:25" x14ac:dyDescent="0.3">
      <c r="Y1140"/>
    </row>
    <row r="1141" spans="25:25" x14ac:dyDescent="0.3">
      <c r="Y1141"/>
    </row>
    <row r="1142" spans="25:25" x14ac:dyDescent="0.3">
      <c r="Y1142"/>
    </row>
    <row r="1143" spans="25:25" x14ac:dyDescent="0.3">
      <c r="Y1143"/>
    </row>
    <row r="1144" spans="25:25" x14ac:dyDescent="0.3">
      <c r="Y1144"/>
    </row>
    <row r="1145" spans="25:25" x14ac:dyDescent="0.3">
      <c r="Y1145"/>
    </row>
    <row r="1146" spans="25:25" x14ac:dyDescent="0.3">
      <c r="Y1146"/>
    </row>
    <row r="1147" spans="25:25" x14ac:dyDescent="0.3">
      <c r="Y1147"/>
    </row>
    <row r="1148" spans="25:25" x14ac:dyDescent="0.3">
      <c r="Y1148"/>
    </row>
    <row r="1149" spans="25:25" x14ac:dyDescent="0.3">
      <c r="Y1149"/>
    </row>
    <row r="1150" spans="25:25" x14ac:dyDescent="0.3">
      <c r="Y1150"/>
    </row>
    <row r="1151" spans="25:25" x14ac:dyDescent="0.3">
      <c r="Y1151"/>
    </row>
    <row r="1152" spans="25:25" x14ac:dyDescent="0.3">
      <c r="Y1152"/>
    </row>
    <row r="1153" spans="25:25" x14ac:dyDescent="0.3">
      <c r="Y1153"/>
    </row>
    <row r="1154" spans="25:25" x14ac:dyDescent="0.3">
      <c r="Y1154"/>
    </row>
    <row r="1155" spans="25:25" x14ac:dyDescent="0.3">
      <c r="Y1155"/>
    </row>
    <row r="1156" spans="25:25" x14ac:dyDescent="0.3">
      <c r="Y1156"/>
    </row>
    <row r="1157" spans="25:25" x14ac:dyDescent="0.3">
      <c r="Y1157"/>
    </row>
    <row r="1158" spans="25:25" x14ac:dyDescent="0.3">
      <c r="Y1158"/>
    </row>
    <row r="1159" spans="25:25" x14ac:dyDescent="0.3">
      <c r="Y1159"/>
    </row>
    <row r="1160" spans="25:25" x14ac:dyDescent="0.3">
      <c r="Y1160"/>
    </row>
    <row r="1161" spans="25:25" x14ac:dyDescent="0.3">
      <c r="Y1161"/>
    </row>
    <row r="1162" spans="25:25" x14ac:dyDescent="0.3">
      <c r="Y1162"/>
    </row>
    <row r="1163" spans="25:25" x14ac:dyDescent="0.3">
      <c r="Y1163"/>
    </row>
    <row r="1164" spans="25:25" x14ac:dyDescent="0.3">
      <c r="Y1164"/>
    </row>
    <row r="1165" spans="25:25" x14ac:dyDescent="0.3">
      <c r="Y1165"/>
    </row>
    <row r="1166" spans="25:25" x14ac:dyDescent="0.3">
      <c r="Y1166"/>
    </row>
    <row r="1167" spans="25:25" x14ac:dyDescent="0.3">
      <c r="Y1167"/>
    </row>
    <row r="1168" spans="25:25" x14ac:dyDescent="0.3">
      <c r="Y1168"/>
    </row>
    <row r="1169" spans="25:25" x14ac:dyDescent="0.3">
      <c r="Y1169"/>
    </row>
    <row r="1170" spans="25:25" x14ac:dyDescent="0.3">
      <c r="Y1170"/>
    </row>
    <row r="1171" spans="25:25" x14ac:dyDescent="0.3">
      <c r="Y1171"/>
    </row>
    <row r="1172" spans="25:25" x14ac:dyDescent="0.3">
      <c r="Y1172"/>
    </row>
    <row r="1173" spans="25:25" x14ac:dyDescent="0.3">
      <c r="Y1173"/>
    </row>
    <row r="1174" spans="25:25" x14ac:dyDescent="0.3">
      <c r="Y1174"/>
    </row>
    <row r="1175" spans="25:25" x14ac:dyDescent="0.3">
      <c r="Y1175"/>
    </row>
    <row r="1176" spans="25:25" x14ac:dyDescent="0.3">
      <c r="Y1176"/>
    </row>
    <row r="1177" spans="25:25" x14ac:dyDescent="0.3">
      <c r="Y1177"/>
    </row>
    <row r="1178" spans="25:25" x14ac:dyDescent="0.3">
      <c r="Y1178"/>
    </row>
    <row r="1179" spans="25:25" x14ac:dyDescent="0.3">
      <c r="Y1179"/>
    </row>
  </sheetData>
  <mergeCells count="8">
    <mergeCell ref="B2:I2"/>
    <mergeCell ref="H3:I6"/>
    <mergeCell ref="AB3:AF3"/>
    <mergeCell ref="B4:G4"/>
    <mergeCell ref="AB4:AF4"/>
    <mergeCell ref="B5:G5"/>
    <mergeCell ref="AB5:AF5"/>
    <mergeCell ref="AB2:AF2"/>
  </mergeCells>
  <pageMargins left="0.7" right="0.7" top="0.75" bottom="0.75" header="0.3" footer="0.3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1:AS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21.55468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1" spans="2:45" ht="15" thickBot="1" x14ac:dyDescent="0.35"/>
    <row r="2" spans="2:45" ht="24" thickBot="1" x14ac:dyDescent="0.5">
      <c r="B2" s="103" t="s">
        <v>12</v>
      </c>
      <c r="C2" s="103"/>
      <c r="D2" s="103"/>
      <c r="E2" s="103"/>
      <c r="F2" s="103"/>
      <c r="AG2" s="83" t="s">
        <v>151</v>
      </c>
      <c r="AH2" s="105" t="s">
        <v>152</v>
      </c>
      <c r="AI2" s="105"/>
      <c r="AJ2" s="105"/>
      <c r="AK2" s="105"/>
      <c r="AL2" s="105"/>
    </row>
    <row r="3" spans="2:45" ht="17.399999999999999" customHeight="1" thickBot="1" x14ac:dyDescent="0.65">
      <c r="B3" s="11"/>
      <c r="F3" s="104"/>
      <c r="I3" s="82"/>
      <c r="AG3" s="78" t="s">
        <v>0</v>
      </c>
      <c r="AH3" s="105" t="s">
        <v>130</v>
      </c>
      <c r="AI3" s="105"/>
      <c r="AJ3" s="105"/>
      <c r="AK3" s="105"/>
      <c r="AL3" s="105"/>
    </row>
    <row r="4" spans="2:45" ht="20.399999999999999" thickBot="1" x14ac:dyDescent="0.45">
      <c r="B4" s="106" t="s">
        <v>150</v>
      </c>
      <c r="C4" s="106"/>
      <c r="D4" s="106"/>
      <c r="E4" s="106"/>
      <c r="F4" s="104"/>
      <c r="AG4" s="78" t="s">
        <v>131</v>
      </c>
      <c r="AH4" s="105" t="s">
        <v>130</v>
      </c>
      <c r="AI4" s="105"/>
      <c r="AJ4" s="105"/>
      <c r="AK4" s="105"/>
      <c r="AL4" s="105"/>
    </row>
    <row r="5" spans="2:45" ht="18.600000000000001" thickTop="1" thickBot="1" x14ac:dyDescent="0.4">
      <c r="B5" s="107" t="s">
        <v>149</v>
      </c>
      <c r="C5" s="107"/>
      <c r="D5" s="107"/>
      <c r="E5" s="107"/>
      <c r="F5" s="104"/>
      <c r="AG5" s="78" t="s">
        <v>1</v>
      </c>
      <c r="AH5" s="108" t="s">
        <v>130</v>
      </c>
      <c r="AI5" s="108"/>
      <c r="AJ5" s="108"/>
      <c r="AK5" s="108"/>
      <c r="AL5" s="108"/>
    </row>
    <row r="6" spans="2:45" ht="19.2" thickTop="1" thickBot="1" x14ac:dyDescent="0.4">
      <c r="B6" s="38"/>
      <c r="C6" s="38"/>
      <c r="D6" s="38"/>
      <c r="E6" s="38"/>
      <c r="F6" s="104"/>
      <c r="AG6" s="16"/>
      <c r="AH6" s="15"/>
      <c r="AI6" s="12"/>
      <c r="AJ6" s="12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140</v>
      </c>
      <c r="F7" s="4" t="s">
        <v>115</v>
      </c>
      <c r="G7" s="8" t="s">
        <v>101</v>
      </c>
      <c r="H7" s="8" t="s">
        <v>132</v>
      </c>
      <c r="I7" s="8" t="s">
        <v>88</v>
      </c>
      <c r="J7" s="8" t="s">
        <v>116</v>
      </c>
      <c r="K7" s="8" t="s">
        <v>141</v>
      </c>
      <c r="L7" s="8" t="s">
        <v>103</v>
      </c>
      <c r="M7" s="8" t="s">
        <v>104</v>
      </c>
      <c r="N7" s="4" t="s">
        <v>105</v>
      </c>
      <c r="O7" s="4" t="s">
        <v>86</v>
      </c>
      <c r="P7" s="4" t="s">
        <v>117</v>
      </c>
      <c r="Q7" s="8" t="s">
        <v>106</v>
      </c>
      <c r="R7" s="8" t="s">
        <v>133</v>
      </c>
      <c r="S7" s="4" t="s">
        <v>142</v>
      </c>
      <c r="T7" s="8" t="s">
        <v>111</v>
      </c>
      <c r="U7" s="8" t="s">
        <v>112</v>
      </c>
      <c r="V7" s="4" t="s">
        <v>107</v>
      </c>
      <c r="W7" s="4" t="s">
        <v>138</v>
      </c>
      <c r="X7" s="4" t="s">
        <v>143</v>
      </c>
      <c r="Y7" s="8" t="s">
        <v>108</v>
      </c>
      <c r="Z7" s="8" t="s">
        <v>135</v>
      </c>
      <c r="AA7" s="4" t="s">
        <v>144</v>
      </c>
      <c r="AB7" s="8" t="s">
        <v>109</v>
      </c>
      <c r="AC7" s="8" t="s">
        <v>110</v>
      </c>
      <c r="AD7" s="8"/>
      <c r="AE7" s="39" t="s">
        <v>136</v>
      </c>
      <c r="AF7" s="26" t="s">
        <v>132</v>
      </c>
      <c r="AG7" s="3"/>
      <c r="AS7" s="65" t="s">
        <v>114</v>
      </c>
    </row>
    <row r="8" spans="2:45" x14ac:dyDescent="0.3">
      <c r="B8" s="18">
        <v>43885</v>
      </c>
      <c r="C8" s="4">
        <v>0</v>
      </c>
      <c r="D8" s="10">
        <f>'dpc-covid19-ita-andamento-naz'!K2</f>
        <v>7</v>
      </c>
      <c r="E8" s="40"/>
      <c r="F8" s="10">
        <f>Tabella3[[#This Row],[Italy]]*NOT(ISBLANK(Tabella3[[#This Row],[Italy]]))</f>
        <v>0</v>
      </c>
      <c r="G8" s="10">
        <f>Tabella3[[#This Row],[Cum_L_fit]]+Tabella3[[#This Row],[Cum_o_fit]]</f>
        <v>5.102711233504921E-2</v>
      </c>
      <c r="H8" s="10">
        <f>Tabella3[[#This Row],[Lombardy fit]]+Tabella3[[#This Row],[rest of Italy fit]]</f>
        <v>5.3200466593424769E-2</v>
      </c>
      <c r="I8" s="98">
        <f>(1/wf)*EXP(-(Tabella3[[#This Row],[Day]]-t0f)/wf)*(Kf^(1-pf)-(1-pf)*EXP(-(Tabella3[[#This Row],[Day]]-t0f)/wf))^(pf/(1-pf))</f>
        <v>5.5714904398306675E-2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148.67284586858295</v>
      </c>
      <c r="M8" s="10">
        <f>MAX(Tabella3[[#This Row],[Italy sum]]-CIw,0)</f>
        <v>0</v>
      </c>
      <c r="N8" s="86">
        <f>Tabella8[[#This Row],[Lombardy]]</f>
        <v>6</v>
      </c>
      <c r="O8" s="40"/>
      <c r="P8" s="10">
        <f>Tabella3[[#This Row],[Lombardy]]*NOT(ISBLANK(Tabella3[[#This Row],[Lombardy]]))</f>
        <v>0</v>
      </c>
      <c r="Q8" s="98">
        <f>(Kl^(1-pl)-(1-pl)*EXP(-(Tabella3[[#This Row],[Day]]-t0l)/wl))^(1/(1-pl))</f>
        <v>4.3624137394786426E-2</v>
      </c>
      <c r="R8" s="98">
        <f>(1/wl)*EXP(-(Tabella3[[#This Row],[Day]]-t0l)/wl)*(Kl^(1-pl)-(1-pl)*EXP(-(Tabella3[[#This Row],[Day]]-t0l)/wl))^(pl/(1-pl))</f>
        <v>4.5202030638031084E-2</v>
      </c>
      <c r="S8" s="10">
        <f>Tabella3[[#This Row],[Lombardy fit]]*NOT(ISBLANK(Tabella3[[#This Row],[Lombardy]]))</f>
        <v>0</v>
      </c>
      <c r="T8" s="10">
        <f>Tabella3[[#This Row],[Lombardy fit]]+CIl</f>
        <v>122.26323801553178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40"/>
      <c r="X8" s="10">
        <f>Tabella3[[#This Row],[rest of Italy]]*NOT(ISBLANK(Tabella3[[#This Row],[rest of Italy]]))</f>
        <v>0</v>
      </c>
      <c r="Y8" s="98">
        <f>(Ka^(1-pa)-(1-pa)*EXP(-(Tabella3[[#This Row],[Day]]-t0a)/wa))^(1/(1-pa))</f>
        <v>7.4029749402627874E-3</v>
      </c>
      <c r="Z8" s="98">
        <f>(1/wa)*EXP(-(Tabella3[[#This Row],[Day]]-t0a)/wa)*(Ka^(1-pa)-(1-pa)*EXP(-(Tabella3[[#This Row],[Day]]-t0a)/wa))^(pa/(1-pa))</f>
        <v>7.9984359553936877E-3</v>
      </c>
      <c r="AA8" s="10">
        <f>Tabella3[[#This Row],[rest of Italy fit]]*NOT(ISBLANK(Tabella3[[#This Row],[rest of Italy]]))</f>
        <v>0</v>
      </c>
      <c r="AB8" s="10">
        <f>Tabella3[[#This Row],[rest of Italy fit]]+CIa</f>
        <v>78.90899012105065</v>
      </c>
      <c r="AC8" s="10">
        <f>MAX(Tabella3[[#This Row],[rest of Italy fit]]-CIa,0)</f>
        <v>0</v>
      </c>
      <c r="AD8" s="8"/>
      <c r="AE8" s="28"/>
      <c r="AF8" s="29"/>
      <c r="AG8" s="3"/>
      <c r="AS8" s="109" t="s">
        <v>148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0.13894680369909168</v>
      </c>
      <c r="H9" s="10">
        <f>Tabella3[[#This Row],[Lombardy fit]]+Tabella3[[#This Row],[rest of Italy fit]]</f>
        <v>0.13366361774244886</v>
      </c>
      <c r="I9" s="98">
        <f>(1/wf)*EXP(-(Tabella3[[#This Row],[Day]]-t0f)/wf)*(Kf^(1-pf)-(1-pf)*EXP(-(Tabella3[[#This Row],[Day]]-t0f)/wf))^(pf/(1-pf))</f>
        <v>0.13747170291543984</v>
      </c>
      <c r="J9" s="10">
        <f>Tabella3[[#This Row],[Italy sum]]*NOT(ISBLANK(Tabella3[[#This Row],[Italy]]))</f>
        <v>0.13366361774244886</v>
      </c>
      <c r="K9" s="10">
        <f>Tabella3[[#This Row],[Italy fit]]*NOT(ISBLANK(Tabella3[[#This Row],[Italy]]))</f>
        <v>0.13747170291543984</v>
      </c>
      <c r="L9" s="10">
        <f>Tabella3[[#This Row],[Italy sum]]+CIw</f>
        <v>148.75330901973197</v>
      </c>
      <c r="M9" s="10">
        <f>MAX(Tabella3[[#This Row],[Italy sum]]-CIw,0)</f>
        <v>0</v>
      </c>
      <c r="N9" s="86">
        <f>Tabella8[[#This Row],[Lombardy]]</f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98">
        <f>(Kl^(1-pl)-(1-pl)*EXP(-(Tabella3[[#This Row],[Day]]-t0l)/wl))^(1/(1-pl))</f>
        <v>0.11798135192475251</v>
      </c>
      <c r="R9" s="98">
        <f>(1/wl)*EXP(-(Tabella3[[#This Row],[Day]]-t0l)/wl)*(Kl^(1-pl)-(1-pl)*EXP(-(Tabella3[[#This Row],[Day]]-t0l)/wl))^(pl/(1-pl))</f>
        <v>0.11264524112599826</v>
      </c>
      <c r="S9" s="10">
        <f>Tabella3[[#This Row],[Lombardy fit]]*NOT(ISBLANK(Tabella3[[#This Row],[Lombardy]]))</f>
        <v>0.11264524112599826</v>
      </c>
      <c r="T9" s="10">
        <f>Tabella3[[#This Row],[Lombardy fit]]+CIl</f>
        <v>122.33068122601975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98">
        <f>(Ka^(1-pa)-(1-pa)*EXP(-(Tabella3[[#This Row],[Day]]-t0a)/wa))^(1/(1-pa))</f>
        <v>2.0965451774339176E-2</v>
      </c>
      <c r="Z9" s="98">
        <f>(1/wa)*EXP(-(Tabella3[[#This Row],[Day]]-t0a)/wa)*(Ka^(1-pa)-(1-pa)*EXP(-(Tabella3[[#This Row],[Day]]-t0a)/wa))^(pa/(1-pa))</f>
        <v>2.1018376616450608E-2</v>
      </c>
      <c r="AA9" s="10">
        <f>Tabella3[[#This Row],[rest of Italy fit]]*NOT(ISBLANK(Tabella3[[#This Row],[rest of Italy]]))</f>
        <v>2.1018376616450608E-2</v>
      </c>
      <c r="AB9" s="10">
        <f>Tabella3[[#This Row],[rest of Italy fit]]+CIa</f>
        <v>78.922010061711703</v>
      </c>
      <c r="AC9" s="10">
        <f>MAX(Tabella3[[#This Row],[rest of Italy fit]]-CIa,0)</f>
        <v>0</v>
      </c>
      <c r="AD9" s="8"/>
      <c r="AE9" s="28"/>
      <c r="AF9" s="29"/>
      <c r="AG9" s="3"/>
      <c r="AS9" s="110"/>
    </row>
    <row r="10" spans="2:45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0.35017220145117989</v>
      </c>
      <c r="H10" s="10">
        <f>Tabella3[[#This Row],[Lombardy fit]]+Tabella3[[#This Row],[rest of Italy fit]]</f>
        <v>0.31084972818423695</v>
      </c>
      <c r="I10" s="98">
        <f>(1/wf)*EXP(-(Tabella3[[#This Row],[Day]]-t0f)/wf)*(Kf^(1-pf)-(1-pf)*EXP(-(Tabella3[[#This Row],[Day]]-t0f)/wf))^(pf/(1-pf))</f>
        <v>0.31522637948218613</v>
      </c>
      <c r="J10" s="10">
        <f>Tabella3[[#This Row],[Italy sum]]*NOT(ISBLANK(Tabella3[[#This Row],[Italy]]))</f>
        <v>0.31084972818423695</v>
      </c>
      <c r="K10" s="10">
        <f>Tabella3[[#This Row],[Italy fit]]*NOT(ISBLANK(Tabella3[[#This Row],[Italy]]))</f>
        <v>0.31522637948218613</v>
      </c>
      <c r="L10" s="10">
        <f>Tabella3[[#This Row],[Italy sum]]+CIw</f>
        <v>148.93049513017374</v>
      </c>
      <c r="M10" s="10">
        <f>MAX(Tabella3[[#This Row],[Italy sum]]-CIw,0)</f>
        <v>0</v>
      </c>
      <c r="N10" s="86">
        <f>Tabella8[[#This Row],[Lombardy]]</f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98">
        <f>(Kl^(1-pl)-(1-pl)*EXP(-(Tabella3[[#This Row],[Day]]-t0l)/wl))^(1/(1-pl))</f>
        <v>0.29509129567112347</v>
      </c>
      <c r="R10" s="98">
        <f>(1/wl)*EXP(-(Tabella3[[#This Row],[Day]]-t0l)/wl)*(Kl^(1-pl)-(1-pl)*EXP(-(Tabella3[[#This Row],[Day]]-t0l)/wl))^(pl/(1-pl))</f>
        <v>0.259611724286612</v>
      </c>
      <c r="S10" s="10">
        <f>Tabella3[[#This Row],[Lombardy fit]]*NOT(ISBLANK(Tabella3[[#This Row],[Lombardy]]))</f>
        <v>0.259611724286612</v>
      </c>
      <c r="T10" s="10">
        <f>Tabella3[[#This Row],[Lombardy fit]]+CIl</f>
        <v>122.47764770918036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98">
        <f>(Ka^(1-pa)-(1-pa)*EXP(-(Tabella3[[#This Row],[Day]]-t0a)/wa))^(1/(1-pa))</f>
        <v>5.5080905780056422E-2</v>
      </c>
      <c r="Z10" s="98">
        <f>(1/wa)*EXP(-(Tabella3[[#This Row],[Day]]-t0a)/wa)*(Ka^(1-pa)-(1-pa)*EXP(-(Tabella3[[#This Row],[Day]]-t0a)/wa))^(pa/(1-pa))</f>
        <v>5.123800389762493E-2</v>
      </c>
      <c r="AA10" s="10">
        <f>Tabella3[[#This Row],[rest of Italy fit]]*NOT(ISBLANK(Tabella3[[#This Row],[rest of Italy]]))</f>
        <v>5.123800389762493E-2</v>
      </c>
      <c r="AB10" s="10">
        <f>Tabella3[[#This Row],[rest of Italy fit]]+CIa</f>
        <v>78.952229688992873</v>
      </c>
      <c r="AC10" s="10">
        <f>MAX(Tabella3[[#This Row],[rest of Italy fit]]-CIa,0)</f>
        <v>0</v>
      </c>
      <c r="AD10" s="8"/>
      <c r="AE10" s="28"/>
      <c r="AF10" s="41"/>
      <c r="AG10" s="3"/>
      <c r="AS10" s="110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0.82176090956824166</v>
      </c>
      <c r="H11" s="10">
        <f>Tabella3[[#This Row],[Lombardy fit]]+Tabella3[[#This Row],[rest of Italy fit]]</f>
        <v>0.67325066964350977</v>
      </c>
      <c r="I11" s="98">
        <f>(1/wf)*EXP(-(Tabella3[[#This Row],[Day]]-t0f)/wf)*(Kf^(1-pf)-(1-pf)*EXP(-(Tabella3[[#This Row],[Day]]-t0f)/wf))^(pf/(1-pf))</f>
        <v>0.67542631423563571</v>
      </c>
      <c r="J11" s="10">
        <f>Tabella3[[#This Row],[Italy sum]]*NOT(ISBLANK(Tabella3[[#This Row],[Italy]]))</f>
        <v>0.67325066964350977</v>
      </c>
      <c r="K11" s="10">
        <f>Tabella3[[#This Row],[Italy fit]]*NOT(ISBLANK(Tabella3[[#This Row],[Italy]]))</f>
        <v>0.67542631423563571</v>
      </c>
      <c r="L11" s="10">
        <f>Tabella3[[#This Row],[Italy sum]]+CIw</f>
        <v>149.29289607163304</v>
      </c>
      <c r="M11" s="10">
        <f>MAX(Tabella3[[#This Row],[Italy sum]]-CIw,0)</f>
        <v>0</v>
      </c>
      <c r="N11" s="86">
        <f>Tabella8[[#This Row],[Lombardy]]</f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98">
        <f>(Kl^(1-pl)-(1-pl)*EXP(-(Tabella3[[#This Row],[Day]]-t0l)/wl))^(1/(1-pl))</f>
        <v>0.68678764884379884</v>
      </c>
      <c r="R11" s="98">
        <f>(1/wl)*EXP(-(Tabella3[[#This Row],[Day]]-t0l)/wl)*(Kl^(1-pl)-(1-pl)*EXP(-(Tabella3[[#This Row],[Day]]-t0l)/wl))^(pl/(1-pl))</f>
        <v>0.55674821290284182</v>
      </c>
      <c r="S11" s="10">
        <f>Tabella3[[#This Row],[Lombardy fit]]*NOT(ISBLANK(Tabella3[[#This Row],[Lombardy]]))</f>
        <v>0.55674821290284182</v>
      </c>
      <c r="T11" s="10">
        <f>Tabella3[[#This Row],[Lombardy fit]]+CIl</f>
        <v>122.77478419779659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98">
        <f>(Ka^(1-pa)-(1-pa)*EXP(-(Tabella3[[#This Row],[Day]]-t0a)/wa))^(1/(1-pa))</f>
        <v>0.13497326072444282</v>
      </c>
      <c r="Z11" s="98">
        <f>(1/wa)*EXP(-(Tabella3[[#This Row],[Day]]-t0a)/wa)*(Ka^(1-pa)-(1-pa)*EXP(-(Tabella3[[#This Row],[Day]]-t0a)/wa))^(pa/(1-pa))</f>
        <v>0.11650245674066796</v>
      </c>
      <c r="AA11" s="10">
        <f>Tabella3[[#This Row],[rest of Italy fit]]*NOT(ISBLANK(Tabella3[[#This Row],[rest of Italy]]))</f>
        <v>0.11650245674066796</v>
      </c>
      <c r="AB11" s="10">
        <f>Tabella3[[#This Row],[rest of Italy fit]]+CIa</f>
        <v>79.017494141835911</v>
      </c>
      <c r="AC11" s="10">
        <f>MAX(Tabella3[[#This Row],[rest of Italy fit]]-CIa,0)</f>
        <v>0</v>
      </c>
      <c r="AD11" s="8"/>
      <c r="AE11" s="30" t="s">
        <v>2</v>
      </c>
      <c r="AF11" s="31">
        <f>AVERAGE(Tabella3[Italy])</f>
        <v>424.27450980392155</v>
      </c>
      <c r="AG11" s="3"/>
      <c r="AS11" s="110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1.8058288174765658</v>
      </c>
      <c r="H12" s="10">
        <f>Tabella3[[#This Row],[Lombardy fit]]+Tabella3[[#This Row],[rest of Italy fit]]</f>
        <v>1.3656280541794679</v>
      </c>
      <c r="I12" s="98">
        <f>(1/wf)*EXP(-(Tabella3[[#This Row],[Day]]-t0f)/wf)*(Kf^(1-pf)-(1-pf)*EXP(-(Tabella3[[#This Row],[Day]]-t0f)/wf))^(pf/(1-pf))</f>
        <v>1.3591915505808898</v>
      </c>
      <c r="J12" s="10">
        <f>Tabella3[[#This Row],[Italy sum]]*NOT(ISBLANK(Tabella3[[#This Row],[Italy]]))</f>
        <v>1.3656280541794679</v>
      </c>
      <c r="K12" s="10">
        <f>Tabella3[[#This Row],[Italy fit]]*NOT(ISBLANK(Tabella3[[#This Row],[Italy]]))</f>
        <v>1.3591915505808898</v>
      </c>
      <c r="L12" s="10">
        <f>Tabella3[[#This Row],[Italy sum]]+CIw</f>
        <v>149.98527345616898</v>
      </c>
      <c r="M12" s="10">
        <f>MAX(Tabella3[[#This Row],[Italy sum]]-CIw,0)</f>
        <v>0</v>
      </c>
      <c r="N12" s="86">
        <f>Tabella8[[#This Row],[Lombardy]]</f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98">
        <f>(Kl^(1-pl)-(1-pl)*EXP(-(Tabella3[[#This Row],[Day]]-t0l)/wl))^(1/(1-pl))</f>
        <v>1.4957831918305333</v>
      </c>
      <c r="R12" s="98">
        <f>(1/wl)*EXP(-(Tabella3[[#This Row],[Day]]-t0l)/wl)*(Kl^(1-pl)-(1-pl)*EXP(-(Tabella3[[#This Row],[Day]]-t0l)/wl))^(pl/(1-pl))</f>
        <v>1.1173094862019231</v>
      </c>
      <c r="S12" s="10">
        <f>Tabella3[[#This Row],[Lombardy fit]]*NOT(ISBLANK(Tabella3[[#This Row],[Lombardy]]))</f>
        <v>1.1173094862019231</v>
      </c>
      <c r="T12" s="10">
        <f>Tabella3[[#This Row],[Lombardy fit]]+CIl</f>
        <v>123.33534547109566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98">
        <f>(Ka^(1-pa)-(1-pa)*EXP(-(Tabella3[[#This Row],[Day]]-t0a)/wa))^(1/(1-pa))</f>
        <v>0.3100456256460325</v>
      </c>
      <c r="Z12" s="98">
        <f>(1/wa)*EXP(-(Tabella3[[#This Row],[Day]]-t0a)/wa)*(Ka^(1-pa)-(1-pa)*EXP(-(Tabella3[[#This Row],[Day]]-t0a)/wa))^(pa/(1-pa))</f>
        <v>0.24831856797754481</v>
      </c>
      <c r="AA12" s="10">
        <f>Tabella3[[#This Row],[rest of Italy fit]]*NOT(ISBLANK(Tabella3[[#This Row],[rest of Italy]]))</f>
        <v>0.24831856797754481</v>
      </c>
      <c r="AB12" s="10">
        <f>Tabella3[[#This Row],[rest of Italy fit]]+CIa</f>
        <v>79.149310253072798</v>
      </c>
      <c r="AC12" s="10">
        <f>MAX(Tabella3[[#This Row],[rest of Italy fit]]-CIa,0)</f>
        <v>0</v>
      </c>
      <c r="AD12" s="1"/>
      <c r="AE12" s="30" t="s">
        <v>3</v>
      </c>
      <c r="AF12" s="31">
        <f>COUNT(Tabella3[Italy])-COUNT(AF8:AF10)</f>
        <v>51</v>
      </c>
      <c r="AS12" s="110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3.735242206983342</v>
      </c>
      <c r="H13" s="10">
        <f>Tabella3[[#This Row],[Lombardy fit]]+Tabella3[[#This Row],[rest of Italy fit]]</f>
        <v>2.6077400718329282</v>
      </c>
      <c r="I13" s="98">
        <f>(1/wf)*EXP(-(Tabella3[[#This Row],[Day]]-t0f)/wf)*(Kf^(1-pf)-(1-pf)*EXP(-(Tabella3[[#This Row],[Day]]-t0f)/wf))^(pf/(1-pf))</f>
        <v>2.580876469332928</v>
      </c>
      <c r="J13" s="10">
        <f>Tabella3[[#This Row],[Italy sum]]*NOT(ISBLANK(Tabella3[[#This Row],[Italy]]))</f>
        <v>2.6077400718329282</v>
      </c>
      <c r="K13" s="10">
        <f>Tabella3[[#This Row],[Italy fit]]*NOT(ISBLANK(Tabella3[[#This Row],[Italy]]))</f>
        <v>2.580876469332928</v>
      </c>
      <c r="L13" s="10">
        <f>Tabella3[[#This Row],[Italy sum]]+CIw</f>
        <v>151.22738547382244</v>
      </c>
      <c r="M13" s="10">
        <f>MAX(Tabella3[[#This Row],[Italy sum]]-CIw,0)</f>
        <v>0</v>
      </c>
      <c r="N13" s="86">
        <f>Tabella8[[#This Row],[Lombardy]]</f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98">
        <f>(Kl^(1-pl)-(1-pl)*EXP(-(Tabella3[[#This Row],[Day]]-t0l)/wl))^(1/(1-pl))</f>
        <v>3.0644951792585995</v>
      </c>
      <c r="R13" s="98">
        <f>(1/wl)*EXP(-(Tabella3[[#This Row],[Day]]-t0l)/wl)*(Kl^(1-pl)-(1-pl)*EXP(-(Tabella3[[#This Row],[Day]]-t0l)/wl))^(pl/(1-pl))</f>
        <v>2.1092705462082861</v>
      </c>
      <c r="S13" s="10">
        <f>Tabella3[[#This Row],[Lombardy fit]]*NOT(ISBLANK(Tabella3[[#This Row],[Lombardy]]))</f>
        <v>2.1092705462082861</v>
      </c>
      <c r="T13" s="10">
        <f>Tabella3[[#This Row],[Lombardy fit]]+CIl</f>
        <v>124.32730653110204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98">
        <f>(Ka^(1-pa)-(1-pa)*EXP(-(Tabella3[[#This Row],[Day]]-t0a)/wa))^(1/(1-pa))</f>
        <v>0.67074702772474248</v>
      </c>
      <c r="Z13" s="98">
        <f>(1/wa)*EXP(-(Tabella3[[#This Row],[Day]]-t0a)/wa)*(Ka^(1-pa)-(1-pa)*EXP(-(Tabella3[[#This Row],[Day]]-t0a)/wa))^(pa/(1-pa))</f>
        <v>0.49846952562464225</v>
      </c>
      <c r="AA13" s="10">
        <f>Tabella3[[#This Row],[rest of Italy fit]]*NOT(ISBLANK(Tabella3[[#This Row],[rest of Italy]]))</f>
        <v>0.49846952562464225</v>
      </c>
      <c r="AB13" s="10">
        <f>Tabella3[[#This Row],[rest of Italy fit]]+CIa</f>
        <v>79.399461210719892</v>
      </c>
      <c r="AC13" s="10">
        <f>MAX(Tabella3[[#This Row],[rest of Italy fit]]-CIa,0)</f>
        <v>0</v>
      </c>
      <c r="AD13" s="1"/>
      <c r="AE13" s="30" t="s">
        <v>4</v>
      </c>
      <c r="AF13" s="32" cm="1">
        <f t="array" ref="AF13">SQRT(SUM((Tabella3[Colonna1]-Tabella3[Colonna2])^2)/dfw)</f>
        <v>74.02911280688852</v>
      </c>
      <c r="AS13" s="110"/>
    </row>
    <row r="14" spans="2:45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7.3069779143025011</v>
      </c>
      <c r="H14" s="10">
        <f>Tabella3[[#This Row],[Lombardy fit]]+Tabella3[[#This Row],[rest of Italy fit]]</f>
        <v>4.710213714422542</v>
      </c>
      <c r="I14" s="98">
        <f>(1/wf)*EXP(-(Tabella3[[#This Row],[Day]]-t0f)/wf)*(Kf^(1-pf)-(1-pf)*EXP(-(Tabella3[[#This Row],[Day]]-t0f)/wf))^(pf/(1-pf))</f>
        <v>4.644318876759284</v>
      </c>
      <c r="J14" s="10">
        <f>Tabella3[[#This Row],[Italy sum]]*NOT(ISBLANK(Tabella3[[#This Row],[Italy]]))</f>
        <v>4.710213714422542</v>
      </c>
      <c r="K14" s="10">
        <f>Tabella3[[#This Row],[Italy fit]]*NOT(ISBLANK(Tabella3[[#This Row],[Italy]]))</f>
        <v>4.644318876759284</v>
      </c>
      <c r="L14" s="10">
        <f>Tabella3[[#This Row],[Italy sum]]+CIw</f>
        <v>153.32985911641205</v>
      </c>
      <c r="M14" s="10">
        <f>MAX(Tabella3[[#This Row],[Italy sum]]-CIw,0)</f>
        <v>0</v>
      </c>
      <c r="N14" s="86">
        <f>Tabella8[[#This Row],[Lombardy]]</f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98">
        <f>(Kl^(1-pl)-(1-pl)*EXP(-(Tabella3[[#This Row],[Day]]-t0l)/wl))^(1/(1-pl))</f>
        <v>5.9344369936731267</v>
      </c>
      <c r="R14" s="98">
        <f>(1/wl)*EXP(-(Tabella3[[#This Row],[Day]]-t0l)/wl)*(Kl^(1-pl)-(1-pl)*EXP(-(Tabella3[[#This Row],[Day]]-t0l)/wl))^(pl/(1-pl))</f>
        <v>3.76375548884721</v>
      </c>
      <c r="S14" s="10">
        <f>Tabella3[[#This Row],[Lombardy fit]]*NOT(ISBLANK(Tabella3[[#This Row],[Lombardy]]))</f>
        <v>3.76375548884721</v>
      </c>
      <c r="T14" s="10">
        <f>Tabella3[[#This Row],[Lombardy fit]]+CIl</f>
        <v>125.98179147374096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98">
        <f>(Ka^(1-pa)-(1-pa)*EXP(-(Tabella3[[#This Row],[Day]]-t0a)/wa))^(1/(1-pa))</f>
        <v>1.3725409206293746</v>
      </c>
      <c r="Z14" s="98">
        <f>(1/wa)*EXP(-(Tabella3[[#This Row],[Day]]-t0a)/wa)*(Ka^(1-pa)-(1-pa)*EXP(-(Tabella3[[#This Row],[Day]]-t0a)/wa))^(pa/(1-pa))</f>
        <v>0.94645822557533166</v>
      </c>
      <c r="AA14" s="10">
        <f>Tabella3[[#This Row],[rest of Italy fit]]*NOT(ISBLANK(Tabella3[[#This Row],[rest of Italy]]))</f>
        <v>0.94645822557533166</v>
      </c>
      <c r="AB14" s="10">
        <f>Tabella3[[#This Row],[rest of Italy fit]]+CIa</f>
        <v>79.847449910670576</v>
      </c>
      <c r="AC14" s="10">
        <f>MAX(Tabella3[[#This Row],[rest of Italy fit]]-CIa,0)</f>
        <v>0</v>
      </c>
      <c r="AD14" s="1"/>
      <c r="AE14" s="30" t="s">
        <v>137</v>
      </c>
      <c r="AF14" s="33" cm="1">
        <f t="array" ref="AF14">1-SUM((Tabella3[Colonna1]-Tabella3[Colonna2])^2)/SUM((Tabella3[Colonna1]-Mean_of_yw)^2)</f>
        <v>0.96564904261877627</v>
      </c>
      <c r="AS14" s="110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13.577977184121861</v>
      </c>
      <c r="H15" s="10">
        <f>Tabella3[[#This Row],[Lombardy fit]]+Tabella3[[#This Row],[rest of Italy fit]]</f>
        <v>8.0828511993134917</v>
      </c>
      <c r="I15" s="98">
        <f>(1/wf)*EXP(-(Tabella3[[#This Row],[Day]]-t0f)/wf)*(Kf^(1-pf)-(1-pf)*EXP(-(Tabella3[[#This Row],[Day]]-t0f)/wf))^(pf/(1-pf))</f>
        <v>7.9522253451178679</v>
      </c>
      <c r="J15" s="10">
        <f>Tabella3[[#This Row],[Italy sum]]*NOT(ISBLANK(Tabella3[[#This Row],[Italy]]))</f>
        <v>8.0828511993134917</v>
      </c>
      <c r="K15" s="10">
        <f>Tabella3[[#This Row],[Italy fit]]*NOT(ISBLANK(Tabella3[[#This Row],[Italy]]))</f>
        <v>7.9522253451178679</v>
      </c>
      <c r="L15" s="10">
        <f>Tabella3[[#This Row],[Italy sum]]+CIw</f>
        <v>156.70249660130301</v>
      </c>
      <c r="M15" s="10">
        <f>MAX(Tabella3[[#This Row],[Italy sum]]-CIw,0)</f>
        <v>0</v>
      </c>
      <c r="N15" s="86">
        <f>Tabella8[[#This Row],[Lombardy]]</f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98">
        <f>(Kl^(1-pl)-(1-pl)*EXP(-(Tabella3[[#This Row],[Day]]-t0l)/wl))^(1/(1-pl))</f>
        <v>10.910701400748133</v>
      </c>
      <c r="R15" s="98">
        <f>(1/wl)*EXP(-(Tabella3[[#This Row],[Day]]-t0l)/wl)*(Kl^(1-pl)-(1-pl)*EXP(-(Tabella3[[#This Row],[Day]]-t0l)/wl))^(pl/(1-pl))</f>
        <v>6.3762172280498444</v>
      </c>
      <c r="S15" s="10">
        <f>Tabella3[[#This Row],[Lombardy fit]]*NOT(ISBLANK(Tabella3[[#This Row],[Lombardy]]))</f>
        <v>6.3762172280498444</v>
      </c>
      <c r="T15" s="10">
        <f>Tabella3[[#This Row],[Lombardy fit]]+CIl</f>
        <v>128.59425321294358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98">
        <f>(Ka^(1-pa)-(1-pa)*EXP(-(Tabella3[[#This Row],[Day]]-t0a)/wa))^(1/(1-pa))</f>
        <v>2.6672757833737282</v>
      </c>
      <c r="Z15" s="98">
        <f>(1/wa)*EXP(-(Tabella3[[#This Row],[Day]]-t0a)/wa)*(Ka^(1-pa)-(1-pa)*EXP(-(Tabella3[[#This Row],[Day]]-t0a)/wa))^(pa/(1-pa))</f>
        <v>1.7066339712636465</v>
      </c>
      <c r="AA15" s="10">
        <f>Tabella3[[#This Row],[rest of Italy fit]]*NOT(ISBLANK(Tabella3[[#This Row],[rest of Italy]]))</f>
        <v>1.7066339712636465</v>
      </c>
      <c r="AB15" s="10">
        <f>Tabella3[[#This Row],[rest of Italy fit]]+CIa</f>
        <v>80.607625656358891</v>
      </c>
      <c r="AC15" s="10">
        <f>MAX(Tabella3[[#This Row],[rest of Italy fit]]-CIa,0)</f>
        <v>0</v>
      </c>
      <c r="AD15" s="1"/>
      <c r="AE15" s="30" t="s">
        <v>6</v>
      </c>
      <c r="AF15" s="33">
        <f>TINV(0.05,dfw)</f>
        <v>2.007583770315835</v>
      </c>
      <c r="AS15" s="110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24.063591659420034</v>
      </c>
      <c r="H16" s="10">
        <f>Tabella3[[#This Row],[Lombardy fit]]+Tabella3[[#This Row],[rest of Italy fit]]</f>
        <v>13.230833290558353</v>
      </c>
      <c r="I16" s="98">
        <f>(1/wf)*EXP(-(Tabella3[[#This Row],[Day]]-t0f)/wf)*(Kf^(1-pf)-(1-pf)*EXP(-(Tabella3[[#This Row],[Day]]-t0f)/wf))^(pf/(1-pf))</f>
        <v>13.004104105111232</v>
      </c>
      <c r="J16" s="10">
        <f>Tabella3[[#This Row],[Italy sum]]*NOT(ISBLANK(Tabella3[[#This Row],[Italy]]))</f>
        <v>13.230833290558353</v>
      </c>
      <c r="K16" s="10">
        <f>Tabella3[[#This Row],[Italy fit]]*NOT(ISBLANK(Tabella3[[#This Row],[Italy]]))</f>
        <v>13.004104105111232</v>
      </c>
      <c r="L16" s="10">
        <f>Tabella3[[#This Row],[Italy sum]]+CIw</f>
        <v>161.85047869254788</v>
      </c>
      <c r="M16" s="10">
        <f>MAX(Tabella3[[#This Row],[Italy sum]]-CIw,0)</f>
        <v>0</v>
      </c>
      <c r="N16" s="86">
        <f>Tabella8[[#This Row],[Lombardy]]</f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98">
        <f>(Kl^(1-pl)-(1-pl)*EXP(-(Tabella3[[#This Row],[Day]]-t0l)/wl))^(1/(1-pl))</f>
        <v>19.12271934753096</v>
      </c>
      <c r="R16" s="98">
        <f>(1/wl)*EXP(-(Tabella3[[#This Row],[Day]]-t0l)/wl)*(Kl^(1-pl)-(1-pl)*EXP(-(Tabella3[[#This Row],[Day]]-t0l)/wl))^(pl/(1-pl))</f>
        <v>10.297425567651469</v>
      </c>
      <c r="S16" s="10">
        <f>Tabella3[[#This Row],[Lombardy fit]]*NOT(ISBLANK(Tabella3[[#This Row],[Lombardy]]))</f>
        <v>10.297425567651469</v>
      </c>
      <c r="T16" s="10">
        <f>Tabella3[[#This Row],[Lombardy fit]]+CIl</f>
        <v>132.51546155254522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98">
        <f>(Ka^(1-pa)-(1-pa)*EXP(-(Tabella3[[#This Row],[Day]]-t0a)/wa))^(1/(1-pa))</f>
        <v>4.9408723118890734</v>
      </c>
      <c r="Z16" s="98">
        <f>(1/wa)*EXP(-(Tabella3[[#This Row],[Day]]-t0a)/wa)*(Ka^(1-pa)-(1-pa)*EXP(-(Tabella3[[#This Row],[Day]]-t0a)/wa))^(pa/(1-pa))</f>
        <v>2.933407722906884</v>
      </c>
      <c r="AA16" s="10">
        <f>Tabella3[[#This Row],[rest of Italy fit]]*NOT(ISBLANK(Tabella3[[#This Row],[rest of Italy]]))</f>
        <v>2.933407722906884</v>
      </c>
      <c r="AB16" s="10">
        <f>Tabella3[[#This Row],[rest of Italy fit]]+CIa</f>
        <v>81.834399408002128</v>
      </c>
      <c r="AC16" s="10">
        <f>MAX(Tabella3[[#This Row],[rest of Italy fit]]-CIa,0)</f>
        <v>0</v>
      </c>
      <c r="AD16" s="1"/>
      <c r="AE16" s="30" t="s">
        <v>7</v>
      </c>
      <c r="AF16" s="31">
        <f>Critical_tw*SE_of_yw</f>
        <v>148.61964540198952</v>
      </c>
      <c r="AS16" s="110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40.824797674151057</v>
      </c>
      <c r="H17" s="10">
        <f>Tabella3[[#This Row],[Lombardy fit]]+Tabella3[[#This Row],[rest of Italy fit]]</f>
        <v>20.735717389699733</v>
      </c>
      <c r="I17" s="98">
        <f>(1/wf)*EXP(-(Tabella3[[#This Row],[Day]]-t0f)/wf)*(Kf^(1-pf)-(1-pf)*EXP(-(Tabella3[[#This Row],[Day]]-t0f)/wf))^(pf/(1-pf))</f>
        <v>20.379335690449381</v>
      </c>
      <c r="J17" s="10">
        <f>Tabella3[[#This Row],[Italy sum]]*NOT(ISBLANK(Tabella3[[#This Row],[Italy]]))</f>
        <v>20.735717389699733</v>
      </c>
      <c r="K17" s="10">
        <f>Tabella3[[#This Row],[Italy fit]]*NOT(ISBLANK(Tabella3[[#This Row],[Italy]]))</f>
        <v>20.379335690449381</v>
      </c>
      <c r="L17" s="10">
        <f>Tabella3[[#This Row],[Italy sum]]+CIw</f>
        <v>169.35536279168926</v>
      </c>
      <c r="M17" s="10">
        <f>MAX(Tabella3[[#This Row],[Italy sum]]-CIw,0)</f>
        <v>0</v>
      </c>
      <c r="N17" s="86">
        <f>Tabella8[[#This Row],[Lombardy]]</f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98">
        <f>(Kl^(1-pl)-(1-pl)*EXP(-(Tabella3[[#This Row],[Day]]-t0l)/wl))^(1/(1-pl))</f>
        <v>32.070267736077717</v>
      </c>
      <c r="R17" s="98">
        <f>(1/wl)*EXP(-(Tabella3[[#This Row],[Day]]-t0l)/wl)*(Kl^(1-pl)-(1-pl)*EXP(-(Tabella3[[#This Row],[Day]]-t0l)/wl))^(pl/(1-pl))</f>
        <v>15.912931424094424</v>
      </c>
      <c r="S17" s="10">
        <f>Tabella3[[#This Row],[Lombardy fit]]*NOT(ISBLANK(Tabella3[[#This Row],[Lombardy]]))</f>
        <v>15.912931424094424</v>
      </c>
      <c r="T17" s="10">
        <f>Tabella3[[#This Row],[Lombardy fit]]+CIl</f>
        <v>138.13096740898817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98">
        <f>(Ka^(1-pa)-(1-pa)*EXP(-(Tabella3[[#This Row],[Day]]-t0a)/wa))^(1/(1-pa))</f>
        <v>8.7545299380733379</v>
      </c>
      <c r="Z17" s="98">
        <f>(1/wa)*EXP(-(Tabella3[[#This Row],[Day]]-t0a)/wa)*(Ka^(1-pa)-(1-pa)*EXP(-(Tabella3[[#This Row],[Day]]-t0a)/wa))^(pa/(1-pa))</f>
        <v>4.8227859656053091</v>
      </c>
      <c r="AA17" s="10">
        <f>Tabella3[[#This Row],[rest of Italy fit]]*NOT(ISBLANK(Tabella3[[#This Row],[rest of Italy]]))</f>
        <v>4.8227859656053091</v>
      </c>
      <c r="AB17" s="10">
        <f>Tabella3[[#This Row],[rest of Italy fit]]+CIa</f>
        <v>83.723777650700555</v>
      </c>
      <c r="AC17" s="10">
        <f>MAX(Tabella3[[#This Row],[rest of Italy fit]]-CIa,0)</f>
        <v>0</v>
      </c>
      <c r="AD17" s="1"/>
      <c r="AE17" s="42" t="s">
        <v>113</v>
      </c>
      <c r="AF17" s="43">
        <f>MAX(Tabella3[Italy sum])</f>
        <v>781.53344301645848</v>
      </c>
      <c r="AS17" s="111"/>
    </row>
    <row r="18" spans="2:45" ht="15" thickTop="1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66.528427559604012</v>
      </c>
      <c r="H18" s="10">
        <f>Tabella3[[#This Row],[Lombardy fit]]+Tabella3[[#This Row],[rest of Italy fit]]</f>
        <v>31.220614933863025</v>
      </c>
      <c r="I18" s="98">
        <f>(1/wf)*EXP(-(Tabella3[[#This Row],[Day]]-t0f)/wf)*(Kf^(1-pf)-(1-pf)*EXP(-(Tabella3[[#This Row],[Day]]-t0f)/wf))^(pf/(1-pf))</f>
        <v>30.704257403062336</v>
      </c>
      <c r="J18" s="10">
        <f>Tabella3[[#This Row],[Italy sum]]*NOT(ISBLANK(Tabella3[[#This Row],[Italy]]))</f>
        <v>31.220614933863025</v>
      </c>
      <c r="K18" s="10">
        <f>Tabella3[[#This Row],[Italy fit]]*NOT(ISBLANK(Tabella3[[#This Row],[Italy]]))</f>
        <v>30.704257403062336</v>
      </c>
      <c r="L18" s="10">
        <f>Tabella3[[#This Row],[Italy sum]]+CIw</f>
        <v>179.84026033585255</v>
      </c>
      <c r="M18" s="10">
        <f>MAX(Tabella3[[#This Row],[Italy sum]]-CIw,0)</f>
        <v>0</v>
      </c>
      <c r="N18" s="86">
        <f>Tabella8[[#This Row],[Lombardy]]</f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98">
        <f>(Kl^(1-pl)-(1-pl)*EXP(-(Tabella3[[#This Row],[Day]]-t0l)/wl))^(1/(1-pl))</f>
        <v>51.643465385202113</v>
      </c>
      <c r="R18" s="98">
        <f>(1/wl)*EXP(-(Tabella3[[#This Row],[Day]]-t0l)/wl)*(Kl^(1-pl)-(1-pl)*EXP(-(Tabella3[[#This Row],[Day]]-t0l)/wl))^(pl/(1-pl))</f>
        <v>23.611935882430476</v>
      </c>
      <c r="S18" s="10">
        <f>Tabella3[[#This Row],[Lombardy fit]]*NOT(ISBLANK(Tabella3[[#This Row],[Lombardy]]))</f>
        <v>23.611935882430476</v>
      </c>
      <c r="T18" s="10">
        <f>Tabella3[[#This Row],[Lombardy fit]]+CIl</f>
        <v>145.82997186732422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98">
        <f>(Ka^(1-pa)-(1-pa)*EXP(-(Tabella3[[#This Row],[Day]]-t0a)/wa))^(1/(1-pa))</f>
        <v>14.884962174401906</v>
      </c>
      <c r="Z18" s="98">
        <f>(1/wa)*EXP(-(Tabella3[[#This Row],[Day]]-t0a)/wa)*(Ka^(1-pa)-(1-pa)*EXP(-(Tabella3[[#This Row],[Day]]-t0a)/wa))^(pa/(1-pa))</f>
        <v>7.6086790514325475</v>
      </c>
      <c r="AA18" s="10">
        <f>Tabella3[[#This Row],[rest of Italy fit]]*NOT(ISBLANK(Tabella3[[#This Row],[rest of Italy]]))</f>
        <v>7.6086790514325475</v>
      </c>
      <c r="AB18" s="10">
        <f>Tabella3[[#This Row],[rest of Italy fit]]+CIa</f>
        <v>86.509670736527795</v>
      </c>
      <c r="AC18" s="10">
        <f>MAX(Tabella3[[#This Row],[rest of Italy fit]]-CIa,0)</f>
        <v>0</v>
      </c>
      <c r="AD18" s="1"/>
      <c r="AE18" s="42" t="s">
        <v>145</v>
      </c>
      <c r="AF18" s="44">
        <f>_xlfn.XLOOKUP(Peak_w,Tabella3[Italy sum],Tabella3[Date])</f>
        <v>43918</v>
      </c>
      <c r="AS18" s="66">
        <f>MAX($AF$26)</f>
        <v>0.92405128667663972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104.46552901751788</v>
      </c>
      <c r="H19" s="10">
        <f>Tabella3[[#This Row],[Lombardy fit]]+Tabella3[[#This Row],[rest of Italy fit]]</f>
        <v>45.301910796706622</v>
      </c>
      <c r="I19" s="98">
        <f>(1/wf)*EXP(-(Tabella3[[#This Row],[Day]]-t0f)/wf)*(Kf^(1-pf)-(1-pf)*EXP(-(Tabella3[[#This Row],[Day]]-t0f)/wf))^(pf/(1-pf))</f>
        <v>44.605058315127991</v>
      </c>
      <c r="J19" s="10">
        <f>Tabella3[[#This Row],[Italy sum]]*NOT(ISBLANK(Tabella3[[#This Row],[Italy]]))</f>
        <v>45.301910796706622</v>
      </c>
      <c r="K19" s="10">
        <f>Tabella3[[#This Row],[Italy fit]]*NOT(ISBLANK(Tabella3[[#This Row],[Italy]]))</f>
        <v>44.605058315127991</v>
      </c>
      <c r="L19" s="10">
        <f>Tabella3[[#This Row],[Italy sum]]+CIw</f>
        <v>193.92155619869612</v>
      </c>
      <c r="M19" s="10">
        <f>MAX(Tabella3[[#This Row],[Italy sum]]-CIw,0)</f>
        <v>0</v>
      </c>
      <c r="N19" s="86">
        <f>Tabella8[[#This Row],[Lombardy]]</f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98">
        <f>(Kl^(1-pl)-(1-pl)*EXP(-(Tabella3[[#This Row],[Day]]-t0l)/wl))^(1/(1-pl))</f>
        <v>80.107611611505433</v>
      </c>
      <c r="R19" s="98">
        <f>(1/wl)*EXP(-(Tabella3[[#This Row],[Day]]-t0l)/wl)*(Kl^(1-pl)-(1-pl)*EXP(-(Tabella3[[#This Row],[Day]]-t0l)/wl))^(pl/(1-pl))</f>
        <v>33.748823007749344</v>
      </c>
      <c r="S19" s="10">
        <f>Tabella3[[#This Row],[Lombardy fit]]*NOT(ISBLANK(Tabella3[[#This Row],[Lombardy]]))</f>
        <v>33.748823007749344</v>
      </c>
      <c r="T19" s="10">
        <f>Tabella3[[#This Row],[Lombardy fit]]+CIl</f>
        <v>155.9668589926431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98">
        <f>(Ka^(1-pa)-(1-pa)*EXP(-(Tabella3[[#This Row],[Day]]-t0a)/wa))^(1/(1-pa))</f>
        <v>24.357917406012444</v>
      </c>
      <c r="Z19" s="98">
        <f>(1/wa)*EXP(-(Tabella3[[#This Row],[Day]]-t0a)/wa)*(Ka^(1-pa)-(1-pa)*EXP(-(Tabella3[[#This Row],[Day]]-t0a)/wa))^(pa/(1-pa))</f>
        <v>11.553087788957281</v>
      </c>
      <c r="AA19" s="10">
        <f>Tabella3[[#This Row],[rest of Italy fit]]*NOT(ISBLANK(Tabella3[[#This Row],[rest of Italy]]))</f>
        <v>11.553087788957281</v>
      </c>
      <c r="AB19" s="10">
        <f>Tabella3[[#This Row],[rest of Italy fit]]+CIa</f>
        <v>90.454079474052534</v>
      </c>
      <c r="AC19" s="10">
        <f>MAX(Tabella3[[#This Row],[rest of Italy fit]]-CIa,0)</f>
        <v>0</v>
      </c>
      <c r="AD19" s="1"/>
      <c r="AE19" s="22" t="s">
        <v>80</v>
      </c>
      <c r="AF19" s="3" t="s">
        <v>133</v>
      </c>
      <c r="AS19" s="67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158.51674702514839</v>
      </c>
      <c r="H20" s="10">
        <f>Tabella3[[#This Row],[Lombardy fit]]+Tabella3[[#This Row],[rest of Italy fit]]</f>
        <v>63.532628879074508</v>
      </c>
      <c r="I20" s="98">
        <f>(1/wf)*EXP(-(Tabella3[[#This Row],[Day]]-t0f)/wf)*(Kf^(1-pf)-(1-pf)*EXP(-(Tabella3[[#This Row],[Day]]-t0f)/wf))^(pf/(1-pf))</f>
        <v>62.651144632362993</v>
      </c>
      <c r="J20" s="10">
        <f>Tabella3[[#This Row],[Italy sum]]*NOT(ISBLANK(Tabella3[[#This Row],[Italy]]))</f>
        <v>63.532628879074508</v>
      </c>
      <c r="K20" s="10">
        <f>Tabella3[[#This Row],[Italy fit]]*NOT(ISBLANK(Tabella3[[#This Row],[Italy]]))</f>
        <v>62.651144632362993</v>
      </c>
      <c r="L20" s="10">
        <f>Tabella3[[#This Row],[Italy sum]]+CIw</f>
        <v>212.15227428106402</v>
      </c>
      <c r="M20" s="10">
        <f>MAX(Tabella3[[#This Row],[Italy sum]]-CIw,0)</f>
        <v>0</v>
      </c>
      <c r="N20" s="86">
        <f>Tabella8[[#This Row],[Lombardy]]</f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98">
        <f>(Kl^(1-pl)-(1-pl)*EXP(-(Tabella3[[#This Row],[Day]]-t0l)/wl))^(1/(1-pl))</f>
        <v>120.04793761878389</v>
      </c>
      <c r="R20" s="98">
        <f>(1/wl)*EXP(-(Tabella3[[#This Row],[Day]]-t0l)/wl)*(Kl^(1-pl)-(1-pl)*EXP(-(Tabella3[[#This Row],[Day]]-t0l)/wl))^(pl/(1-pl))</f>
        <v>46.602390587207402</v>
      </c>
      <c r="S20" s="10">
        <f>Tabella3[[#This Row],[Lombardy fit]]*NOT(ISBLANK(Tabella3[[#This Row],[Lombardy]]))</f>
        <v>46.602390587207402</v>
      </c>
      <c r="T20" s="10">
        <f>Tabella3[[#This Row],[Lombardy fit]]+CIl</f>
        <v>168.82042657210116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98">
        <f>(Ka^(1-pa)-(1-pa)*EXP(-(Tabella3[[#This Row],[Day]]-t0a)/wa))^(1/(1-pa))</f>
        <v>38.4688094063645</v>
      </c>
      <c r="Z20" s="98">
        <f>(1/wa)*EXP(-(Tabella3[[#This Row],[Day]]-t0a)/wa)*(Ka^(1-pa)-(1-pa)*EXP(-(Tabella3[[#This Row],[Day]]-t0a)/wa))^(pa/(1-pa))</f>
        <v>16.930238291867102</v>
      </c>
      <c r="AA20" s="10">
        <f>Tabella3[[#This Row],[rest of Italy fit]]*NOT(ISBLANK(Tabella3[[#This Row],[rest of Italy]]))</f>
        <v>16.930238291867102</v>
      </c>
      <c r="AB20" s="10">
        <f>Tabella3[[#This Row],[rest of Italy fit]]+CIa</f>
        <v>95.831229976962348</v>
      </c>
      <c r="AC20" s="10">
        <f>MAX(Tabella3[[#This Row],[rest of Italy fit]]-CIa,0)</f>
        <v>0</v>
      </c>
      <c r="AD20" s="1"/>
      <c r="AE20" s="17" t="s">
        <v>0</v>
      </c>
      <c r="AF20" s="5">
        <f>Kr</f>
        <v>13805.080912251422</v>
      </c>
      <c r="AS20" s="67">
        <f>{32767;32767;0.000001;0;FALSE;FALSE;FALSE;1;2;1;0.0001;TRUE}</f>
        <v>32767</v>
      </c>
    </row>
    <row r="21" spans="2:45" ht="15.6" x14ac:dyDescent="0.35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233.05974512566334</v>
      </c>
      <c r="H21" s="10">
        <f>Tabella3[[#This Row],[Lombardy fit]]+Tabella3[[#This Row],[rest of Italy fit]]</f>
        <v>86.344391607774725</v>
      </c>
      <c r="I21" s="98">
        <f>(1/wf)*EXP(-(Tabella3[[#This Row],[Day]]-t0f)/wf)*(Kf^(1-pf)-(1-pf)*EXP(-(Tabella3[[#This Row],[Day]]-t0f)/wf))^(pf/(1-pf))</f>
        <v>85.295746866735072</v>
      </c>
      <c r="J21" s="10">
        <f>Tabella3[[#This Row],[Italy sum]]*NOT(ISBLANK(Tabella3[[#This Row],[Italy]]))</f>
        <v>86.344391607774725</v>
      </c>
      <c r="K21" s="10">
        <f>Tabella3[[#This Row],[Italy fit]]*NOT(ISBLANK(Tabella3[[#This Row],[Italy]]))</f>
        <v>85.295746866735072</v>
      </c>
      <c r="L21" s="10">
        <f>Tabella3[[#This Row],[Italy sum]]+CIw</f>
        <v>234.96403700976424</v>
      </c>
      <c r="M21" s="10">
        <f>MAX(Tabella3[[#This Row],[Italy sum]]-CIw,0)</f>
        <v>0</v>
      </c>
      <c r="N21" s="86">
        <f>Tabella8[[#This Row],[Lombardy]]</f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98">
        <f>(Kl^(1-pl)-(1-pl)*EXP(-(Tabella3[[#This Row],[Day]]-t0l)/wl))^(1/(1-pl))</f>
        <v>174.27485208411443</v>
      </c>
      <c r="R21" s="98">
        <f>(1/wl)*EXP(-(Tabella3[[#This Row],[Day]]-t0l)/wl)*(Kl^(1-pl)-(1-pl)*EXP(-(Tabella3[[#This Row],[Day]]-t0l)/wl))^(pl/(1-pl))</f>
        <v>62.338575342862285</v>
      </c>
      <c r="S21" s="10">
        <f>Tabella3[[#This Row],[Lombardy fit]]*NOT(ISBLANK(Tabella3[[#This Row],[Lombardy]]))</f>
        <v>62.338575342862285</v>
      </c>
      <c r="T21" s="10">
        <f>Tabella3[[#This Row],[Lombardy fit]]+CIl</f>
        <v>184.55661132775603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98">
        <f>(Ka^(1-pa)-(1-pa)*EXP(-(Tabella3[[#This Row],[Day]]-t0a)/wa))^(1/(1-pa))</f>
        <v>58.784893041548919</v>
      </c>
      <c r="Z21" s="98">
        <f>(1/wa)*EXP(-(Tabella3[[#This Row],[Day]]-t0a)/wa)*(Ka^(1-pa)-(1-pa)*EXP(-(Tabella3[[#This Row],[Day]]-t0a)/wa))^(pa/(1-pa))</f>
        <v>24.005816264912436</v>
      </c>
      <c r="AA21" s="10">
        <f>Tabella3[[#This Row],[rest of Italy fit]]*NOT(ISBLANK(Tabella3[[#This Row],[rest of Italy]]))</f>
        <v>24.005816264912436</v>
      </c>
      <c r="AB21" s="10">
        <f>Tabella3[[#This Row],[rest of Italy fit]]+CIa</f>
        <v>102.90680795000769</v>
      </c>
      <c r="AC21" s="10">
        <f>MAX(Tabella3[[#This Row],[rest of Italy fit]]-CIa,0)</f>
        <v>0</v>
      </c>
      <c r="AD21" s="1"/>
      <c r="AE21" s="17" t="s">
        <v>24</v>
      </c>
      <c r="AF21" s="35">
        <f>t0r</f>
        <v>31.032023394491798</v>
      </c>
      <c r="AS21" s="67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332.82101891594175</v>
      </c>
      <c r="H22" s="10">
        <f>Tabella3[[#This Row],[Lombardy fit]]+Tabella3[[#This Row],[rest of Italy fit]]</f>
        <v>113.99546420838197</v>
      </c>
      <c r="I22" s="98">
        <f>(1/wf)*EXP(-(Tabella3[[#This Row],[Day]]-t0f)/wf)*(Kf^(1-pf)-(1-pf)*EXP(-(Tabella3[[#This Row],[Day]]-t0f)/wf))^(pf/(1-pf))</f>
        <v>112.82141243486551</v>
      </c>
      <c r="J22" s="10">
        <f>Tabella3[[#This Row],[Italy sum]]*NOT(ISBLANK(Tabella3[[#This Row],[Italy]]))</f>
        <v>113.99546420838197</v>
      </c>
      <c r="K22" s="10">
        <f>Tabella3[[#This Row],[Italy fit]]*NOT(ISBLANK(Tabella3[[#This Row],[Italy]]))</f>
        <v>112.82141243486551</v>
      </c>
      <c r="L22" s="10">
        <f>Tabella3[[#This Row],[Italy sum]]+CIw</f>
        <v>262.61510961037152</v>
      </c>
      <c r="M22" s="10">
        <f>MAX(Tabella3[[#This Row],[Italy sum]]-CIw,0)</f>
        <v>0</v>
      </c>
      <c r="N22" s="86">
        <f>Tabella8[[#This Row],[Lombardy]]</f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98">
        <f>(Kl^(1-pl)-(1-pl)*EXP(-(Tabella3[[#This Row],[Day]]-t0l)/wl))^(1/(1-pl))</f>
        <v>245.69595043857078</v>
      </c>
      <c r="R22" s="98">
        <f>(1/wl)*EXP(-(Tabella3[[#This Row],[Day]]-t0l)/wl)*(Kl^(1-pl)-(1-pl)*EXP(-(Tabella3[[#This Row],[Day]]-t0l)/wl))^(pl/(1-pl))</f>
        <v>80.98205986669241</v>
      </c>
      <c r="S22" s="10">
        <f>Tabella3[[#This Row],[Lombardy fit]]*NOT(ISBLANK(Tabella3[[#This Row],[Lombardy]]))</f>
        <v>80.98205986669241</v>
      </c>
      <c r="T22" s="10">
        <f>Tabella3[[#This Row],[Lombardy fit]]+CIl</f>
        <v>203.20009585158616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98">
        <f>(Ka^(1-pa)-(1-pa)*EXP(-(Tabella3[[#This Row],[Day]]-t0a)/wa))^(1/(1-pa))</f>
        <v>87.125068477370974</v>
      </c>
      <c r="Z22" s="98">
        <f>(1/wa)*EXP(-(Tabella3[[#This Row],[Day]]-t0a)/wa)*(Ka^(1-pa)-(1-pa)*EXP(-(Tabella3[[#This Row],[Day]]-t0a)/wa))^(pa/(1-pa))</f>
        <v>33.013404341689572</v>
      </c>
      <c r="AA22" s="10">
        <f>Tabella3[[#This Row],[rest of Italy fit]]*NOT(ISBLANK(Tabella3[[#This Row],[rest of Italy]]))</f>
        <v>33.013404341689572</v>
      </c>
      <c r="AB22" s="10">
        <f>Tabella3[[#This Row],[rest of Italy fit]]+CIa</f>
        <v>111.91439602678483</v>
      </c>
      <c r="AC22" s="10">
        <f>MAX(Tabella3[[#This Row],[rest of Italy fit]]-CIa,0)</f>
        <v>0</v>
      </c>
      <c r="AD22" s="1"/>
      <c r="AE22" s="17" t="s">
        <v>1</v>
      </c>
      <c r="AF22" s="35">
        <f>wr</f>
        <v>12.222911840993328</v>
      </c>
      <c r="AS22" s="67">
        <f>{32767;32767;0.000001;0;FALSE;FALSE;FALSE;1;2;1;0.0001;TRUE}</f>
        <v>32767</v>
      </c>
    </row>
    <row r="23" spans="2:45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462.68164373986792</v>
      </c>
      <c r="H23" s="10">
        <f>Tabella3[[#This Row],[Lombardy fit]]+Tabella3[[#This Row],[rest of Italy fit]]</f>
        <v>146.53156001204363</v>
      </c>
      <c r="I23" s="98">
        <f>(1/wf)*EXP(-(Tabella3[[#This Row],[Day]]-t0f)/wf)*(Kf^(1-pf)-(1-pf)*EXP(-(Tabella3[[#This Row],[Day]]-t0f)/wf))^(pf/(1-pf))</f>
        <v>145.29750257518535</v>
      </c>
      <c r="J23" s="10">
        <f>Tabella3[[#This Row],[Italy sum]]*NOT(ISBLANK(Tabella3[[#This Row],[Italy]]))</f>
        <v>146.53156001204363</v>
      </c>
      <c r="K23" s="10">
        <f>Tabella3[[#This Row],[Italy fit]]*NOT(ISBLANK(Tabella3[[#This Row],[Italy]]))</f>
        <v>145.29750257518535</v>
      </c>
      <c r="L23" s="10">
        <f>Tabella3[[#This Row],[Italy sum]]+CIw</f>
        <v>295.15120541403314</v>
      </c>
      <c r="M23" s="10">
        <f>MAX(Tabella3[[#This Row],[Italy sum]]-CIw,0)</f>
        <v>0</v>
      </c>
      <c r="N23" s="86">
        <f>Tabella8[[#This Row],[Lombardy]]</f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98">
        <f>(Kl^(1-pl)-(1-pl)*EXP(-(Tabella3[[#This Row],[Day]]-t0l)/wl))^(1/(1-pl))</f>
        <v>337.16580195251663</v>
      </c>
      <c r="R23" s="98">
        <f>(1/wl)*EXP(-(Tabella3[[#This Row],[Day]]-t0l)/wl)*(Kl^(1-pl)-(1-pl)*EXP(-(Tabella3[[#This Row],[Day]]-t0l)/wl))^(pl/(1-pl))</f>
        <v>102.40072273498801</v>
      </c>
      <c r="S23" s="10">
        <f>Tabella3[[#This Row],[Lombardy fit]]*NOT(ISBLANK(Tabella3[[#This Row],[Lombardy]]))</f>
        <v>102.40072273498801</v>
      </c>
      <c r="T23" s="10">
        <f>Tabella3[[#This Row],[Lombardy fit]]+CIl</f>
        <v>224.61875871988175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98">
        <f>(Ka^(1-pa)-(1-pa)*EXP(-(Tabella3[[#This Row],[Day]]-t0a)/wa))^(1/(1-pa))</f>
        <v>125.51584178735126</v>
      </c>
      <c r="Z23" s="98">
        <f>(1/wa)*EXP(-(Tabella3[[#This Row],[Day]]-t0a)/wa)*(Ka^(1-pa)-(1-pa)*EXP(-(Tabella3[[#This Row],[Day]]-t0a)/wa))^(pa/(1-pa))</f>
        <v>44.130837277055626</v>
      </c>
      <c r="AA23" s="10">
        <f>Tabella3[[#This Row],[rest of Italy fit]]*NOT(ISBLANK(Tabella3[[#This Row],[rest of Italy]]))</f>
        <v>44.130837277055626</v>
      </c>
      <c r="AB23" s="10">
        <f>Tabella3[[#This Row],[rest of Italy fit]]+CIa</f>
        <v>123.03182896215088</v>
      </c>
      <c r="AC23" s="10">
        <f>MAX(Tabella3[[#This Row],[rest of Italy fit]]-CIa,0)</f>
        <v>0</v>
      </c>
      <c r="AD23" s="1"/>
      <c r="AE23" s="2" t="s">
        <v>2</v>
      </c>
      <c r="AF23" s="1">
        <f>AVERAGE(Tabella3[Lombardy])</f>
        <v>222.9607843137255</v>
      </c>
      <c r="AS23" s="68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627.45229449015733</v>
      </c>
      <c r="H24" s="10">
        <f>Tabella3[[#This Row],[Lombardy fit]]+Tabella3[[#This Row],[rest of Italy fit]]</f>
        <v>183.76417319002286</v>
      </c>
      <c r="I24" s="98">
        <f>(1/wf)*EXP(-(Tabella3[[#This Row],[Day]]-t0f)/wf)*(Kf^(1-pf)-(1-pf)*EXP(-(Tabella3[[#This Row],[Day]]-t0f)/wf))^(pf/(1-pf))</f>
        <v>182.55507113787834</v>
      </c>
      <c r="J24" s="10">
        <f>Tabella3[[#This Row],[Italy sum]]*NOT(ISBLANK(Tabella3[[#This Row],[Italy]]))</f>
        <v>183.76417319002286</v>
      </c>
      <c r="K24" s="10">
        <f>Tabella3[[#This Row],[Italy fit]]*NOT(ISBLANK(Tabella3[[#This Row],[Italy]]))</f>
        <v>182.55507113787834</v>
      </c>
      <c r="L24" s="10">
        <f>Tabella3[[#This Row],[Italy sum]]+CIw</f>
        <v>332.3838185920124</v>
      </c>
      <c r="M24" s="10">
        <f>MAX(Tabella3[[#This Row],[Italy sum]]-CIw,0)</f>
        <v>35.144527788033344</v>
      </c>
      <c r="N24" s="86">
        <f>Tabella8[[#This Row],[Lombardy]]</f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98">
        <f>(Kl^(1-pl)-(1-pl)*EXP(-(Tabella3[[#This Row],[Day]]-t0l)/wl))^(1/(1-pl))</f>
        <v>451.32749628607638</v>
      </c>
      <c r="R24" s="98">
        <f>(1/wl)*EXP(-(Tabella3[[#This Row],[Day]]-t0l)/wl)*(Kl^(1-pl)-(1-pl)*EXP(-(Tabella3[[#This Row],[Day]]-t0l)/wl))^(pl/(1-pl))</f>
        <v>126.30483895875774</v>
      </c>
      <c r="S24" s="10">
        <f>Tabella3[[#This Row],[Lombardy fit]]*NOT(ISBLANK(Tabella3[[#This Row],[Lombardy]]))</f>
        <v>126.30483895875774</v>
      </c>
      <c r="T24" s="10">
        <f>Tabella3[[#This Row],[Lombardy fit]]+CIl</f>
        <v>248.52287494365149</v>
      </c>
      <c r="U24" s="10">
        <f>MAX(Tabella3[[#This Row],[Lombardy fit]]-CIl,0)</f>
        <v>4.0868029738639962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98">
        <f>(Ka^(1-pa)-(1-pa)*EXP(-(Tabella3[[#This Row],[Day]]-t0a)/wa))^(1/(1-pa))</f>
        <v>176.124798204081</v>
      </c>
      <c r="Z24" s="98">
        <f>(1/wa)*EXP(-(Tabella3[[#This Row],[Day]]-t0a)/wa)*(Ka^(1-pa)-(1-pa)*EXP(-(Tabella3[[#This Row],[Day]]-t0a)/wa))^(pa/(1-pa))</f>
        <v>57.459334231265117</v>
      </c>
      <c r="AA24" s="10">
        <f>Tabella3[[#This Row],[rest of Italy fit]]*NOT(ISBLANK(Tabella3[[#This Row],[rest of Italy]]))</f>
        <v>57.459334231265117</v>
      </c>
      <c r="AB24" s="10">
        <f>Tabella3[[#This Row],[rest of Italy fit]]+CIa</f>
        <v>136.36032591636035</v>
      </c>
      <c r="AC24" s="10">
        <f>MAX(Tabella3[[#This Row],[rest of Italy fit]]-CIa,0)</f>
        <v>0</v>
      </c>
      <c r="AD24" s="1"/>
      <c r="AE24" s="2" t="s">
        <v>3</v>
      </c>
      <c r="AF24" s="1">
        <f>COUNT(Tabella3[Lombardy])-COUNT(AF20:AF22,pl)</f>
        <v>47</v>
      </c>
      <c r="AS24" s="69"/>
    </row>
    <row r="25" spans="2:45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831.63640240769575</v>
      </c>
      <c r="H25" s="10">
        <f>Tabella3[[#This Row],[Lombardy fit]]+Tabella3[[#This Row],[rest of Italy fit]]</f>
        <v>225.26866591438608</v>
      </c>
      <c r="I25" s="98">
        <f>(1/wf)*EXP(-(Tabella3[[#This Row],[Day]]-t0f)/wf)*(Kf^(1-pf)-(1-pf)*EXP(-(Tabella3[[#This Row],[Day]]-t0f)/wf))^(pf/(1-pf))</f>
        <v>224.18197770661092</v>
      </c>
      <c r="J25" s="10">
        <f>Tabella3[[#This Row],[Italy sum]]*NOT(ISBLANK(Tabella3[[#This Row],[Italy]]))</f>
        <v>225.26866591438608</v>
      </c>
      <c r="K25" s="10">
        <f>Tabella3[[#This Row],[Italy fit]]*NOT(ISBLANK(Tabella3[[#This Row],[Italy]]))</f>
        <v>224.18197770661092</v>
      </c>
      <c r="L25" s="10">
        <f>Tabella3[[#This Row],[Italy sum]]+CIw</f>
        <v>373.88831131637562</v>
      </c>
      <c r="M25" s="10">
        <f>MAX(Tabella3[[#This Row],[Italy sum]]-CIw,0)</f>
        <v>76.649020512396561</v>
      </c>
      <c r="N25" s="86">
        <f>Tabella8[[#This Row],[Lombardy]]</f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98">
        <f>(Kl^(1-pl)-(1-pl)*EXP(-(Tabella3[[#This Row],[Day]]-t0l)/wl))^(1/(1-pl))</f>
        <v>590.46072950560801</v>
      </c>
      <c r="R25" s="98">
        <f>(1/wl)*EXP(-(Tabella3[[#This Row],[Day]]-t0l)/wl)*(Kl^(1-pl)-(1-pl)*EXP(-(Tabella3[[#This Row],[Day]]-t0l)/wl))^(pl/(1-pl))</f>
        <v>152.26073380754875</v>
      </c>
      <c r="S25" s="10">
        <f>Tabella3[[#This Row],[Lombardy fit]]*NOT(ISBLANK(Tabella3[[#This Row],[Lombardy]]))</f>
        <v>152.26073380754875</v>
      </c>
      <c r="T25" s="10">
        <f>Tabella3[[#This Row],[Lombardy fit]]+CIl</f>
        <v>274.47876979244251</v>
      </c>
      <c r="U25" s="10">
        <f>MAX(Tabella3[[#This Row],[Lombardy fit]]-CIl,0)</f>
        <v>30.042697822655001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98">
        <f>(Ka^(1-pa)-(1-pa)*EXP(-(Tabella3[[#This Row],[Day]]-t0a)/wa))^(1/(1-pa))</f>
        <v>241.17567290208774</v>
      </c>
      <c r="Z25" s="98">
        <f>(1/wa)*EXP(-(Tabella3[[#This Row],[Day]]-t0a)/wa)*(Ka^(1-pa)-(1-pa)*EXP(-(Tabella3[[#This Row],[Day]]-t0a)/wa))^(pa/(1-pa))</f>
        <v>73.007932106837316</v>
      </c>
      <c r="AA25" s="10">
        <f>Tabella3[[#This Row],[rest of Italy fit]]*NOT(ISBLANK(Tabella3[[#This Row],[rest of Italy]]))</f>
        <v>73.007932106837316</v>
      </c>
      <c r="AB25" s="10">
        <f>Tabella3[[#This Row],[rest of Italy fit]]+CIa</f>
        <v>151.90892379193258</v>
      </c>
      <c r="AC25" s="10">
        <f>MAX(Tabella3[[#This Row],[rest of Italy fit]]-CIa,0)</f>
        <v>0</v>
      </c>
      <c r="AD25" s="1"/>
      <c r="AE25" s="2" t="s">
        <v>4</v>
      </c>
      <c r="AF25" s="6" cm="1">
        <f t="array" ref="AF25">SQRT(SUM((Tabella3[Colonna3]-Tabella3[Colonna32])^2)/dfl)</f>
        <v>60.752385882164056</v>
      </c>
      <c r="AS25" s="70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1079.2012064047926</v>
      </c>
      <c r="H26" s="10">
        <f>Tabella3[[#This Row],[Lombardy fit]]+Tabella3[[#This Row],[rest of Italy fit]]</f>
        <v>270.40169511300587</v>
      </c>
      <c r="I26" s="98">
        <f>(1/wf)*EXP(-(Tabella3[[#This Row],[Day]]-t0f)/wf)*(Kf^(1-pf)-(1-pf)*EXP(-(Tabella3[[#This Row],[Day]]-t0f)/wf))^(pf/(1-pf))</f>
        <v>269.53831846909986</v>
      </c>
      <c r="J26" s="10">
        <f>Tabella3[[#This Row],[Italy sum]]*NOT(ISBLANK(Tabella3[[#This Row],[Italy]]))</f>
        <v>270.40169511300587</v>
      </c>
      <c r="K26" s="10">
        <f>Tabella3[[#This Row],[Italy fit]]*NOT(ISBLANK(Tabella3[[#This Row],[Italy]]))</f>
        <v>269.53831846909986</v>
      </c>
      <c r="L26" s="10">
        <f>Tabella3[[#This Row],[Italy sum]]+CIw</f>
        <v>419.02134051499536</v>
      </c>
      <c r="M26" s="10">
        <f>MAX(Tabella3[[#This Row],[Italy sum]]-CIw,0)</f>
        <v>121.78204971101636</v>
      </c>
      <c r="N26" s="86">
        <f>Tabella8[[#This Row],[Lombardy]]</f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98">
        <f>(Kl^(1-pl)-(1-pl)*EXP(-(Tabella3[[#This Row],[Day]]-t0l)/wl))^(1/(1-pl))</f>
        <v>756.34991252635848</v>
      </c>
      <c r="R26" s="98">
        <f>(1/wl)*EXP(-(Tabella3[[#This Row],[Day]]-t0l)/wl)*(Kl^(1-pl)-(1-pl)*EXP(-(Tabella3[[#This Row],[Day]]-t0l)/wl))^(pl/(1-pl))</f>
        <v>179.71667424196102</v>
      </c>
      <c r="S26" s="10">
        <f>Tabella3[[#This Row],[Lombardy fit]]*NOT(ISBLANK(Tabella3[[#This Row],[Lombardy]]))</f>
        <v>179.71667424196102</v>
      </c>
      <c r="T26" s="10">
        <f>Tabella3[[#This Row],[Lombardy fit]]+CIl</f>
        <v>301.93471022685475</v>
      </c>
      <c r="U26" s="10">
        <f>MAX(Tabella3[[#This Row],[Lombardy fit]]-CIl,0)</f>
        <v>57.49863825706727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98">
        <f>(Ka^(1-pa)-(1-pa)*EXP(-(Tabella3[[#This Row],[Day]]-t0a)/wa))^(1/(1-pa))</f>
        <v>322.85129387843426</v>
      </c>
      <c r="Z26" s="98">
        <f>(1/wa)*EXP(-(Tabella3[[#This Row],[Day]]-t0a)/wa)*(Ka^(1-pa)-(1-pa)*EXP(-(Tabella3[[#This Row],[Day]]-t0a)/wa))^(pa/(1-pa))</f>
        <v>90.685020871044841</v>
      </c>
      <c r="AA26" s="10">
        <f>Tabella3[[#This Row],[rest of Italy fit]]*NOT(ISBLANK(Tabella3[[#This Row],[rest of Italy]]))</f>
        <v>90.685020871044841</v>
      </c>
      <c r="AB26" s="10">
        <f>Tabella3[[#This Row],[rest of Italy fit]]+CIa</f>
        <v>169.58601255614008</v>
      </c>
      <c r="AC26" s="10">
        <f>MAX(Tabella3[[#This Row],[rest of Italy fit]]-CIa,0)</f>
        <v>11.784029185949592</v>
      </c>
      <c r="AD26" s="1"/>
      <c r="AE26" s="2" t="s">
        <v>5</v>
      </c>
      <c r="AF26" s="7" cm="1">
        <f t="array" ref="AF26">1-SUM((Tabella3[Colonna3]-Tabella3[Colonna32])^2)/SUM((Tabella3[Colonna3]-Mean_of_yl)^2)</f>
        <v>0.92405128667663972</v>
      </c>
      <c r="AS26" s="70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1373.3748566728486</v>
      </c>
      <c r="H27" s="10">
        <f>Tabella3[[#This Row],[Lombardy fit]]+Tabella3[[#This Row],[rest of Italy fit]]</f>
        <v>318.33527947077374</v>
      </c>
      <c r="I27" s="98">
        <f>(1/wf)*EXP(-(Tabella3[[#This Row],[Day]]-t0f)/wf)*(Kf^(1-pf)-(1-pf)*EXP(-(Tabella3[[#This Row],[Day]]-t0f)/wf))^(pf/(1-pf))</f>
        <v>317.78975388506353</v>
      </c>
      <c r="J27" s="10">
        <f>Tabella3[[#This Row],[Italy sum]]*NOT(ISBLANK(Tabella3[[#This Row],[Italy]]))</f>
        <v>318.33527947077374</v>
      </c>
      <c r="K27" s="10">
        <f>Tabella3[[#This Row],[Italy fit]]*NOT(ISBLANK(Tabella3[[#This Row],[Italy]]))</f>
        <v>317.78975388506353</v>
      </c>
      <c r="L27" s="10">
        <f>Tabella3[[#This Row],[Italy sum]]+CIw</f>
        <v>466.95492487276329</v>
      </c>
      <c r="M27" s="10">
        <f>MAX(Tabella3[[#This Row],[Italy sum]]-CIw,0)</f>
        <v>169.71563406878423</v>
      </c>
      <c r="N27" s="86">
        <f>Tabella8[[#This Row],[Lombardy]]</f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98">
        <f>(Kl^(1-pl)-(1-pl)*EXP(-(Tabella3[[#This Row],[Day]]-t0l)/wl))^(1/(1-pl))</f>
        <v>950.18284968426838</v>
      </c>
      <c r="R27" s="98">
        <f>(1/wl)*EXP(-(Tabella3[[#This Row],[Day]]-t0l)/wl)*(Kl^(1-pl)-(1-pl)*EXP(-(Tabella3[[#This Row],[Day]]-t0l)/wl))^(pl/(1-pl))</f>
        <v>208.03744927956356</v>
      </c>
      <c r="S27" s="10">
        <f>Tabella3[[#This Row],[Lombardy fit]]*NOT(ISBLANK(Tabella3[[#This Row],[Lombardy]]))</f>
        <v>208.03744927956356</v>
      </c>
      <c r="T27" s="10">
        <f>Tabella3[[#This Row],[Lombardy fit]]+CIl</f>
        <v>330.25548526445732</v>
      </c>
      <c r="U27" s="10">
        <f>MAX(Tabella3[[#This Row],[Lombardy fit]]-CIl,0)</f>
        <v>85.819413294669815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98">
        <f>(Ka^(1-pa)-(1-pa)*EXP(-(Tabella3[[#This Row],[Day]]-t0a)/wa))^(1/(1-pa))</f>
        <v>423.19200698858015</v>
      </c>
      <c r="Z27" s="98">
        <f>(1/wa)*EXP(-(Tabella3[[#This Row],[Day]]-t0a)/wa)*(Ka^(1-pa)-(1-pa)*EXP(-(Tabella3[[#This Row],[Day]]-t0a)/wa))^(pa/(1-pa))</f>
        <v>110.29783019121018</v>
      </c>
      <c r="AA27" s="10">
        <f>Tabella3[[#This Row],[rest of Italy fit]]*NOT(ISBLANK(Tabella3[[#This Row],[rest of Italy]]))</f>
        <v>110.29783019121018</v>
      </c>
      <c r="AB27" s="10">
        <f>Tabella3[[#This Row],[rest of Italy fit]]+CIa</f>
        <v>189.19882187630543</v>
      </c>
      <c r="AC27" s="10">
        <f>MAX(Tabella3[[#This Row],[rest of Italy fit]]-CIa,0)</f>
        <v>31.396838506114932</v>
      </c>
      <c r="AD27" s="1"/>
      <c r="AE27" s="2" t="s">
        <v>6</v>
      </c>
      <c r="AF27" s="7">
        <f>TINV(0.05,dfl)</f>
        <v>2.0117405137297668</v>
      </c>
      <c r="AS27" s="71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1716.4841492943349</v>
      </c>
      <c r="H28" s="10">
        <f>Tabella3[[#This Row],[Lombardy fit]]+Tabella3[[#This Row],[rest of Italy fit]]</f>
        <v>368.10318523495334</v>
      </c>
      <c r="I28" s="98">
        <f>(1/wf)*EXP(-(Tabella3[[#This Row],[Day]]-t0f)/wf)*(Kf^(1-pf)-(1-pf)*EXP(-(Tabella3[[#This Row],[Day]]-t0f)/wf))^(pf/(1-pf))</f>
        <v>367.95444480434236</v>
      </c>
      <c r="J28" s="10">
        <f>Tabella3[[#This Row],[Italy sum]]*NOT(ISBLANK(Tabella3[[#This Row],[Italy]]))</f>
        <v>368.10318523495334</v>
      </c>
      <c r="K28" s="10">
        <f>Tabella3[[#This Row],[Italy fit]]*NOT(ISBLANK(Tabella3[[#This Row],[Italy]]))</f>
        <v>367.95444480434236</v>
      </c>
      <c r="L28" s="10">
        <f>Tabella3[[#This Row],[Italy sum]]+CIw</f>
        <v>516.72283063694283</v>
      </c>
      <c r="M28" s="10">
        <f>MAX(Tabella3[[#This Row],[Italy sum]]-CIw,0)</f>
        <v>219.48353983296383</v>
      </c>
      <c r="N28" s="86">
        <f>Tabella8[[#This Row],[Lombardy]]</f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98">
        <f>(Kl^(1-pl)-(1-pl)*EXP(-(Tabella3[[#This Row],[Day]]-t0l)/wl))^(1/(1-pl))</f>
        <v>1172.4866076488083</v>
      </c>
      <c r="R28" s="98">
        <f>(1/wl)*EXP(-(Tabella3[[#This Row],[Day]]-t0l)/wl)*(Kl^(1-pl)-(1-pl)*EXP(-(Tabella3[[#This Row],[Day]]-t0l)/wl))^(pl/(1-pl))</f>
        <v>236.5434639684409</v>
      </c>
      <c r="S28" s="10">
        <f>Tabella3[[#This Row],[Lombardy fit]]*NOT(ISBLANK(Tabella3[[#This Row],[Lombardy]]))</f>
        <v>236.5434639684409</v>
      </c>
      <c r="T28" s="10">
        <f>Tabella3[[#This Row],[Lombardy fit]]+CIl</f>
        <v>358.76149995333463</v>
      </c>
      <c r="U28" s="10">
        <f>MAX(Tabella3[[#This Row],[Lombardy fit]]-CIl,0)</f>
        <v>114.32542798354716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98">
        <f>(Ka^(1-pa)-(1-pa)*EXP(-(Tabella3[[#This Row],[Day]]-t0a)/wa))^(1/(1-pa))</f>
        <v>543.99754164552655</v>
      </c>
      <c r="Z28" s="98">
        <f>(1/wa)*EXP(-(Tabella3[[#This Row],[Day]]-t0a)/wa)*(Ka^(1-pa)-(1-pa)*EXP(-(Tabella3[[#This Row],[Day]]-t0a)/wa))^(pa/(1-pa))</f>
        <v>131.55972126651244</v>
      </c>
      <c r="AA28" s="10">
        <f>Tabella3[[#This Row],[rest of Italy fit]]*NOT(ISBLANK(Tabella3[[#This Row],[rest of Italy]]))</f>
        <v>131.55972126651244</v>
      </c>
      <c r="AB28" s="10">
        <f>Tabella3[[#This Row],[rest of Italy fit]]+CIa</f>
        <v>210.46071295160769</v>
      </c>
      <c r="AC28" s="10">
        <f>MAX(Tabella3[[#This Row],[rest of Italy fit]]-CIa,0)</f>
        <v>52.658729581417191</v>
      </c>
      <c r="AD28" s="1"/>
      <c r="AE28" s="2" t="s">
        <v>7</v>
      </c>
      <c r="AF28" s="1">
        <f>Critical_tl*SE_of_yl</f>
        <v>122.21803598489375</v>
      </c>
      <c r="AS28" s="72">
        <f>MAX($AF$39)</f>
        <v>0.96360700811860334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2109.8426791032944</v>
      </c>
      <c r="H29" s="10">
        <f>Tabella3[[#This Row],[Lombardy fit]]+Tabella3[[#This Row],[rest of Italy fit]]</f>
        <v>418.65448522925522</v>
      </c>
      <c r="I29" s="98">
        <f>(1/wf)*EXP(-(Tabella3[[#This Row],[Day]]-t0f)/wf)*(Kf^(1-pf)-(1-pf)*EXP(-(Tabella3[[#This Row],[Day]]-t0f)/wf))^(pf/(1-pf))</f>
        <v>418.95826458850775</v>
      </c>
      <c r="J29" s="10">
        <f>Tabella3[[#This Row],[Italy sum]]*NOT(ISBLANK(Tabella3[[#This Row],[Italy]]))</f>
        <v>418.65448522925522</v>
      </c>
      <c r="K29" s="10">
        <f>Tabella3[[#This Row],[Italy fit]]*NOT(ISBLANK(Tabella3[[#This Row],[Italy]]))</f>
        <v>418.95826458850775</v>
      </c>
      <c r="L29" s="10">
        <f>Tabella3[[#This Row],[Italy sum]]+CIw</f>
        <v>567.2741306312447</v>
      </c>
      <c r="M29" s="10">
        <f>MAX(Tabella3[[#This Row],[Italy sum]]-CIw,0)</f>
        <v>270.03483982726573</v>
      </c>
      <c r="N29" s="86">
        <f>Tabella8[[#This Row],[Lombardy]]</f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98">
        <f>(Kl^(1-pl)-(1-pl)*EXP(-(Tabella3[[#This Row],[Day]]-t0l)/wl))^(1/(1-pl))</f>
        <v>1423.1030022183588</v>
      </c>
      <c r="R29" s="98">
        <f>(1/wl)*EXP(-(Tabella3[[#This Row],[Day]]-t0l)/wl)*(Kl^(1-pl)-(1-pl)*EXP(-(Tabella3[[#This Row],[Day]]-t0l)/wl))^(pl/(1-pl))</f>
        <v>264.5502231393757</v>
      </c>
      <c r="S29" s="10">
        <f>Tabella3[[#This Row],[Lombardy fit]]*NOT(ISBLANK(Tabella3[[#This Row],[Lombardy]]))</f>
        <v>264.5502231393757</v>
      </c>
      <c r="T29" s="10">
        <f>Tabella3[[#This Row],[Lombardy fit]]+CIl</f>
        <v>386.76825912426943</v>
      </c>
      <c r="U29" s="10">
        <f>MAX(Tabella3[[#This Row],[Lombardy fit]]-CIl,0)</f>
        <v>142.33218715448197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98">
        <f>(Ka^(1-pa)-(1-pa)*EXP(-(Tabella3[[#This Row],[Day]]-t0a)/wa))^(1/(1-pa))</f>
        <v>686.73967688493553</v>
      </c>
      <c r="Z29" s="98">
        <f>(1/wa)*EXP(-(Tabella3[[#This Row],[Day]]-t0a)/wa)*(Ka^(1-pa)-(1-pa)*EXP(-(Tabella3[[#This Row],[Day]]-t0a)/wa))^(pa/(1-pa))</f>
        <v>154.10426208987954</v>
      </c>
      <c r="AA29" s="10">
        <f>Tabella3[[#This Row],[rest of Italy fit]]*NOT(ISBLANK(Tabella3[[#This Row],[rest of Italy]]))</f>
        <v>154.10426208987954</v>
      </c>
      <c r="AB29" s="10">
        <f>Tabella3[[#This Row],[rest of Italy fit]]+CIa</f>
        <v>233.00525377497479</v>
      </c>
      <c r="AC29" s="10">
        <f>MAX(Tabella3[[#This Row],[rest of Italy fit]]-CIa,0)</f>
        <v>75.203270404784291</v>
      </c>
      <c r="AD29" s="1"/>
      <c r="AE29" s="23" t="s">
        <v>113</v>
      </c>
      <c r="AF29" s="99">
        <f>(Kl^(1-pl)-(1-pl))^(pl/(1-pl))/wl</f>
        <v>415.49902808361327</v>
      </c>
      <c r="AS29" s="73">
        <f>COUNT($AF$33,$AF$34,$AF$35)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2553.6939464476868</v>
      </c>
      <c r="H30" s="10">
        <f>Tabella3[[#This Row],[Lombardy fit]]+Tabella3[[#This Row],[rest of Italy fit]]</f>
        <v>468.90907976619718</v>
      </c>
      <c r="I30" s="98">
        <f>(1/wf)*EXP(-(Tabella3[[#This Row],[Day]]-t0f)/wf)*(Kf^(1-pf)-(1-pf)*EXP(-(Tabella3[[#This Row],[Day]]-t0f)/wf))^(pf/(1-pf))</f>
        <v>469.69274529451422</v>
      </c>
      <c r="J30" s="10">
        <f>Tabella3[[#This Row],[Italy sum]]*NOT(ISBLANK(Tabella3[[#This Row],[Italy]]))</f>
        <v>468.90907976619718</v>
      </c>
      <c r="K30" s="10">
        <f>Tabella3[[#This Row],[Italy fit]]*NOT(ISBLANK(Tabella3[[#This Row],[Italy]]))</f>
        <v>469.69274529451422</v>
      </c>
      <c r="L30" s="10">
        <f>Tabella3[[#This Row],[Italy sum]]+CIw</f>
        <v>617.52872516818672</v>
      </c>
      <c r="M30" s="10">
        <f>MAX(Tabella3[[#This Row],[Italy sum]]-CIw,0)</f>
        <v>320.28943436420764</v>
      </c>
      <c r="N30" s="86">
        <f>Tabella8[[#This Row],[Lombardy]]</f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98">
        <f>(Kl^(1-pl)-(1-pl)*EXP(-(Tabella3[[#This Row],[Day]]-t0l)/wl))^(1/(1-pl))</f>
        <v>1701.2022471158261</v>
      </c>
      <c r="R30" s="98">
        <f>(1/wl)*EXP(-(Tabella3[[#This Row],[Day]]-t0l)/wl)*(Kl^(1-pl)-(1-pl)*EXP(-(Tabella3[[#This Row],[Day]]-t0l)/wl))^(pl/(1-pl))</f>
        <v>291.40465657929786</v>
      </c>
      <c r="S30" s="10">
        <f>Tabella3[[#This Row],[Lombardy fit]]*NOT(ISBLANK(Tabella3[[#This Row],[Lombardy]]))</f>
        <v>291.40465657929786</v>
      </c>
      <c r="T30" s="10">
        <f>Tabella3[[#This Row],[Lombardy fit]]+CIl</f>
        <v>413.6226925641916</v>
      </c>
      <c r="U30" s="10">
        <f>MAX(Tabella3[[#This Row],[Lombardy fit]]-CIl,0)</f>
        <v>169.18662059440413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98">
        <f>(Ka^(1-pa)-(1-pa)*EXP(-(Tabella3[[#This Row],[Day]]-t0a)/wa))^(1/(1-pa))</f>
        <v>852.49169933186079</v>
      </c>
      <c r="Z30" s="98">
        <f>(1/wa)*EXP(-(Tabella3[[#This Row],[Day]]-t0a)/wa)*(Ka^(1-pa)-(1-pa)*EXP(-(Tabella3[[#This Row],[Day]]-t0a)/wa))^(pa/(1-pa))</f>
        <v>177.50442318689932</v>
      </c>
      <c r="AA30" s="10">
        <f>Tabella3[[#This Row],[rest of Italy fit]]*NOT(ISBLANK(Tabella3[[#This Row],[rest of Italy]]))</f>
        <v>177.50442318689932</v>
      </c>
      <c r="AB30" s="10">
        <f>Tabella3[[#This Row],[rest of Italy fit]]+CIa</f>
        <v>256.40541487199459</v>
      </c>
      <c r="AC30" s="10">
        <f>MAX(Tabella3[[#This Row],[rest of Italy fit]]-CIa,0)</f>
        <v>98.603431501804067</v>
      </c>
      <c r="AD30" s="1"/>
      <c r="AE30" s="23" t="s">
        <v>145</v>
      </c>
      <c r="AF30" s="45">
        <f>_xlfn.XLOOKUP(ROUND(t0l,0),Tabella3[Day],Tabella3[Date])</f>
        <v>43916</v>
      </c>
      <c r="AS30" s="73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3047.2089993216582</v>
      </c>
      <c r="H31" s="10">
        <f>Tabella3[[#This Row],[Lombardy fit]]+Tabella3[[#This Row],[rest of Italy fit]]</f>
        <v>517.81052980036498</v>
      </c>
      <c r="I31" s="98">
        <f>(1/wf)*EXP(-(Tabella3[[#This Row],[Day]]-t0f)/wf)*(Kf^(1-pf)-(1-pf)*EXP(-(Tabella3[[#This Row],[Day]]-t0f)/wf))^(pf/(1-pf))</f>
        <v>519.07070600814711</v>
      </c>
      <c r="J31" s="10">
        <f>Tabella3[[#This Row],[Italy sum]]*NOT(ISBLANK(Tabella3[[#This Row],[Italy]]))</f>
        <v>517.81052980036498</v>
      </c>
      <c r="K31" s="10">
        <f>Tabella3[[#This Row],[Italy fit]]*NOT(ISBLANK(Tabella3[[#This Row],[Italy]]))</f>
        <v>519.07070600814711</v>
      </c>
      <c r="L31" s="10">
        <f>Tabella3[[#This Row],[Italy sum]]+CIw</f>
        <v>666.43017520235446</v>
      </c>
      <c r="M31" s="10">
        <f>MAX(Tabella3[[#This Row],[Italy sum]]-CIw,0)</f>
        <v>369.19088439837549</v>
      </c>
      <c r="N31" s="86">
        <f>Tabella8[[#This Row],[Lombardy]]</f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98">
        <f>(Kl^(1-pl)-(1-pl)*EXP(-(Tabella3[[#This Row],[Day]]-t0l)/wl))^(1/(1-pl))</f>
        <v>2005.3302118002534</v>
      </c>
      <c r="R31" s="98">
        <f>(1/wl)*EXP(-(Tabella3[[#This Row],[Day]]-t0l)/wl)*(Kl^(1-pl)-(1-pl)*EXP(-(Tabella3[[#This Row],[Day]]-t0l)/wl))^(pl/(1-pl))</f>
        <v>316.51564752772686</v>
      </c>
      <c r="S31" s="10">
        <f>Tabella3[[#This Row],[Lombardy fit]]*NOT(ISBLANK(Tabella3[[#This Row],[Lombardy]]))</f>
        <v>316.51564752772686</v>
      </c>
      <c r="T31" s="10">
        <f>Tabella3[[#This Row],[Lombardy fit]]+CIl</f>
        <v>438.73368351262059</v>
      </c>
      <c r="U31" s="10">
        <f>MAX(Tabella3[[#This Row],[Lombardy fit]]-CIl,0)</f>
        <v>194.29761154283312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98">
        <f>(Ka^(1-pa)-(1-pa)*EXP(-(Tabella3[[#This Row],[Day]]-t0a)/wa))^(1/(1-pa))</f>
        <v>1041.8787875214048</v>
      </c>
      <c r="Z31" s="98">
        <f>(1/wa)*EXP(-(Tabella3[[#This Row],[Day]]-t0a)/wa)*(Ka^(1-pa)-(1-pa)*EXP(-(Tabella3[[#This Row],[Day]]-t0a)/wa))^(pa/(1-pa))</f>
        <v>201.29488227263809</v>
      </c>
      <c r="AA31" s="10">
        <f>Tabella3[[#This Row],[rest of Italy fit]]*NOT(ISBLANK(Tabella3[[#This Row],[rest of Italy]]))</f>
        <v>201.29488227263809</v>
      </c>
      <c r="AB31" s="10">
        <f>Tabella3[[#This Row],[rest of Italy fit]]+CIa</f>
        <v>280.19587395773334</v>
      </c>
      <c r="AC31" s="10">
        <f>MAX(Tabella3[[#This Row],[rest of Italy fit]]-CIa,0)</f>
        <v>122.39389058754284</v>
      </c>
      <c r="AD31" s="1"/>
      <c r="AE31" s="93" t="s">
        <v>151</v>
      </c>
      <c r="AF31" s="96">
        <f>pr</f>
        <v>0.99999899999999997</v>
      </c>
      <c r="AS31" s="73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3588.5339753383187</v>
      </c>
      <c r="H32" s="10">
        <f>Tabella3[[#This Row],[Lombardy fit]]+Tabella3[[#This Row],[rest of Italy fit]]</f>
        <v>564.37252025601845</v>
      </c>
      <c r="I32" s="98">
        <f>(1/wf)*EXP(-(Tabella3[[#This Row],[Day]]-t0f)/wf)*(Kf^(1-pf)-(1-pf)*EXP(-(Tabella3[[#This Row],[Day]]-t0f)/wf))^(pf/(1-pf))</f>
        <v>566.07549821689508</v>
      </c>
      <c r="J32" s="10">
        <f>Tabella3[[#This Row],[Italy sum]]*NOT(ISBLANK(Tabella3[[#This Row],[Italy]]))</f>
        <v>564.37252025601845</v>
      </c>
      <c r="K32" s="10">
        <f>Tabella3[[#This Row],[Italy fit]]*NOT(ISBLANK(Tabella3[[#This Row],[Italy]]))</f>
        <v>566.07549821689508</v>
      </c>
      <c r="L32" s="10">
        <f>Tabella3[[#This Row],[Italy sum]]+CIw</f>
        <v>712.99216565800793</v>
      </c>
      <c r="M32" s="10">
        <f>MAX(Tabella3[[#This Row],[Italy sum]]-CIw,0)</f>
        <v>415.75287485402896</v>
      </c>
      <c r="N32" s="86">
        <f>Tabella8[[#This Row],[Lombardy]]</f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98">
        <f>(Kl^(1-pl)-(1-pl)*EXP(-(Tabella3[[#This Row],[Day]]-t0l)/wl))^(1/(1-pl))</f>
        <v>2333.4825912275446</v>
      </c>
      <c r="R32" s="98">
        <f>(1/wl)*EXP(-(Tabella3[[#This Row],[Day]]-t0l)/wl)*(Kl^(1-pl)-(1-pl)*EXP(-(Tabella3[[#This Row],[Day]]-t0l)/wl))^(pl/(1-pl))</f>
        <v>339.37715721425798</v>
      </c>
      <c r="S32" s="10">
        <f>Tabella3[[#This Row],[Lombardy fit]]*NOT(ISBLANK(Tabella3[[#This Row],[Lombardy]]))</f>
        <v>339.37715721425798</v>
      </c>
      <c r="T32" s="10">
        <f>Tabella3[[#This Row],[Lombardy fit]]+CIl</f>
        <v>461.59519319915171</v>
      </c>
      <c r="U32" s="10">
        <f>MAX(Tabella3[[#This Row],[Lombardy fit]]-CIl,0)</f>
        <v>217.15912122936425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98">
        <f>(Ka^(1-pa)-(1-pa)*EXP(-(Tabella3[[#This Row],[Day]]-t0a)/wa))^(1/(1-pa))</f>
        <v>1255.0513841107741</v>
      </c>
      <c r="Z32" s="98">
        <f>(1/wa)*EXP(-(Tabella3[[#This Row],[Day]]-t0a)/wa)*(Ka^(1-pa)-(1-pa)*EXP(-(Tabella3[[#This Row],[Day]]-t0a)/wa))^(pa/(1-pa))</f>
        <v>224.9953630417605</v>
      </c>
      <c r="AA32" s="10">
        <f>Tabella3[[#This Row],[rest of Italy fit]]*NOT(ISBLANK(Tabella3[[#This Row],[rest of Italy]]))</f>
        <v>224.9953630417605</v>
      </c>
      <c r="AB32" s="10">
        <f>Tabella3[[#This Row],[rest of Italy fit]]+CIa</f>
        <v>303.89635472685575</v>
      </c>
      <c r="AC32" s="10">
        <f>MAX(Tabella3[[#This Row],[rest of Italy fit]]-CIa,0)</f>
        <v>146.09437135666525</v>
      </c>
      <c r="AD32" s="1"/>
      <c r="AE32" s="46" t="s">
        <v>85</v>
      </c>
      <c r="AF32" s="47" t="s">
        <v>135</v>
      </c>
      <c r="AS32" s="73">
        <f>{32767;32767;0.000001;0;FALSE;FALSE;FALSE;1;2;1;0.0001;TRUE}</f>
        <v>32767</v>
      </c>
    </row>
    <row r="33" spans="2:45" ht="15" thickBot="1" x14ac:dyDescent="0.35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4174.8798381357956</v>
      </c>
      <c r="H33" s="10">
        <f>Tabella3[[#This Row],[Lombardy fit]]+Tabella3[[#This Row],[rest of Italy fit]]</f>
        <v>607.71645260186108</v>
      </c>
      <c r="I33" s="98">
        <f>(1/wf)*EXP(-(Tabella3[[#This Row],[Day]]-t0f)/wf)*(Kf^(1-pf)-(1-pf)*EXP(-(Tabella3[[#This Row],[Day]]-t0f)/wf))^(pf/(1-pf))</f>
        <v>609.80104418292422</v>
      </c>
      <c r="J33" s="10">
        <f>Tabella3[[#This Row],[Italy sum]]*NOT(ISBLANK(Tabella3[[#This Row],[Italy]]))</f>
        <v>607.71645260186108</v>
      </c>
      <c r="K33" s="10">
        <f>Tabella3[[#This Row],[Italy fit]]*NOT(ISBLANK(Tabella3[[#This Row],[Italy]]))</f>
        <v>609.80104418292422</v>
      </c>
      <c r="L33" s="10">
        <f>Tabella3[[#This Row],[Italy sum]]+CIw</f>
        <v>756.33609800385057</v>
      </c>
      <c r="M33" s="10">
        <f>MAX(Tabella3[[#This Row],[Italy sum]]-CIw,0)</f>
        <v>459.09680719987159</v>
      </c>
      <c r="N33" s="86">
        <f>Tabella8[[#This Row],[Lombardy]]</f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98">
        <f>(Kl^(1-pl)-(1-pl)*EXP(-(Tabella3[[#This Row],[Day]]-t0l)/wl))^(1/(1-pl))</f>
        <v>2683.1982117887846</v>
      </c>
      <c r="R33" s="98">
        <f>(1/wl)*EXP(-(Tabella3[[#This Row],[Day]]-t0l)/wl)*(Kl^(1-pl)-(1-pl)*EXP(-(Tabella3[[#This Row],[Day]]-t0l)/wl))^(pl/(1-pl))</f>
        <v>359.5833361128856</v>
      </c>
      <c r="S33" s="10">
        <f>Tabella3[[#This Row],[Lombardy fit]]*NOT(ISBLANK(Tabella3[[#This Row],[Lombardy]]))</f>
        <v>359.5833361128856</v>
      </c>
      <c r="T33" s="10">
        <f>Tabella3[[#This Row],[Lombardy fit]]+CIl</f>
        <v>481.80137209777934</v>
      </c>
      <c r="U33" s="10">
        <f>MAX(Tabella3[[#This Row],[Lombardy fit]]-CIl,0)</f>
        <v>237.36530012799187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98">
        <f>(Ka^(1-pa)-(1-pa)*EXP(-(Tabella3[[#This Row],[Day]]-t0a)/wa))^(1/(1-pa))</f>
        <v>1491.6816263470114</v>
      </c>
      <c r="Z33" s="98">
        <f>(1/wa)*EXP(-(Tabella3[[#This Row],[Day]]-t0a)/wa)*(Ka^(1-pa)-(1-pa)*EXP(-(Tabella3[[#This Row],[Day]]-t0a)/wa))^(pa/(1-pa))</f>
        <v>248.13311648897547</v>
      </c>
      <c r="AA33" s="10">
        <f>Tabella3[[#This Row],[rest of Italy fit]]*NOT(ISBLANK(Tabella3[[#This Row],[rest of Italy]]))</f>
        <v>248.13311648897547</v>
      </c>
      <c r="AB33" s="10">
        <f>Tabella3[[#This Row],[rest of Italy fit]]+CIa</f>
        <v>327.03410817407075</v>
      </c>
      <c r="AC33" s="10">
        <f>MAX(Tabella3[[#This Row],[rest of Italy fit]]-CIa,0)</f>
        <v>169.23212480388023</v>
      </c>
      <c r="AD33" s="1"/>
      <c r="AE33" s="17" t="s">
        <v>0</v>
      </c>
      <c r="AF33" s="5">
        <f>Ko</f>
        <v>13770.329242769869</v>
      </c>
      <c r="AS33" s="73">
        <f>{0;0;1;100;0;FALSE;FALSE;0.075;0;0;FALSE;30}</f>
        <v>0</v>
      </c>
    </row>
    <row r="34" spans="2:45" ht="15.6" x14ac:dyDescent="0.35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4802.6446665718704</v>
      </c>
      <c r="H34" s="10">
        <f>Tabella3[[#This Row],[Lombardy fit]]+Tabella3[[#This Row],[rest of Italy fit]]</f>
        <v>647.09885053898392</v>
      </c>
      <c r="I34" s="98">
        <f>(1/wf)*EXP(-(Tabella3[[#This Row],[Day]]-t0f)/wf)*(Kf^(1-pf)-(1-pf)*EXP(-(Tabella3[[#This Row],[Day]]-t0f)/wf))^(pf/(1-pf))</f>
        <v>649.48113994001505</v>
      </c>
      <c r="J34" s="10">
        <f>Tabella3[[#This Row],[Italy sum]]*NOT(ISBLANK(Tabella3[[#This Row],[Italy]]))</f>
        <v>647.09885053898392</v>
      </c>
      <c r="K34" s="10">
        <f>Tabella3[[#This Row],[Italy fit]]*NOT(ISBLANK(Tabella3[[#This Row],[Italy]]))</f>
        <v>649.48113994001505</v>
      </c>
      <c r="L34" s="10">
        <f>Tabella3[[#This Row],[Italy sum]]+CIw</f>
        <v>795.71849594097341</v>
      </c>
      <c r="M34" s="10">
        <f>MAX(Tabella3[[#This Row],[Italy sum]]-CIw,0)</f>
        <v>498.47920513699444</v>
      </c>
      <c r="N34" s="86">
        <f>Tabella8[[#This Row],[Lombardy]]</f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98">
        <f>(Kl^(1-pl)-(1-pl)*EXP(-(Tabella3[[#This Row],[Day]]-t0l)/wl))^(1/(1-pl))</f>
        <v>3051.6635015287461</v>
      </c>
      <c r="R34" s="98">
        <f>(1/wl)*EXP(-(Tabella3[[#This Row],[Day]]-t0l)/wl)*(Kl^(1-pl)-(1-pl)*EXP(-(Tabella3[[#This Row],[Day]]-t0l)/wl))^(pl/(1-pl))</f>
        <v>376.83584710072716</v>
      </c>
      <c r="S34" s="10">
        <f>Tabella3[[#This Row],[Lombardy fit]]*NOT(ISBLANK(Tabella3[[#This Row],[Lombardy]]))</f>
        <v>376.83584710072716</v>
      </c>
      <c r="T34" s="10">
        <f>Tabella3[[#This Row],[Lombardy fit]]+CIl</f>
        <v>499.0538830856209</v>
      </c>
      <c r="U34" s="10">
        <f>MAX(Tabella3[[#This Row],[Lombardy fit]]-CIl,0)</f>
        <v>254.61781111583343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98">
        <f>(Ka^(1-pa)-(1-pa)*EXP(-(Tabella3[[#This Row],[Day]]-t0a)/wa))^(1/(1-pa))</f>
        <v>1750.9811650431247</v>
      </c>
      <c r="Z34" s="98">
        <f>(1/wa)*EXP(-(Tabella3[[#This Row],[Day]]-t0a)/wa)*(Ka^(1-pa)-(1-pa)*EXP(-(Tabella3[[#This Row],[Day]]-t0a)/wa))^(pa/(1-pa))</f>
        <v>270.26300343825676</v>
      </c>
      <c r="AA34" s="10">
        <f>Tabella3[[#This Row],[rest of Italy fit]]*NOT(ISBLANK(Tabella3[[#This Row],[rest of Italy]]))</f>
        <v>270.26300343825676</v>
      </c>
      <c r="AB34" s="10">
        <f>Tabella3[[#This Row],[rest of Italy fit]]+CIa</f>
        <v>349.16399512335204</v>
      </c>
      <c r="AC34" s="10">
        <f>MAX(Tabella3[[#This Row],[rest of Italy fit]]-CIa,0)</f>
        <v>191.36201175316151</v>
      </c>
      <c r="AD34" s="1"/>
      <c r="AE34" s="17" t="s">
        <v>24</v>
      </c>
      <c r="AF34" s="35">
        <f>t0o</f>
        <v>35.671726036279956</v>
      </c>
      <c r="AS34" s="74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5467.5581206748338</v>
      </c>
      <c r="H35" s="10">
        <f>Tabella3[[#This Row],[Lombardy fit]]+Tabella3[[#This Row],[rest of Italy fit]]</f>
        <v>681.9283352018324</v>
      </c>
      <c r="I35" s="98">
        <f>(1/wf)*EXP(-(Tabella3[[#This Row],[Day]]-t0f)/wf)*(Kf^(1-pf)-(1-pf)*EXP(-(Tabella3[[#This Row],[Day]]-t0f)/wf))^(pf/(1-pf))</f>
        <v>684.50766791707861</v>
      </c>
      <c r="J35" s="10">
        <f>Tabella3[[#This Row],[Italy sum]]*NOT(ISBLANK(Tabella3[[#This Row],[Italy]]))</f>
        <v>681.9283352018324</v>
      </c>
      <c r="K35" s="10">
        <f>Tabella3[[#This Row],[Italy fit]]*NOT(ISBLANK(Tabella3[[#This Row],[Italy]]))</f>
        <v>684.50766791707861</v>
      </c>
      <c r="L35" s="10">
        <f>Tabella3[[#This Row],[Italy sum]]+CIw</f>
        <v>830.54798060382188</v>
      </c>
      <c r="M35" s="10">
        <f>MAX(Tabella3[[#This Row],[Italy sum]]-CIw,0)</f>
        <v>533.30868979984291</v>
      </c>
      <c r="N35" s="86">
        <f>Tabella8[[#This Row],[Lombardy]]</f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98">
        <f>(Kl^(1-pl)-(1-pl)*EXP(-(Tabella3[[#This Row],[Day]]-t0l)/wl))^(1/(1-pl))</f>
        <v>3435.8207244696523</v>
      </c>
      <c r="R35" s="98">
        <f>(1/wl)*EXP(-(Tabella3[[#This Row],[Day]]-t0l)/wl)*(Kl^(1-pl)-(1-pl)*EXP(-(Tabella3[[#This Row],[Day]]-t0l)/wl))^(pl/(1-pl))</f>
        <v>390.94424911700673</v>
      </c>
      <c r="S35" s="10">
        <f>Tabella3[[#This Row],[Lombardy fit]]*NOT(ISBLANK(Tabella3[[#This Row],[Lombardy]]))</f>
        <v>390.94424911700673</v>
      </c>
      <c r="T35" s="10">
        <f>Tabella3[[#This Row],[Lombardy fit]]+CIl</f>
        <v>513.16228510190047</v>
      </c>
      <c r="U35" s="10">
        <f>MAX(Tabella3[[#This Row],[Lombardy fit]]-CIl,0)</f>
        <v>268.726213132113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98">
        <f>(Ka^(1-pa)-(1-pa)*EXP(-(Tabella3[[#This Row],[Day]]-t0a)/wa))^(1/(1-pa))</f>
        <v>2031.7373962051818</v>
      </c>
      <c r="Z35" s="98">
        <f>(1/wa)*EXP(-(Tabella3[[#This Row],[Day]]-t0a)/wa)*(Ka^(1-pa)-(1-pa)*EXP(-(Tabella3[[#This Row],[Day]]-t0a)/wa))^(pa/(1-pa))</f>
        <v>290.98408608482572</v>
      </c>
      <c r="AA35" s="10">
        <f>Tabella3[[#This Row],[rest of Italy fit]]*NOT(ISBLANK(Tabella3[[#This Row],[rest of Italy]]))</f>
        <v>290.98408608482572</v>
      </c>
      <c r="AB35" s="10">
        <f>Tabella3[[#This Row],[rest of Italy fit]]+CIa</f>
        <v>369.88507776992094</v>
      </c>
      <c r="AC35" s="10">
        <f>MAX(Tabella3[[#This Row],[rest of Italy fit]]-CIa,0)</f>
        <v>212.08309439973047</v>
      </c>
      <c r="AE35" s="17" t="s">
        <v>1</v>
      </c>
      <c r="AF35" s="35">
        <f>wo</f>
        <v>13.361510987660298</v>
      </c>
      <c r="AI35" s="1"/>
      <c r="AS35" s="70"/>
    </row>
    <row r="36" spans="2:45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6164.8378937844245</v>
      </c>
      <c r="H36" s="10">
        <f>Tabella3[[#This Row],[Lombardy fit]]+Tabella3[[#This Row],[rest of Italy fit]]</f>
        <v>711.77277979027292</v>
      </c>
      <c r="I36" s="98">
        <f>(1/wf)*EXP(-(Tabella3[[#This Row],[Day]]-t0f)/wf)*(Kf^(1-pf)-(1-pf)*EXP(-(Tabella3[[#This Row],[Day]]-t0f)/wf))^(pf/(1-pf))</f>
        <v>714.43831956213478</v>
      </c>
      <c r="J36" s="10">
        <f>Tabella3[[#This Row],[Italy sum]]*NOT(ISBLANK(Tabella3[[#This Row],[Italy]]))</f>
        <v>711.77277979027292</v>
      </c>
      <c r="K36" s="10">
        <f>Tabella3[[#This Row],[Italy fit]]*NOT(ISBLANK(Tabella3[[#This Row],[Italy]]))</f>
        <v>714.43831956213478</v>
      </c>
      <c r="L36" s="10">
        <f>Tabella3[[#This Row],[Italy sum]]+CIw</f>
        <v>860.39242519226241</v>
      </c>
      <c r="M36" s="10">
        <f>MAX(Tabella3[[#This Row],[Italy sum]]-CIw,0)</f>
        <v>563.15313438828343</v>
      </c>
      <c r="N36" s="86">
        <f>Tabella8[[#This Row],[Lombardy]]</f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98">
        <f>(Kl^(1-pl)-(1-pl)*EXP(-(Tabella3[[#This Row],[Day]]-t0l)/wl))^(1/(1-pl))</f>
        <v>3832.473638473889</v>
      </c>
      <c r="R36" s="98">
        <f>(1/wl)*EXP(-(Tabella3[[#This Row],[Day]]-t0l)/wl)*(Kl^(1-pl)-(1-pl)*EXP(-(Tabella3[[#This Row],[Day]]-t0l)/wl))^(pl/(1-pl))</f>
        <v>401.82067852462239</v>
      </c>
      <c r="S36" s="10">
        <f>Tabella3[[#This Row],[Lombardy fit]]*NOT(ISBLANK(Tabella3[[#This Row],[Lombardy]]))</f>
        <v>401.82067852462239</v>
      </c>
      <c r="T36" s="10">
        <f>Tabella3[[#This Row],[Lombardy fit]]+CIl</f>
        <v>524.03871450951613</v>
      </c>
      <c r="U36" s="10">
        <f>MAX(Tabella3[[#This Row],[Lombardy fit]]-CIl,0)</f>
        <v>279.60264253972866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98">
        <f>(Ka^(1-pa)-(1-pa)*EXP(-(Tabella3[[#This Row],[Day]]-t0a)/wa))^(1/(1-pa))</f>
        <v>2332.3642553105351</v>
      </c>
      <c r="Z36" s="98">
        <f>(1/wa)*EXP(-(Tabella3[[#This Row],[Day]]-t0a)/wa)*(Ka^(1-pa)-(1-pa)*EXP(-(Tabella3[[#This Row],[Day]]-t0a)/wa))^(pa/(1-pa))</f>
        <v>309.95210126565053</v>
      </c>
      <c r="AA36" s="10">
        <f>Tabella3[[#This Row],[rest of Italy fit]]*NOT(ISBLANK(Tabella3[[#This Row],[rest of Italy]]))</f>
        <v>309.95210126565053</v>
      </c>
      <c r="AB36" s="10">
        <f>Tabella3[[#This Row],[rest of Italy fit]]+CIa</f>
        <v>388.8530929507458</v>
      </c>
      <c r="AC36" s="10">
        <f>MAX(Tabella3[[#This Row],[rest of Italy fit]]-CIa,0)</f>
        <v>231.05110958055528</v>
      </c>
      <c r="AE36" s="2" t="s">
        <v>2</v>
      </c>
      <c r="AF36" s="1">
        <f>AVERAGE(Tabella3[rest of Italy])</f>
        <v>201.31372549019608</v>
      </c>
      <c r="AS36" s="70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6889.348893877509</v>
      </c>
      <c r="H37" s="10">
        <f>Tabella3[[#This Row],[Lombardy fit]]+Tabella3[[#This Row],[rest of Italy fit]]</f>
        <v>736.35786391643251</v>
      </c>
      <c r="I37" s="98">
        <f>(1/wf)*EXP(-(Tabella3[[#This Row],[Day]]-t0f)/wf)*(Kf^(1-pf)-(1-pf)*EXP(-(Tabella3[[#This Row],[Day]]-t0f)/wf))^(pf/(1-pf))</f>
        <v>738.99511543971596</v>
      </c>
      <c r="J37" s="10">
        <f>Tabella3[[#This Row],[Italy sum]]*NOT(ISBLANK(Tabella3[[#This Row],[Italy]]))</f>
        <v>736.35786391643251</v>
      </c>
      <c r="K37" s="10">
        <f>Tabella3[[#This Row],[Italy fit]]*NOT(ISBLANK(Tabella3[[#This Row],[Italy]]))</f>
        <v>738.99511543971596</v>
      </c>
      <c r="L37" s="10">
        <f>Tabella3[[#This Row],[Italy sum]]+CIw</f>
        <v>884.97750931842199</v>
      </c>
      <c r="M37" s="10">
        <f>MAX(Tabella3[[#This Row],[Italy sum]]-CIw,0)</f>
        <v>587.73821851444302</v>
      </c>
      <c r="N37" s="86">
        <f>Tabella8[[#This Row],[Lombardy]]</f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98">
        <f>(Kl^(1-pl)-(1-pl)*EXP(-(Tabella3[[#This Row],[Day]]-t0l)/wl))^(1/(1-pl))</f>
        <v>4238.3855626936393</v>
      </c>
      <c r="R37" s="98">
        <f>(1/wl)*EXP(-(Tabella3[[#This Row],[Day]]-t0l)/wl)*(Kl^(1-pl)-(1-pl)*EXP(-(Tabella3[[#This Row],[Day]]-t0l)/wl))^(pl/(1-pl))</f>
        <v>409.4702411126537</v>
      </c>
      <c r="S37" s="10">
        <f>Tabella3[[#This Row],[Lombardy fit]]*NOT(ISBLANK(Tabella3[[#This Row],[Lombardy]]))</f>
        <v>409.4702411126537</v>
      </c>
      <c r="T37" s="10">
        <f>Tabella3[[#This Row],[Lombardy fit]]+CIl</f>
        <v>531.68827709754748</v>
      </c>
      <c r="U37" s="10">
        <f>MAX(Tabella3[[#This Row],[Lombardy fit]]-CIl,0)</f>
        <v>287.25220512775996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98">
        <f>(Ka^(1-pa)-(1-pa)*EXP(-(Tabella3[[#This Row],[Day]]-t0a)/wa))^(1/(1-pa))</f>
        <v>2650.9633311838697</v>
      </c>
      <c r="Z37" s="98">
        <f>(1/wa)*EXP(-(Tabella3[[#This Row],[Day]]-t0a)/wa)*(Ka^(1-pa)-(1-pa)*EXP(-(Tabella3[[#This Row],[Day]]-t0a)/wa))^(pa/(1-pa))</f>
        <v>326.88762280377875</v>
      </c>
      <c r="AA37" s="10">
        <f>Tabella3[[#This Row],[rest of Italy fit]]*NOT(ISBLANK(Tabella3[[#This Row],[rest of Italy]]))</f>
        <v>326.88762280377875</v>
      </c>
      <c r="AB37" s="10">
        <f>Tabella3[[#This Row],[rest of Italy fit]]+CIa</f>
        <v>405.78861448887403</v>
      </c>
      <c r="AC37" s="10">
        <f>MAX(Tabella3[[#This Row],[rest of Italy fit]]-CIa,0)</f>
        <v>247.9866311186835</v>
      </c>
      <c r="AE37" s="2" t="s">
        <v>3</v>
      </c>
      <c r="AF37" s="1">
        <f>COUNT(Tabella3[rest of Italy])-COUNT(AF33:AF35,pa)</f>
        <v>47</v>
      </c>
      <c r="AS37" s="70"/>
    </row>
    <row r="38" spans="2:45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7635.7573320540159</v>
      </c>
      <c r="H38" s="10">
        <f>Tabella3[[#This Row],[Lombardy fit]]+Tabella3[[#This Row],[rest of Italy fit]]</f>
        <v>755.55861426586398</v>
      </c>
      <c r="I38" s="98">
        <f>(1/wf)*EXP(-(Tabella3[[#This Row],[Day]]-t0f)/wf)*(Kf^(1-pf)-(1-pf)*EXP(-(Tabella3[[#This Row],[Day]]-t0f)/wf))^(pf/(1-pf))</f>
        <v>758.0554232195442</v>
      </c>
      <c r="J38" s="10">
        <f>Tabella3[[#This Row],[Italy sum]]*NOT(ISBLANK(Tabella3[[#This Row],[Italy]]))</f>
        <v>755.55861426586398</v>
      </c>
      <c r="K38" s="10">
        <f>Tabella3[[#This Row],[Italy fit]]*NOT(ISBLANK(Tabella3[[#This Row],[Italy]]))</f>
        <v>758.0554232195442</v>
      </c>
      <c r="L38" s="10">
        <f>Tabella3[[#This Row],[Italy sum]]+CIw</f>
        <v>904.17825966785347</v>
      </c>
      <c r="M38" s="10">
        <f>MAX(Tabella3[[#This Row],[Italy sum]]-CIw,0)</f>
        <v>606.93896886387449</v>
      </c>
      <c r="N38" s="86">
        <f>Tabella8[[#This Row],[Lombardy]]</f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98">
        <f>(Kl^(1-pl)-(1-pl)*EXP(-(Tabella3[[#This Row],[Day]]-t0l)/wl))^(1/(1-pl))</f>
        <v>4650.3662923056536</v>
      </c>
      <c r="R38" s="98">
        <f>(1/wl)*EXP(-(Tabella3[[#This Row],[Day]]-t0l)/wl)*(Kl^(1-pl)-(1-pl)*EXP(-(Tabella3[[#This Row],[Day]]-t0l)/wl))^(pl/(1-pl))</f>
        <v>413.97853589094905</v>
      </c>
      <c r="S38" s="10">
        <f>Tabella3[[#This Row],[Lombardy fit]]*NOT(ISBLANK(Tabella3[[#This Row],[Lombardy]]))</f>
        <v>413.97853589094905</v>
      </c>
      <c r="T38" s="10">
        <f>Tabella3[[#This Row],[Lombardy fit]]+CIl</f>
        <v>536.19657187584278</v>
      </c>
      <c r="U38" s="10">
        <f>MAX(Tabella3[[#This Row],[Lombardy fit]]-CIl,0)</f>
        <v>291.76049990605532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98">
        <f>(Ka^(1-pa)-(1-pa)*EXP(-(Tabella3[[#This Row],[Day]]-t0a)/wa))^(1/(1-pa))</f>
        <v>2985.3910397483619</v>
      </c>
      <c r="Z38" s="98">
        <f>(1/wa)*EXP(-(Tabella3[[#This Row],[Day]]-t0a)/wa)*(Ka^(1-pa)-(1-pa)*EXP(-(Tabella3[[#This Row],[Day]]-t0a)/wa))^(pa/(1-pa))</f>
        <v>341.58007837491499</v>
      </c>
      <c r="AA38" s="10">
        <f>Tabella3[[#This Row],[rest of Italy fit]]*NOT(ISBLANK(Tabella3[[#This Row],[rest of Italy]]))</f>
        <v>341.58007837491499</v>
      </c>
      <c r="AB38" s="10">
        <f>Tabella3[[#This Row],[rest of Italy fit]]+CIa</f>
        <v>420.48107006001021</v>
      </c>
      <c r="AC38" s="10">
        <f>MAX(Tabella3[[#This Row],[rest of Italy fit]]-CIa,0)</f>
        <v>262.67908668981977</v>
      </c>
      <c r="AE38" s="2" t="s">
        <v>4</v>
      </c>
      <c r="AF38" s="6" cm="1">
        <f t="array" ref="AF38">SQRT(SUM((Tabella3[Colonna33]-Tabella3[Colonna322])^2)/dfa)</f>
        <v>39.220262825453972</v>
      </c>
      <c r="AS38" s="70"/>
    </row>
    <row r="39" spans="2:45" ht="16.2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8398.67357247158</v>
      </c>
      <c r="H39" s="10">
        <f>Tabella3[[#This Row],[Lombardy fit]]+Tabella3[[#This Row],[rest of Italy fit]]</f>
        <v>769.38566727983891</v>
      </c>
      <c r="I39" s="98">
        <f>(1/wf)*EXP(-(Tabella3[[#This Row],[Day]]-t0f)/wf)*(Kf^(1-pf)-(1-pf)*EXP(-(Tabella3[[#This Row],[Day]]-t0f)/wf))^(pf/(1-pf))</f>
        <v>771.63734888324643</v>
      </c>
      <c r="J39" s="10">
        <f>Tabella3[[#This Row],[Italy sum]]*NOT(ISBLANK(Tabella3[[#This Row],[Italy]]))</f>
        <v>769.38566727983891</v>
      </c>
      <c r="K39" s="10">
        <f>Tabella3[[#This Row],[Italy fit]]*NOT(ISBLANK(Tabella3[[#This Row],[Italy]]))</f>
        <v>771.63734888324643</v>
      </c>
      <c r="L39" s="10">
        <f>Tabella3[[#This Row],[Italy sum]]+CIw</f>
        <v>918.0053126818284</v>
      </c>
      <c r="M39" s="10">
        <f>MAX(Tabella3[[#This Row],[Italy sum]]-CIw,0)</f>
        <v>620.76602187784943</v>
      </c>
      <c r="N39" s="86">
        <f>Tabella8[[#This Row],[Lombardy]]</f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98">
        <f>(Kl^(1-pl)-(1-pl)*EXP(-(Tabella3[[#This Row],[Day]]-t0l)/wl))^(1/(1-pl))</f>
        <v>5065.3456514229529</v>
      </c>
      <c r="R39" s="98">
        <f>(1/wl)*EXP(-(Tabella3[[#This Row],[Day]]-t0l)/wl)*(Kl^(1-pl)-(1-pl)*EXP(-(Tabella3[[#This Row],[Day]]-t0l)/wl))^(pl/(1-pl))</f>
        <v>415.49761124476197</v>
      </c>
      <c r="S39" s="10">
        <f>Tabella3[[#This Row],[Lombardy fit]]*NOT(ISBLANK(Tabella3[[#This Row],[Lombardy]]))</f>
        <v>415.49761124476197</v>
      </c>
      <c r="T39" s="10">
        <f>Tabella3[[#This Row],[Lombardy fit]]+CIl</f>
        <v>537.7156472296557</v>
      </c>
      <c r="U39" s="10">
        <f>MAX(Tabella3[[#This Row],[Lombardy fit]]-CIl,0)</f>
        <v>293.27957525986824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98">
        <f>(Ka^(1-pa)-(1-pa)*EXP(-(Tabella3[[#This Row],[Day]]-t0a)/wa))^(1/(1-pa))</f>
        <v>3333.3279210486262</v>
      </c>
      <c r="Z39" s="98">
        <f>(1/wa)*EXP(-(Tabella3[[#This Row],[Day]]-t0a)/wa)*(Ka^(1-pa)-(1-pa)*EXP(-(Tabella3[[#This Row],[Day]]-t0a)/wa))^(pa/(1-pa))</f>
        <v>353.88805603507694</v>
      </c>
      <c r="AA39" s="10">
        <f>Tabella3[[#This Row],[rest of Italy fit]]*NOT(ISBLANK(Tabella3[[#This Row],[rest of Italy]]))</f>
        <v>353.88805603507694</v>
      </c>
      <c r="AB39" s="10">
        <f>Tabella3[[#This Row],[rest of Italy fit]]+CIa</f>
        <v>432.78904772017222</v>
      </c>
      <c r="AC39" s="10">
        <f>MAX(Tabella3[[#This Row],[rest of Italy fit]]-CIa,0)</f>
        <v>274.98706434998167</v>
      </c>
      <c r="AE39" s="2" t="s">
        <v>5</v>
      </c>
      <c r="AF39" s="7" cm="1">
        <f t="array" ref="AF39">1-SUM((Tabella3[Colonna33]-Tabella3[Colonna322])^2)/SUM((Tabella3[Colonna33]-Mean_of_ya)^2)</f>
        <v>0.96360700811860334</v>
      </c>
      <c r="AS39" s="70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9172.779313754545</v>
      </c>
      <c r="H40" s="10">
        <f>Tabella3[[#This Row],[Lombardy fit]]+Tabella3[[#This Row],[rest of Italy fit]]</f>
        <v>777.96796389459973</v>
      </c>
      <c r="I40" s="98">
        <f>(1/wf)*EXP(-(Tabella3[[#This Row],[Day]]-t0f)/wf)*(Kf^(1-pf)-(1-pf)*EXP(-(Tabella3[[#This Row],[Day]]-t0f)/wf))^(pf/(1-pf))</f>
        <v>779.88135347976686</v>
      </c>
      <c r="J40" s="10">
        <f>Tabella3[[#This Row],[Italy sum]]*NOT(ISBLANK(Tabella3[[#This Row],[Italy]]))</f>
        <v>777.96796389459973</v>
      </c>
      <c r="K40" s="10">
        <f>Tabella3[[#This Row],[Italy fit]]*NOT(ISBLANK(Tabella3[[#This Row],[Italy]]))</f>
        <v>779.88135347976686</v>
      </c>
      <c r="L40" s="10">
        <f>Tabella3[[#This Row],[Italy sum]]+CIw</f>
        <v>926.58760929658922</v>
      </c>
      <c r="M40" s="10">
        <f>MAX(Tabella3[[#This Row],[Italy sum]]-CIw,0)</f>
        <v>629.34831849261025</v>
      </c>
      <c r="N40" s="86">
        <f>Tabella8[[#This Row],[Lombardy]]</f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98">
        <f>(Kl^(1-pl)-(1-pl)*EXP(-(Tabella3[[#This Row],[Day]]-t0l)/wl))^(1/(1-pl))</f>
        <v>5480.4326868096514</v>
      </c>
      <c r="R40" s="98">
        <f>(1/wl)*EXP(-(Tabella3[[#This Row],[Day]]-t0l)/wl)*(Kl^(1-pl)-(1-pl)*EXP(-(Tabella3[[#This Row],[Day]]-t0l)/wl))^(pl/(1-pl))</f>
        <v>414.23145911183667</v>
      </c>
      <c r="S40" s="10">
        <f>Tabella3[[#This Row],[Lombardy fit]]*NOT(ISBLANK(Tabella3[[#This Row],[Lombardy]]))</f>
        <v>414.23145911183667</v>
      </c>
      <c r="T40" s="10">
        <f>Tabella3[[#This Row],[Lombardy fit]]+CIl</f>
        <v>536.4494950967304</v>
      </c>
      <c r="U40" s="10">
        <f>MAX(Tabella3[[#This Row],[Lombardy fit]]-CIl,0)</f>
        <v>292.01342312694294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98">
        <f>(Ka^(1-pa)-(1-pa)*EXP(-(Tabella3[[#This Row],[Day]]-t0a)/wa))^(1/(1-pa))</f>
        <v>3692.3466269448927</v>
      </c>
      <c r="Z40" s="98">
        <f>(1/wa)*EXP(-(Tabella3[[#This Row],[Day]]-t0a)/wa)*(Ka^(1-pa)-(1-pa)*EXP(-(Tabella3[[#This Row],[Day]]-t0a)/wa))^(pa/(1-pa))</f>
        <v>363.73650478276312</v>
      </c>
      <c r="AA40" s="10">
        <f>Tabella3[[#This Row],[rest of Italy fit]]*NOT(ISBLANK(Tabella3[[#This Row],[rest of Italy]]))</f>
        <v>363.73650478276312</v>
      </c>
      <c r="AB40" s="10">
        <f>Tabella3[[#This Row],[rest of Italy fit]]+CIa</f>
        <v>442.63749646785834</v>
      </c>
      <c r="AC40" s="10">
        <f>MAX(Tabella3[[#This Row],[rest of Italy fit]]-CIa,0)</f>
        <v>284.8355130976679</v>
      </c>
      <c r="AE40" s="2" t="s">
        <v>6</v>
      </c>
      <c r="AF40" s="7">
        <f>TINV(0.05,dfa)</f>
        <v>2.0117405137297668</v>
      </c>
      <c r="AS40" s="70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9952.9363505499623</v>
      </c>
      <c r="H41" s="10">
        <f>Tabella3[[#This Row],[Lombardy fit]]+Tabella3[[#This Row],[rest of Italy fit]]</f>
        <v>781.53344301645848</v>
      </c>
      <c r="I41" s="98">
        <f>(1/wf)*EXP(-(Tabella3[[#This Row],[Day]]-t0f)/wf)*(Kf^(1-pf)-(1-pf)*EXP(-(Tabella3[[#This Row],[Day]]-t0f)/wf))^(pf/(1-pf))</f>
        <v>783.02978459396161</v>
      </c>
      <c r="J41" s="10">
        <f>Tabella3[[#This Row],[Italy sum]]*NOT(ISBLANK(Tabella3[[#This Row],[Italy]]))</f>
        <v>781.53344301645848</v>
      </c>
      <c r="K41" s="10">
        <f>Tabella3[[#This Row],[Italy fit]]*NOT(ISBLANK(Tabella3[[#This Row],[Italy]]))</f>
        <v>783.02978459396161</v>
      </c>
      <c r="L41" s="10">
        <f>Tabella3[[#This Row],[Italy sum]]+CIw</f>
        <v>930.15308841844796</v>
      </c>
      <c r="M41" s="10">
        <f>MAX(Tabella3[[#This Row],[Italy sum]]-CIw,0)</f>
        <v>632.91379761446899</v>
      </c>
      <c r="N41" s="86">
        <f>Tabella8[[#This Row],[Lombardy]]</f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98">
        <f>(Kl^(1-pl)-(1-pl)*EXP(-(Tabella3[[#This Row],[Day]]-t0l)/wl))^(1/(1-pl))</f>
        <v>5892.9605010602618</v>
      </c>
      <c r="R41" s="98">
        <f>(1/wl)*EXP(-(Tabella3[[#This Row],[Day]]-t0l)/wl)*(Kl^(1-pl)-(1-pl)*EXP(-(Tabella3[[#This Row],[Day]]-t0l)/wl))^(pl/(1-pl))</f>
        <v>410.42192143686316</v>
      </c>
      <c r="S41" s="10">
        <f>Tabella3[[#This Row],[Lombardy fit]]*NOT(ISBLANK(Tabella3[[#This Row],[Lombardy]]))</f>
        <v>410.42192143686316</v>
      </c>
      <c r="T41" s="10">
        <f>Tabella3[[#This Row],[Lombardy fit]]+CIl</f>
        <v>532.63995742175689</v>
      </c>
      <c r="U41" s="10">
        <f>MAX(Tabella3[[#This Row],[Lombardy fit]]-CIl,0)</f>
        <v>288.20388545196943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98">
        <f>(Ka^(1-pa)-(1-pa)*EXP(-(Tabella3[[#This Row],[Day]]-t0a)/wa))^(1/(1-pa))</f>
        <v>4059.975849489701</v>
      </c>
      <c r="Z41" s="98">
        <f>(1/wa)*EXP(-(Tabella3[[#This Row],[Day]]-t0a)/wa)*(Ka^(1-pa)-(1-pa)*EXP(-(Tabella3[[#This Row],[Day]]-t0a)/wa))^(pa/(1-pa))</f>
        <v>371.11152157959532</v>
      </c>
      <c r="AA41" s="10">
        <f>Tabella3[[#This Row],[rest of Italy fit]]*NOT(ISBLANK(Tabella3[[#This Row],[rest of Italy]]))</f>
        <v>371.11152157959532</v>
      </c>
      <c r="AB41" s="10">
        <f>Tabella3[[#This Row],[rest of Italy fit]]+CIa</f>
        <v>450.0125132646906</v>
      </c>
      <c r="AC41" s="10">
        <f>MAX(Tabella3[[#This Row],[rest of Italy fit]]-CIa,0)</f>
        <v>292.21052989450004</v>
      </c>
      <c r="AE41" s="2" t="s">
        <v>7</v>
      </c>
      <c r="AF41" s="1">
        <f>Critical_ta*SE_of_ya</f>
        <v>78.900991685095249</v>
      </c>
      <c r="AS41" s="70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10734.275591795893</v>
      </c>
      <c r="H42" s="10">
        <f>Tabella3[[#This Row],[Lombardy fit]]+Tabella3[[#This Row],[rest of Italy fit]]</f>
        <v>780.38907246728718</v>
      </c>
      <c r="I42" s="98">
        <f>(1/wf)*EXP(-(Tabella3[[#This Row],[Day]]-t0f)/wf)*(Kf^(1-pf)-(1-pf)*EXP(-(Tabella3[[#This Row],[Day]]-t0f)/wf))^(pf/(1-pf))</f>
        <v>781.40577157216103</v>
      </c>
      <c r="J42" s="10">
        <f>Tabella3[[#This Row],[Italy sum]]*NOT(ISBLANK(Tabella3[[#This Row],[Italy]]))</f>
        <v>780.38907246728718</v>
      </c>
      <c r="K42" s="10">
        <f>Tabella3[[#This Row],[Italy fit]]*NOT(ISBLANK(Tabella3[[#This Row],[Italy]]))</f>
        <v>781.40577157216103</v>
      </c>
      <c r="L42" s="10">
        <f>Tabella3[[#This Row],[Italy sum]]+CIw</f>
        <v>929.00871786927667</v>
      </c>
      <c r="M42" s="10">
        <f>MAX(Tabella3[[#This Row],[Italy sum]]-CIw,0)</f>
        <v>631.76942706529769</v>
      </c>
      <c r="N42" s="86">
        <f>Tabella8[[#This Row],[Lombardy]]</f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98">
        <f>(Kl^(1-pl)-(1-pl)*EXP(-(Tabella3[[#This Row],[Day]]-t0l)/wl))^(1/(1-pl))</f>
        <v>6300.517472904362</v>
      </c>
      <c r="R42" s="98">
        <f>(1/wl)*EXP(-(Tabella3[[#This Row],[Day]]-t0l)/wl)*(Kl^(1-pl)-(1-pl)*EXP(-(Tabella3[[#This Row],[Day]]-t0l)/wl))^(pl/(1-pl))</f>
        <v>404.3356460864743</v>
      </c>
      <c r="S42" s="10">
        <f>Tabella3[[#This Row],[Lombardy fit]]*NOT(ISBLANK(Tabella3[[#This Row],[Lombardy]]))</f>
        <v>404.3356460864743</v>
      </c>
      <c r="T42" s="10">
        <f>Tabella3[[#This Row],[Lombardy fit]]+CIl</f>
        <v>526.55368207136803</v>
      </c>
      <c r="U42" s="10">
        <f>MAX(Tabella3[[#This Row],[Lombardy fit]]-CIl,0)</f>
        <v>282.11761010158057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98">
        <f>(Ka^(1-pa)-(1-pa)*EXP(-(Tabella3[[#This Row],[Day]]-t0a)/wa))^(1/(1-pa))</f>
        <v>4433.758118891531</v>
      </c>
      <c r="Z42" s="98">
        <f>(1/wa)*EXP(-(Tabella3[[#This Row],[Day]]-t0a)/wa)*(Ka^(1-pa)-(1-pa)*EXP(-(Tabella3[[#This Row],[Day]]-t0a)/wa))^(pa/(1-pa))</f>
        <v>376.05342638081294</v>
      </c>
      <c r="AA42" s="10">
        <f>Tabella3[[#This Row],[rest of Italy fit]]*NOT(ISBLANK(Tabella3[[#This Row],[rest of Italy]]))</f>
        <v>376.05342638081294</v>
      </c>
      <c r="AB42" s="10">
        <f>Tabella3[[#This Row],[rest of Italy fit]]+CIa</f>
        <v>454.95441806590816</v>
      </c>
      <c r="AC42" s="10">
        <f>MAX(Tabella3[[#This Row],[rest of Italy fit]]-CIa,0)</f>
        <v>297.15243469571772</v>
      </c>
      <c r="AE42" s="48" t="s">
        <v>113</v>
      </c>
      <c r="AF42" s="100">
        <f>(Ka^(1-pa)-(1-pa))^(pa/(1-pa))/wa</f>
        <v>379.13553071586705</v>
      </c>
      <c r="AS42" s="71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11512.266237664062</v>
      </c>
      <c r="H43" s="10">
        <f>Tabella3[[#This Row],[Lombardy fit]]+Tabella3[[#This Row],[rest of Italy fit]]</f>
        <v>774.90129581286885</v>
      </c>
      <c r="I43" s="98">
        <f>(1/wf)*EXP(-(Tabella3[[#This Row],[Day]]-t0f)/wf)*(Kf^(1-pf)-(1-pf)*EXP(-(Tabella3[[#This Row],[Day]]-t0f)/wf))^(pf/(1-pf))</f>
        <v>775.39263469254388</v>
      </c>
      <c r="J43" s="10">
        <f>Tabella3[[#This Row],[Italy sum]]*NOT(ISBLANK(Tabella3[[#This Row],[Italy]]))</f>
        <v>774.90129581286885</v>
      </c>
      <c r="K43" s="10">
        <f>Tabella3[[#This Row],[Italy fit]]*NOT(ISBLANK(Tabella3[[#This Row],[Italy]]))</f>
        <v>775.39263469254388</v>
      </c>
      <c r="L43" s="10">
        <f>Tabella3[[#This Row],[Italy sum]]+CIw</f>
        <v>923.52094121485834</v>
      </c>
      <c r="M43" s="10">
        <f>MAX(Tabella3[[#This Row],[Italy sum]]-CIw,0)</f>
        <v>626.28165041087937</v>
      </c>
      <c r="N43" s="86">
        <f>Tabella8[[#This Row],[Lombardy]]</f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98">
        <f>(Kl^(1-pl)-(1-pl)*EXP(-(Tabella3[[#This Row],[Day]]-t0l)/wl))^(1/(1-pl))</f>
        <v>6700.9661376353952</v>
      </c>
      <c r="R43" s="98">
        <f>(1/wl)*EXP(-(Tabella3[[#This Row],[Day]]-t0l)/wl)*(Kl^(1-pl)-(1-pl)*EXP(-(Tabella3[[#This Row],[Day]]-t0l)/wl))^(pl/(1-pl))</f>
        <v>396.25251017660997</v>
      </c>
      <c r="S43" s="10">
        <f>Tabella3[[#This Row],[Lombardy fit]]*NOT(ISBLANK(Tabella3[[#This Row],[Lombardy]]))</f>
        <v>396.25251017660997</v>
      </c>
      <c r="T43" s="10">
        <f>Tabella3[[#This Row],[Lombardy fit]]+CIl</f>
        <v>518.47054616150376</v>
      </c>
      <c r="U43" s="10">
        <f>MAX(Tabella3[[#This Row],[Lombardy fit]]-CIl,0)</f>
        <v>274.03447419171624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98">
        <f>(Ka^(1-pa)-(1-pa)*EXP(-(Tabella3[[#This Row],[Day]]-t0a)/wa))^(1/(1-pa))</f>
        <v>4811.3001000286658</v>
      </c>
      <c r="Z43" s="98">
        <f>(1/wa)*EXP(-(Tabella3[[#This Row],[Day]]-t0a)/wa)*(Ka^(1-pa)-(1-pa)*EXP(-(Tabella3[[#This Row],[Day]]-t0a)/wa))^(pa/(1-pa))</f>
        <v>378.64878563625888</v>
      </c>
      <c r="AA43" s="10">
        <f>Tabella3[[#This Row],[rest of Italy fit]]*NOT(ISBLANK(Tabella3[[#This Row],[rest of Italy]]))</f>
        <v>378.64878563625888</v>
      </c>
      <c r="AB43" s="10">
        <f>Tabella3[[#This Row],[rest of Italy fit]]+CIa</f>
        <v>457.5497773213541</v>
      </c>
      <c r="AC43" s="10">
        <f>MAX(Tabella3[[#This Row],[rest of Italy fit]]-CIa,0)</f>
        <v>299.74779395116366</v>
      </c>
      <c r="AE43" s="48" t="s">
        <v>145</v>
      </c>
      <c r="AF43" s="49">
        <f>_xlfn.XLOOKUP(ROUND(t0a,0),Tabella3[Day],Tabella3[Date])</f>
        <v>43921</v>
      </c>
      <c r="AS43" s="75">
        <f>MAX($AF$52)</f>
        <v>0.96510970300598142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12282.76597366746</v>
      </c>
      <c r="H44" s="10">
        <f>Tabella3[[#This Row],[Lombardy fit]]+Tabella3[[#This Row],[rest of Italy fit]]</f>
        <v>765.47770551383655</v>
      </c>
      <c r="I44" s="98">
        <f>(1/wf)*EXP(-(Tabella3[[#This Row],[Day]]-t0f)/wf)*(Kf^(1-pf)-(1-pf)*EXP(-(Tabella3[[#This Row],[Day]]-t0f)/wf))^(pf/(1-pf))</f>
        <v>765.41467078572714</v>
      </c>
      <c r="J44" s="10">
        <f>Tabella3[[#This Row],[Italy sum]]*NOT(ISBLANK(Tabella3[[#This Row],[Italy]]))</f>
        <v>765.47770551383655</v>
      </c>
      <c r="K44" s="10">
        <f>Tabella3[[#This Row],[Italy fit]]*NOT(ISBLANK(Tabella3[[#This Row],[Italy]]))</f>
        <v>765.41467078572714</v>
      </c>
      <c r="L44" s="10">
        <f>Tabella3[[#This Row],[Italy sum]]+CIw</f>
        <v>914.09735091582604</v>
      </c>
      <c r="M44" s="10">
        <f>MAX(Tabella3[[#This Row],[Italy sum]]-CIw,0)</f>
        <v>616.85806011184707</v>
      </c>
      <c r="N44" s="86">
        <f>Tabella8[[#This Row],[Lombardy]]</f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98">
        <f>(Kl^(1-pl)-(1-pl)*EXP(-(Tabella3[[#This Row],[Day]]-t0l)/wl))^(1/(1-pl))</f>
        <v>7092.4513366438523</v>
      </c>
      <c r="R44" s="98">
        <f>(1/wl)*EXP(-(Tabella3[[#This Row],[Day]]-t0l)/wl)*(Kl^(1-pl)-(1-pl)*EXP(-(Tabella3[[#This Row],[Day]]-t0l)/wl))^(pl/(1-pl))</f>
        <v>386.4557406935794</v>
      </c>
      <c r="S44" s="10">
        <f>Tabella3[[#This Row],[Lombardy fit]]*NOT(ISBLANK(Tabella3[[#This Row],[Lombardy]]))</f>
        <v>386.4557406935794</v>
      </c>
      <c r="T44" s="10">
        <f>Tabella3[[#This Row],[Lombardy fit]]+CIl</f>
        <v>508.67377667847313</v>
      </c>
      <c r="U44" s="10">
        <f>MAX(Tabella3[[#This Row],[Lombardy fit]]-CIl,0)</f>
        <v>264.23770470868567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98">
        <f>(Ka^(1-pa)-(1-pa)*EXP(-(Tabella3[[#This Row],[Day]]-t0a)/wa))^(1/(1-pa))</f>
        <v>5190.3146370236072</v>
      </c>
      <c r="Z44" s="98">
        <f>(1/wa)*EXP(-(Tabella3[[#This Row],[Day]]-t0a)/wa)*(Ka^(1-pa)-(1-pa)*EXP(-(Tabella3[[#This Row],[Day]]-t0a)/wa))^(pa/(1-pa))</f>
        <v>379.02196482025715</v>
      </c>
      <c r="AA44" s="10">
        <f>Tabella3[[#This Row],[rest of Italy fit]]*NOT(ISBLANK(Tabella3[[#This Row],[rest of Italy]]))</f>
        <v>379.02196482025715</v>
      </c>
      <c r="AB44" s="10">
        <f>Tabella3[[#This Row],[rest of Italy fit]]+CIa</f>
        <v>457.92295650535243</v>
      </c>
      <c r="AC44" s="10">
        <f>MAX(Tabella3[[#This Row],[rest of Italy fit]]-CIa,0)</f>
        <v>300.12097313516188</v>
      </c>
      <c r="AE44" s="94" t="s">
        <v>151</v>
      </c>
      <c r="AF44" s="97">
        <f>po</f>
        <v>0.99999899999999997</v>
      </c>
      <c r="AS44" s="76">
        <f>COUNT($AF$46,$AF$47,$AF$48)</f>
        <v>3</v>
      </c>
    </row>
    <row r="45" spans="2:45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13042.053666108171</v>
      </c>
      <c r="H45" s="10">
        <f>Tabella3[[#This Row],[Lombardy fit]]+Tabella3[[#This Row],[rest of Italy fit]]</f>
        <v>752.55049670521134</v>
      </c>
      <c r="I45" s="98">
        <f>(1/wf)*EXP(-(Tabella3[[#This Row],[Day]]-t0f)/wf)*(Kf^(1-pf)-(1-pf)*EXP(-(Tabella3[[#This Row],[Day]]-t0f)/wf))^(pf/(1-pf))</f>
        <v>751.91989678115192</v>
      </c>
      <c r="J45" s="10">
        <f>Tabella3[[#This Row],[Italy sum]]*NOT(ISBLANK(Tabella3[[#This Row],[Italy]]))</f>
        <v>752.55049670521134</v>
      </c>
      <c r="K45" s="10">
        <f>Tabella3[[#This Row],[Italy fit]]*NOT(ISBLANK(Tabella3[[#This Row],[Italy]]))</f>
        <v>751.91989678115192</v>
      </c>
      <c r="L45" s="10">
        <f>Tabella3[[#This Row],[Italy sum]]+CIw</f>
        <v>901.17014210720083</v>
      </c>
      <c r="M45" s="10">
        <f>MAX(Tabella3[[#This Row],[Italy sum]]-CIw,0)</f>
        <v>603.93085130322186</v>
      </c>
      <c r="N45" s="86">
        <f>Tabella8[[#This Row],[Lombardy]]</f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98">
        <f>(Kl^(1-pl)-(1-pl)*EXP(-(Tabella3[[#This Row],[Day]]-t0l)/wl))^(1/(1-pl))</f>
        <v>7473.399357183067</v>
      </c>
      <c r="R45" s="98">
        <f>(1/wl)*EXP(-(Tabella3[[#This Row],[Day]]-t0l)/wl)*(Kl^(1-pl)-(1-pl)*EXP(-(Tabella3[[#This Row],[Day]]-t0l)/wl))^(pl/(1-pl))</f>
        <v>375.22380734812577</v>
      </c>
      <c r="S45" s="10">
        <f>Tabella3[[#This Row],[Lombardy fit]]*NOT(ISBLANK(Tabella3[[#This Row],[Lombardy]]))</f>
        <v>375.22380734812577</v>
      </c>
      <c r="T45" s="10">
        <f>Tabella3[[#This Row],[Lombardy fit]]+CIl</f>
        <v>497.44184333301951</v>
      </c>
      <c r="U45" s="10">
        <f>MAX(Tabella3[[#This Row],[Lombardy fit]]-CIl,0)</f>
        <v>253.00577136323204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98">
        <f>(Ka^(1-pa)-(1-pa)*EXP(-(Tabella3[[#This Row],[Day]]-t0a)/wa))^(1/(1-pa))</f>
        <v>5568.6543089251054</v>
      </c>
      <c r="Z45" s="98">
        <f>(1/wa)*EXP(-(Tabella3[[#This Row],[Day]]-t0a)/wa)*(Ka^(1-pa)-(1-pa)*EXP(-(Tabella3[[#This Row],[Day]]-t0a)/wa))^(pa/(1-pa))</f>
        <v>377.32668935708551</v>
      </c>
      <c r="AA45" s="10">
        <f>Tabella3[[#This Row],[rest of Italy fit]]*NOT(ISBLANK(Tabella3[[#This Row],[rest of Italy]]))</f>
        <v>377.32668935708551</v>
      </c>
      <c r="AB45" s="10">
        <f>Tabella3[[#This Row],[rest of Italy fit]]+CIa</f>
        <v>456.22768104218073</v>
      </c>
      <c r="AC45" s="10">
        <f>MAX(Tabella3[[#This Row],[rest of Italy fit]]-CIa,0)</f>
        <v>298.42569767199029</v>
      </c>
      <c r="AE45" s="50" t="s">
        <v>146</v>
      </c>
      <c r="AF45" s="21" t="s">
        <v>88</v>
      </c>
      <c r="AS45" s="76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13786.846576526243</v>
      </c>
      <c r="H46" s="10">
        <f>Tabella3[[#This Row],[Lombardy fit]]+Tabella3[[#This Row],[rest of Italy fit]]</f>
        <v>736.56203987224285</v>
      </c>
      <c r="I46" s="98">
        <f>(1/wf)*EXP(-(Tabella3[[#This Row],[Day]]-t0f)/wf)*(Kf^(1-pf)-(1-pf)*EXP(-(Tabella3[[#This Row],[Day]]-t0f)/wf))^(pf/(1-pf))</f>
        <v>735.36509119140521</v>
      </c>
      <c r="J46" s="10">
        <f>Tabella3[[#This Row],[Italy sum]]*NOT(ISBLANK(Tabella3[[#This Row],[Italy]]))</f>
        <v>736.56203987224285</v>
      </c>
      <c r="K46" s="10">
        <f>Tabella3[[#This Row],[Italy fit]]*NOT(ISBLANK(Tabella3[[#This Row],[Italy]]))</f>
        <v>735.36509119140521</v>
      </c>
      <c r="L46" s="10">
        <f>Tabella3[[#This Row],[Italy sum]]+CIw</f>
        <v>885.18168527423234</v>
      </c>
      <c r="M46" s="10">
        <f>MAX(Tabella3[[#This Row],[Italy sum]]-CIw,0)</f>
        <v>587.94239447025336</v>
      </c>
      <c r="N46" s="86">
        <f>Tabella8[[#This Row],[Lombardy]]</f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98">
        <f>(Kl^(1-pl)-(1-pl)*EXP(-(Tabella3[[#This Row],[Day]]-t0l)/wl))^(1/(1-pl))</f>
        <v>7842.5098554608367</v>
      </c>
      <c r="R46" s="98">
        <f>(1/wl)*EXP(-(Tabella3[[#This Row],[Day]]-t0l)/wl)*(Kl^(1-pl)-(1-pl)*EXP(-(Tabella3[[#This Row],[Day]]-t0l)/wl))^(pl/(1-pl))</f>
        <v>362.82405069799563</v>
      </c>
      <c r="S46" s="10">
        <f>Tabella3[[#This Row],[Lombardy fit]]*NOT(ISBLANK(Tabella3[[#This Row],[Lombardy]]))</f>
        <v>362.82405069799563</v>
      </c>
      <c r="T46" s="10">
        <f>Tabella3[[#This Row],[Lombardy fit]]+CIl</f>
        <v>485.04208668288936</v>
      </c>
      <c r="U46" s="10">
        <f>MAX(Tabella3[[#This Row],[Lombardy fit]]-CIl,0)</f>
        <v>240.6060147131019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98">
        <f>(Ka^(1-pa)-(1-pa)*EXP(-(Tabella3[[#This Row],[Day]]-t0a)/wa))^(1/(1-pa))</f>
        <v>5944.336721065406</v>
      </c>
      <c r="Z46" s="98">
        <f>(1/wa)*EXP(-(Tabella3[[#This Row],[Day]]-t0a)/wa)*(Ka^(1-pa)-(1-pa)*EXP(-(Tabella3[[#This Row],[Day]]-t0a)/wa))^(pa/(1-pa))</f>
        <v>373.73798917424722</v>
      </c>
      <c r="AA46" s="10">
        <f>Tabella3[[#This Row],[rest of Italy fit]]*NOT(ISBLANK(Tabella3[[#This Row],[rest of Italy]]))</f>
        <v>373.73798917424722</v>
      </c>
      <c r="AB46" s="10">
        <f>Tabella3[[#This Row],[rest of Italy fit]]+CIa</f>
        <v>452.6389808593425</v>
      </c>
      <c r="AC46" s="10">
        <f>MAX(Tabella3[[#This Row],[rest of Italy fit]]-CIa,0)</f>
        <v>294.83699748915194</v>
      </c>
      <c r="AE46" s="17" t="s">
        <v>0</v>
      </c>
      <c r="AF46" s="5">
        <f>Kt</f>
        <v>27406.824701797748</v>
      </c>
      <c r="AS46" s="76">
        <f>{0;0;1;100;0;FALSE;FALSE;0.075;0;0;FALSE;30}</f>
        <v>0</v>
      </c>
    </row>
    <row r="47" spans="2:45" ht="15.6" x14ac:dyDescent="0.35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14514.304260629418</v>
      </c>
      <c r="H47" s="10">
        <f>Tabella3[[#This Row],[Lombardy fit]]+Tabella3[[#This Row],[rest of Italy fit]]</f>
        <v>717.95271953135443</v>
      </c>
      <c r="I47" s="98">
        <f>(1/wf)*EXP(-(Tabella3[[#This Row],[Day]]-t0f)/wf)*(Kf^(1-pf)-(1-pf)*EXP(-(Tabella3[[#This Row],[Day]]-t0f)/wf))^(pf/(1-pf))</f>
        <v>716.20327789445957</v>
      </c>
      <c r="J47" s="10">
        <f>Tabella3[[#This Row],[Italy sum]]*NOT(ISBLANK(Tabella3[[#This Row],[Italy]]))</f>
        <v>717.95271953135443</v>
      </c>
      <c r="K47" s="10">
        <f>Tabella3[[#This Row],[Italy fit]]*NOT(ISBLANK(Tabella3[[#This Row],[Italy]]))</f>
        <v>716.20327789445957</v>
      </c>
      <c r="L47" s="10">
        <f>Tabella3[[#This Row],[Italy sum]]+CIw</f>
        <v>866.57236493334392</v>
      </c>
      <c r="M47" s="10">
        <f>MAX(Tabella3[[#This Row],[Italy sum]]-CIw,0)</f>
        <v>569.33307412936495</v>
      </c>
      <c r="N47" s="86">
        <f>Tabella8[[#This Row],[Lombardy]]</f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98">
        <f>(Kl^(1-pl)-(1-pl)*EXP(-(Tabella3[[#This Row],[Day]]-t0l)/wl))^(1/(1-pl))</f>
        <v>8198.7422168066169</v>
      </c>
      <c r="R47" s="98">
        <f>(1/wl)*EXP(-(Tabella3[[#This Row],[Day]]-t0l)/wl)*(Kl^(1-pl)-(1-pl)*EXP(-(Tabella3[[#This Row],[Day]]-t0l)/wl))^(pl/(1-pl))</f>
        <v>349.50792422362952</v>
      </c>
      <c r="S47" s="10">
        <f>Tabella3[[#This Row],[Lombardy fit]]*NOT(ISBLANK(Tabella3[[#This Row],[Lombardy]]))</f>
        <v>349.50792422362952</v>
      </c>
      <c r="T47" s="10">
        <f>Tabella3[[#This Row],[Lombardy fit]]+CIl</f>
        <v>471.72596020852325</v>
      </c>
      <c r="U47" s="10">
        <f>MAX(Tabella3[[#This Row],[Lombardy fit]]-CIl,0)</f>
        <v>227.28988823873578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98">
        <f>(Ka^(1-pa)-(1-pa)*EXP(-(Tabella3[[#This Row],[Day]]-t0a)/wa))^(1/(1-pa))</f>
        <v>6315.5620438228007</v>
      </c>
      <c r="Z47" s="98">
        <f>(1/wa)*EXP(-(Tabella3[[#This Row],[Day]]-t0a)/wa)*(Ka^(1-pa)-(1-pa)*EXP(-(Tabella3[[#This Row],[Day]]-t0a)/wa))^(pa/(1-pa))</f>
        <v>368.44479530772497</v>
      </c>
      <c r="AA47" s="10">
        <f>Tabella3[[#This Row],[rest of Italy fit]]*NOT(ISBLANK(Tabella3[[#This Row],[rest of Italy]]))</f>
        <v>368.44479530772497</v>
      </c>
      <c r="AB47" s="10">
        <f>Tabella3[[#This Row],[rest of Italy fit]]+CIa</f>
        <v>447.34578699282019</v>
      </c>
      <c r="AC47" s="10">
        <f>MAX(Tabella3[[#This Row],[rest of Italy fit]]-CIa,0)</f>
        <v>289.54380362262975</v>
      </c>
      <c r="AE47" s="17" t="s">
        <v>24</v>
      </c>
      <c r="AF47" s="35">
        <f>t0t</f>
        <v>33.148039140212759</v>
      </c>
      <c r="AS47" s="76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15222.02145080331</v>
      </c>
      <c r="H48" s="10">
        <f>Tabella3[[#This Row],[Lombardy fit]]+Tabella3[[#This Row],[rest of Italy fit]]</f>
        <v>697.15104464197657</v>
      </c>
      <c r="I48" s="98">
        <f>(1/wf)*EXP(-(Tabella3[[#This Row],[Day]]-t0f)/wf)*(Kf^(1-pf)-(1-pf)*EXP(-(Tabella3[[#This Row],[Day]]-t0f)/wf))^(pf/(1-pf))</f>
        <v>694.87363531306789</v>
      </c>
      <c r="J48" s="10">
        <f>Tabella3[[#This Row],[Italy sum]]*NOT(ISBLANK(Tabella3[[#This Row],[Italy]]))</f>
        <v>697.15104464197657</v>
      </c>
      <c r="K48" s="10">
        <f>Tabella3[[#This Row],[Italy fit]]*NOT(ISBLANK(Tabella3[[#This Row],[Italy]]))</f>
        <v>694.87363531306789</v>
      </c>
      <c r="L48" s="10">
        <f>Tabella3[[#This Row],[Italy sum]]+CIw</f>
        <v>845.77069004396606</v>
      </c>
      <c r="M48" s="10">
        <f>MAX(Tabella3[[#This Row],[Italy sum]]-CIw,0)</f>
        <v>548.53139923998708</v>
      </c>
      <c r="N48" s="86">
        <f>Tabella8[[#This Row],[Lombardy]]</f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98">
        <f>(Kl^(1-pl)-(1-pl)*EXP(-(Tabella3[[#This Row],[Day]]-t0l)/wl))^(1/(1-pl))</f>
        <v>8541.297902532966</v>
      </c>
      <c r="R48" s="98">
        <f>(1/wl)*EXP(-(Tabella3[[#This Row],[Day]]-t0l)/wl)*(Kl^(1-pl)-(1-pl)*EXP(-(Tabella3[[#This Row],[Day]]-t0l)/wl))^(pl/(1-pl))</f>
        <v>335.50768056892116</v>
      </c>
      <c r="S48" s="10">
        <f>Tabella3[[#This Row],[Lombardy fit]]*NOT(ISBLANK(Tabella3[[#This Row],[Lombardy]]))</f>
        <v>335.50768056892116</v>
      </c>
      <c r="T48" s="10">
        <f>Tabella3[[#This Row],[Lombardy fit]]+CIl</f>
        <v>457.72571655381489</v>
      </c>
      <c r="U48" s="10">
        <f>MAX(Tabella3[[#This Row],[Lombardy fit]]-CIl,0)</f>
        <v>213.28964458402743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98">
        <f>(Ka^(1-pa)-(1-pa)*EXP(-(Tabella3[[#This Row],[Day]]-t0a)/wa))^(1/(1-pa))</f>
        <v>6680.7235482703436</v>
      </c>
      <c r="Z48" s="98">
        <f>(1/wa)*EXP(-(Tabella3[[#This Row],[Day]]-t0a)/wa)*(Ka^(1-pa)-(1-pa)*EXP(-(Tabella3[[#This Row],[Day]]-t0a)/wa))^(pa/(1-pa))</f>
        <v>361.64336407305541</v>
      </c>
      <c r="AA48" s="10">
        <f>Tabella3[[#This Row],[rest of Italy fit]]*NOT(ISBLANK(Tabella3[[#This Row],[rest of Italy]]))</f>
        <v>361.64336407305541</v>
      </c>
      <c r="AB48" s="10">
        <f>Tabella3[[#This Row],[rest of Italy fit]]+CIa</f>
        <v>440.54435575815069</v>
      </c>
      <c r="AC48" s="10">
        <f>MAX(Tabella3[[#This Row],[rest of Italy fit]]-CIa,0)</f>
        <v>282.74237238796013</v>
      </c>
      <c r="AE48" s="17" t="s">
        <v>1</v>
      </c>
      <c r="AF48" s="35">
        <f>wt</f>
        <v>12.875301537692881</v>
      </c>
      <c r="AG48" s="6"/>
      <c r="AS48" s="77"/>
    </row>
    <row r="49" spans="2:34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15908.012152569743</v>
      </c>
      <c r="H49" s="10">
        <f>Tabella3[[#This Row],[Lombardy fit]]+Tabella3[[#This Row],[rest of Italy fit]]</f>
        <v>674.56592793159109</v>
      </c>
      <c r="I49" s="98">
        <f>(1/wf)*EXP(-(Tabella3[[#This Row],[Day]]-t0f)/wf)*(Kf^(1-pf)-(1-pf)*EXP(-(Tabella3[[#This Row],[Day]]-t0f)/wf))^(pf/(1-pf))</f>
        <v>671.79370407867623</v>
      </c>
      <c r="J49" s="10">
        <f>Tabella3[[#This Row],[Italy sum]]*NOT(ISBLANK(Tabella3[[#This Row],[Italy]]))</f>
        <v>674.56592793159109</v>
      </c>
      <c r="K49" s="10">
        <f>Tabella3[[#This Row],[Italy fit]]*NOT(ISBLANK(Tabella3[[#This Row],[Italy]]))</f>
        <v>671.79370407867623</v>
      </c>
      <c r="L49" s="10">
        <f>Tabella3[[#This Row],[Italy sum]]+CIw</f>
        <v>823.18557333358058</v>
      </c>
      <c r="M49" s="10">
        <f>MAX(Tabella3[[#This Row],[Italy sum]]-CIw,0)</f>
        <v>525.9462825296016</v>
      </c>
      <c r="N49" s="86">
        <f>Tabella8[[#This Row],[Lombardy]]</f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98">
        <f>(Kl^(1-pl)-(1-pl)*EXP(-(Tabella3[[#This Row],[Day]]-t0l)/wl))^(1/(1-pl))</f>
        <v>8869.6001160383694</v>
      </c>
      <c r="R49" s="98">
        <f>(1/wl)*EXP(-(Tabella3[[#This Row],[Day]]-t0l)/wl)*(Kl^(1-pl)-(1-pl)*EXP(-(Tabella3[[#This Row],[Day]]-t0l)/wl))^(pl/(1-pl))</f>
        <v>321.03430378689018</v>
      </c>
      <c r="S49" s="10">
        <f>Tabella3[[#This Row],[Lombardy fit]]*NOT(ISBLANK(Tabella3[[#This Row],[Lombardy]]))</f>
        <v>321.03430378689018</v>
      </c>
      <c r="T49" s="10">
        <f>Tabella3[[#This Row],[Lombardy fit]]+CIl</f>
        <v>443.25233977178391</v>
      </c>
      <c r="U49" s="10">
        <f>MAX(Tabella3[[#This Row],[Lombardy fit]]-CIl,0)</f>
        <v>198.81626780199645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98">
        <f>(Ka^(1-pa)-(1-pa)*EXP(-(Tabella3[[#This Row],[Day]]-t0a)/wa))^(1/(1-pa))</f>
        <v>7038.4120365313747</v>
      </c>
      <c r="Z49" s="98">
        <f>(1/wa)*EXP(-(Tabella3[[#This Row],[Day]]-t0a)/wa)*(Ka^(1-pa)-(1-pa)*EXP(-(Tabella3[[#This Row],[Day]]-t0a)/wa))^(pa/(1-pa))</f>
        <v>353.53162414470091</v>
      </c>
      <c r="AA49" s="10">
        <f>Tabella3[[#This Row],[rest of Italy fit]]*NOT(ISBLANK(Tabella3[[#This Row],[rest of Italy]]))</f>
        <v>353.53162414470091</v>
      </c>
      <c r="AB49" s="10">
        <f>Tabella3[[#This Row],[rest of Italy fit]]+CIa</f>
        <v>432.43261582979619</v>
      </c>
      <c r="AC49" s="10">
        <f>MAX(Tabella3[[#This Row],[rest of Italy fit]]-CIa,0)</f>
        <v>274.63063245960564</v>
      </c>
      <c r="AE49" s="2" t="s">
        <v>2</v>
      </c>
      <c r="AF49" s="1">
        <f>AVERAGE(Tabella3[Italy])</f>
        <v>424.27450980392155</v>
      </c>
    </row>
    <row r="50" spans="2:34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16570.687016741467</v>
      </c>
      <c r="H50" s="10">
        <f>Tabella3[[#This Row],[Lombardy fit]]+Tabella3[[#This Row],[rest of Italy fit]]</f>
        <v>650.58095595627083</v>
      </c>
      <c r="I50" s="98">
        <f>(1/wf)*EXP(-(Tabella3[[#This Row],[Day]]-t0f)/wf)*(Kf^(1-pf)-(1-pf)*EXP(-(Tabella3[[#This Row],[Day]]-t0f)/wf))^(pf/(1-pf))</f>
        <v>647.35369336963629</v>
      </c>
      <c r="J50" s="10">
        <f>Tabella3[[#This Row],[Italy sum]]*NOT(ISBLANK(Tabella3[[#This Row],[Italy]]))</f>
        <v>650.58095595627083</v>
      </c>
      <c r="K50" s="10">
        <f>Tabella3[[#This Row],[Italy fit]]*NOT(ISBLANK(Tabella3[[#This Row],[Italy]]))</f>
        <v>647.35369336963629</v>
      </c>
      <c r="L50" s="10">
        <f>Tabella3[[#This Row],[Italy sum]]+CIw</f>
        <v>799.20060135826031</v>
      </c>
      <c r="M50" s="10">
        <f>MAX(Tabella3[[#This Row],[Italy sum]]-CIw,0)</f>
        <v>501.96131055428134</v>
      </c>
      <c r="N50" s="86">
        <f>Tabella8[[#This Row],[Lombardy]]</f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98">
        <f>(Kl^(1-pl)-(1-pl)*EXP(-(Tabella3[[#This Row],[Day]]-t0l)/wl))^(1/(1-pl))</f>
        <v>9183.2719457766598</v>
      </c>
      <c r="R50" s="98">
        <f>(1/wl)*EXP(-(Tabella3[[#This Row],[Day]]-t0l)/wl)*(Kl^(1-pl)-(1-pl)*EXP(-(Tabella3[[#This Row],[Day]]-t0l)/wl))^(pl/(1-pl))</f>
        <v>306.27648265724622</v>
      </c>
      <c r="S50" s="10">
        <f>Tabella3[[#This Row],[Lombardy fit]]*NOT(ISBLANK(Tabella3[[#This Row],[Lombardy]]))</f>
        <v>306.27648265724622</v>
      </c>
      <c r="T50" s="10">
        <f>Tabella3[[#This Row],[Lombardy fit]]+CIl</f>
        <v>428.49451864213995</v>
      </c>
      <c r="U50" s="10">
        <f>MAX(Tabella3[[#This Row],[Lombardy fit]]-CIl,0)</f>
        <v>184.05844667235249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98">
        <f>(Ka^(1-pa)-(1-pa)*EXP(-(Tabella3[[#This Row],[Day]]-t0a)/wa))^(1/(1-pa))</f>
        <v>7387.4150709648084</v>
      </c>
      <c r="Z50" s="98">
        <f>(1/wa)*EXP(-(Tabella3[[#This Row],[Day]]-t0a)/wa)*(Ka^(1-pa)-(1-pa)*EXP(-(Tabella3[[#This Row],[Day]]-t0a)/wa))^(pa/(1-pa))</f>
        <v>344.30447329902461</v>
      </c>
      <c r="AA50" s="10">
        <f>Tabella3[[#This Row],[rest of Italy fit]]*NOT(ISBLANK(Tabella3[[#This Row],[rest of Italy]]))</f>
        <v>344.30447329902461</v>
      </c>
      <c r="AB50" s="10">
        <f>Tabella3[[#This Row],[rest of Italy fit]]+CIa</f>
        <v>423.20546498411989</v>
      </c>
      <c r="AC50" s="10">
        <f>MAX(Tabella3[[#This Row],[rest of Italy fit]]-CIa,0)</f>
        <v>265.40348161392933</v>
      </c>
      <c r="AE50" s="2" t="s">
        <v>3</v>
      </c>
      <c r="AF50" s="1">
        <f>COUNT(Tabella3[Italy])-COUNT(AF46:AF48,pf)</f>
        <v>47</v>
      </c>
      <c r="AG50" s="6"/>
      <c r="AH50" s="6"/>
    </row>
    <row r="51" spans="2:34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17208.825899413492</v>
      </c>
      <c r="H51" s="10">
        <f>Tabella3[[#This Row],[Lombardy fit]]+Tabella3[[#This Row],[rest of Italy fit]]</f>
        <v>625.55043013745308</v>
      </c>
      <c r="I51" s="98">
        <f>(1/wf)*EXP(-(Tabella3[[#This Row],[Day]]-t0f)/wf)*(Kf^(1-pf)-(1-pf)*EXP(-(Tabella3[[#This Row],[Day]]-t0f)/wf))^(pf/(1-pf))</f>
        <v>621.91263384394335</v>
      </c>
      <c r="J51" s="10">
        <f>Tabella3[[#This Row],[Italy sum]]*NOT(ISBLANK(Tabella3[[#This Row],[Italy]]))</f>
        <v>625.55043013745308</v>
      </c>
      <c r="K51" s="10">
        <f>Tabella3[[#This Row],[Italy fit]]*NOT(ISBLANK(Tabella3[[#This Row],[Italy]]))</f>
        <v>621.91263384394335</v>
      </c>
      <c r="L51" s="10">
        <f>Tabella3[[#This Row],[Italy sum]]+CIw</f>
        <v>774.17007553944256</v>
      </c>
      <c r="M51" s="10">
        <f>MAX(Tabella3[[#This Row],[Italy sum]]-CIw,0)</f>
        <v>476.93078473546359</v>
      </c>
      <c r="N51" s="86">
        <f>Tabella8[[#This Row],[Lombardy]]</f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98">
        <f>(Kl^(1-pl)-(1-pl)*EXP(-(Tabella3[[#This Row],[Day]]-t0l)/wl))^(1/(1-pl))</f>
        <v>9482.1139134338609</v>
      </c>
      <c r="R51" s="98">
        <f>(1/wl)*EXP(-(Tabella3[[#This Row],[Day]]-t0l)/wl)*(Kl^(1-pl)-(1-pl)*EXP(-(Tabella3[[#This Row],[Day]]-t0l)/wl))^(pl/(1-pl))</f>
        <v>291.40042442909686</v>
      </c>
      <c r="S51" s="10">
        <f>Tabella3[[#This Row],[Lombardy fit]]*NOT(ISBLANK(Tabella3[[#This Row],[Lombardy]]))</f>
        <v>291.40042442909686</v>
      </c>
      <c r="T51" s="10">
        <f>Tabella3[[#This Row],[Lombardy fit]]+CIl</f>
        <v>413.61846041399059</v>
      </c>
      <c r="U51" s="10">
        <f>MAX(Tabella3[[#This Row],[Lombardy fit]]-CIl,0)</f>
        <v>169.18238844420313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98">
        <f>(Ka^(1-pa)-(1-pa)*EXP(-(Tabella3[[#This Row],[Day]]-t0a)/wa))^(1/(1-pa))</f>
        <v>7726.7119859796303</v>
      </c>
      <c r="Z51" s="98">
        <f>(1/wa)*EXP(-(Tabella3[[#This Row],[Day]]-t0a)/wa)*(Ka^(1-pa)-(1-pa)*EXP(-(Tabella3[[#This Row],[Day]]-t0a)/wa))^(pa/(1-pa))</f>
        <v>334.15000570835628</v>
      </c>
      <c r="AA51" s="10">
        <f>Tabella3[[#This Row],[rest of Italy fit]]*NOT(ISBLANK(Tabella3[[#This Row],[rest of Italy]]))</f>
        <v>334.15000570835628</v>
      </c>
      <c r="AB51" s="10">
        <f>Tabella3[[#This Row],[rest of Italy fit]]+CIa</f>
        <v>413.05099739345155</v>
      </c>
      <c r="AC51" s="10">
        <f>MAX(Tabella3[[#This Row],[rest of Italy fit]]-CIa,0)</f>
        <v>255.24901402326103</v>
      </c>
      <c r="AE51" s="2" t="s">
        <v>4</v>
      </c>
      <c r="AF51" s="6" cm="1">
        <f t="array" ref="AF51">SQRT(SUM((Tabella3[Colonna1]-Tabella3[Colonna22])^2)/dff)</f>
        <v>77.717999672482634</v>
      </c>
    </row>
    <row r="52" spans="2:34" ht="16.2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17821.54725306758</v>
      </c>
      <c r="H52" s="10">
        <f>Tabella3[[#This Row],[Lombardy fit]]+Tabella3[[#This Row],[rest of Italy fit]]</f>
        <v>599.79693475373335</v>
      </c>
      <c r="I52" s="98">
        <f>(1/wf)*EXP(-(Tabella3[[#This Row],[Day]]-t0f)/wf)*(Kf^(1-pf)-(1-pf)*EXP(-(Tabella3[[#This Row],[Day]]-t0f)/wf))^(pf/(1-pf))</f>
        <v>595.79611304977004</v>
      </c>
      <c r="J52" s="10">
        <f>Tabella3[[#This Row],[Italy sum]]*NOT(ISBLANK(Tabella3[[#This Row],[Italy]]))</f>
        <v>599.79693475373335</v>
      </c>
      <c r="K52" s="10">
        <f>Tabella3[[#This Row],[Italy fit]]*NOT(ISBLANK(Tabella3[[#This Row],[Italy]]))</f>
        <v>595.79611304977004</v>
      </c>
      <c r="L52" s="10">
        <f>Tabella3[[#This Row],[Italy sum]]+CIw</f>
        <v>748.41658015572284</v>
      </c>
      <c r="M52" s="10">
        <f>MAX(Tabella3[[#This Row],[Italy sum]]-CIw,0)</f>
        <v>451.17728935174387</v>
      </c>
      <c r="N52" s="86">
        <f>Tabella8[[#This Row],[Lombardy]]</f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98">
        <f>(Kl^(1-pl)-(1-pl)*EXP(-(Tabella3[[#This Row],[Day]]-t0l)/wl))^(1/(1-pl))</f>
        <v>9766.0816810111828</v>
      </c>
      <c r="R52" s="98">
        <f>(1/wl)*EXP(-(Tabella3[[#This Row],[Day]]-t0l)/wl)*(Kl^(1-pl)-(1-pl)*EXP(-(Tabella3[[#This Row],[Day]]-t0l)/wl))^(pl/(1-pl))</f>
        <v>276.55032358212662</v>
      </c>
      <c r="S52" s="10">
        <f>Tabella3[[#This Row],[Lombardy fit]]*NOT(ISBLANK(Tabella3[[#This Row],[Lombardy]]))</f>
        <v>276.55032358212662</v>
      </c>
      <c r="T52" s="10">
        <f>Tabella3[[#This Row],[Lombardy fit]]+CIl</f>
        <v>398.76835956702035</v>
      </c>
      <c r="U52" s="10">
        <f>MAX(Tabella3[[#This Row],[Lombardy fit]]-CIl,0)</f>
        <v>154.33228759723289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98">
        <f>(Ka^(1-pa)-(1-pa)*EXP(-(Tabella3[[#This Row],[Day]]-t0a)/wa))^(1/(1-pa))</f>
        <v>8055.4655720563978</v>
      </c>
      <c r="Z52" s="98">
        <f>(1/wa)*EXP(-(Tabella3[[#This Row],[Day]]-t0a)/wa)*(Ka^(1-pa)-(1-pa)*EXP(-(Tabella3[[#This Row],[Day]]-t0a)/wa))^(pa/(1-pa))</f>
        <v>323.24661117160673</v>
      </c>
      <c r="AA52" s="10">
        <f>Tabella3[[#This Row],[rest of Italy fit]]*NOT(ISBLANK(Tabella3[[#This Row],[rest of Italy]]))</f>
        <v>323.24661117160673</v>
      </c>
      <c r="AB52" s="10">
        <f>Tabella3[[#This Row],[rest of Italy fit]]+CIa</f>
        <v>402.14760285670195</v>
      </c>
      <c r="AC52" s="10">
        <f>MAX(Tabella3[[#This Row],[rest of Italy fit]]-CIa,0)</f>
        <v>244.34561948651148</v>
      </c>
      <c r="AE52" s="2" t="s">
        <v>5</v>
      </c>
      <c r="AF52" s="7" cm="1">
        <f t="array" ref="AF52">1-SUM((Tabella3[Colonna1]-Tabella3[Colonna22])^2)/SUM((Tabella3[Colonna1]-Mean_of_yf)^2)</f>
        <v>0.96510970300598142</v>
      </c>
    </row>
    <row r="53" spans="2:34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18408.275719234476</v>
      </c>
      <c r="H53" s="10">
        <f>Tabella3[[#This Row],[Lombardy fit]]+Tabella3[[#This Row],[rest of Italy fit]]</f>
        <v>573.61018331709022</v>
      </c>
      <c r="I53" s="98">
        <f>(1/wf)*EXP(-(Tabella3[[#This Row],[Day]]-t0f)/wf)*(Kf^(1-pf)-(1-pf)*EXP(-(Tabella3[[#This Row],[Day]]-t0f)/wf))^(pf/(1-pf))</f>
        <v>569.29532504156452</v>
      </c>
      <c r="J53" s="10">
        <f>Tabella3[[#This Row],[Italy sum]]*NOT(ISBLANK(Tabella3[[#This Row],[Italy]]))</f>
        <v>573.61018331709022</v>
      </c>
      <c r="K53" s="10">
        <f>Tabella3[[#This Row],[Italy fit]]*NOT(ISBLANK(Tabella3[[#This Row],[Italy]]))</f>
        <v>569.29532504156452</v>
      </c>
      <c r="L53" s="10">
        <f>Tabella3[[#This Row],[Italy sum]]+CIw</f>
        <v>722.22982871907971</v>
      </c>
      <c r="M53" s="10">
        <f>MAX(Tabella3[[#This Row],[Italy sum]]-CIw,0)</f>
        <v>424.99053791510073</v>
      </c>
      <c r="N53" s="86">
        <f>Tabella8[[#This Row],[Lombardy]]</f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98">
        <f>(Kl^(1-pl)-(1-pl)*EXP(-(Tabella3[[#This Row],[Day]]-t0l)/wl))^(1/(1-pl))</f>
        <v>10035.264480953036</v>
      </c>
      <c r="R53" s="98">
        <f>(1/wl)*EXP(-(Tabella3[[#This Row],[Day]]-t0l)/wl)*(Kl^(1-pl)-(1-pl)*EXP(-(Tabella3[[#This Row],[Day]]-t0l)/wl))^(pl/(1-pl))</f>
        <v>261.84931953165551</v>
      </c>
      <c r="S53" s="10">
        <f>Tabella3[[#This Row],[Lombardy fit]]*NOT(ISBLANK(Tabella3[[#This Row],[Lombardy]]))</f>
        <v>261.84931953165551</v>
      </c>
      <c r="T53" s="10">
        <f>Tabella3[[#This Row],[Lombardy fit]]+CIl</f>
        <v>384.06735551654924</v>
      </c>
      <c r="U53" s="10">
        <f>MAX(Tabella3[[#This Row],[Lombardy fit]]-CIl,0)</f>
        <v>139.63128354676178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98">
        <f>(Ka^(1-pa)-(1-pa)*EXP(-(Tabella3[[#This Row],[Day]]-t0a)/wa))^(1/(1-pa))</f>
        <v>8373.0112382814405</v>
      </c>
      <c r="Z53" s="98">
        <f>(1/wa)*EXP(-(Tabella3[[#This Row],[Day]]-t0a)/wa)*(Ka^(1-pa)-(1-pa)*EXP(-(Tabella3[[#This Row],[Day]]-t0a)/wa))^(pa/(1-pa))</f>
        <v>311.76086378543471</v>
      </c>
      <c r="AA53" s="10">
        <f>Tabella3[[#This Row],[rest of Italy fit]]*NOT(ISBLANK(Tabella3[[#This Row],[rest of Italy]]))</f>
        <v>311.76086378543471</v>
      </c>
      <c r="AB53" s="10">
        <f>Tabella3[[#This Row],[rest of Italy fit]]+CIa</f>
        <v>390.66185547052999</v>
      </c>
      <c r="AC53" s="10">
        <f>MAX(Tabella3[[#This Row],[rest of Italy fit]]-CIa,0)</f>
        <v>232.85987210033946</v>
      </c>
      <c r="AE53" s="2" t="s">
        <v>6</v>
      </c>
      <c r="AF53" s="7">
        <f>TINV(0.05,dff)</f>
        <v>2.0117405137297668</v>
      </c>
    </row>
    <row r="54" spans="2:34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18968.709138529382</v>
      </c>
      <c r="H54" s="10">
        <f>Tabella3[[#This Row],[Lombardy fit]]+Tabella3[[#This Row],[rest of Italy fit]]</f>
        <v>547.24690732647628</v>
      </c>
      <c r="I54" s="98">
        <f>(1/wf)*EXP(-(Tabella3[[#This Row],[Day]]-t0f)/wf)*(Kf^(1-pf)-(1-pf)*EXP(-(Tabella3[[#This Row],[Day]]-t0f)/wf))^(pf/(1-pf))</f>
        <v>542.66717670685523</v>
      </c>
      <c r="J54" s="10">
        <f>Tabella3[[#This Row],[Italy sum]]*NOT(ISBLANK(Tabella3[[#This Row],[Italy]]))</f>
        <v>547.24690732647628</v>
      </c>
      <c r="K54" s="10">
        <f>Tabella3[[#This Row],[Italy fit]]*NOT(ISBLANK(Tabella3[[#This Row],[Italy]]))</f>
        <v>542.66717670685523</v>
      </c>
      <c r="L54" s="10">
        <f>Tabella3[[#This Row],[Italy sum]]+CIw</f>
        <v>695.86655272846576</v>
      </c>
      <c r="M54" s="10">
        <f>MAX(Tabella3[[#This Row],[Italy sum]]-CIw,0)</f>
        <v>398.62726192448679</v>
      </c>
      <c r="N54" s="86">
        <f>Tabella8[[#This Row],[Lombardy]]</f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98">
        <f>(Kl^(1-pl)-(1-pl)*EXP(-(Tabella3[[#This Row],[Day]]-t0l)/wl))^(1/(1-pl))</f>
        <v>10289.864685632427</v>
      </c>
      <c r="R54" s="98">
        <f>(1/wl)*EXP(-(Tabella3[[#This Row],[Day]]-t0l)/wl)*(Kl^(1-pl)-(1-pl)*EXP(-(Tabella3[[#This Row],[Day]]-t0l)/wl))^(pl/(1-pl))</f>
        <v>247.40079992377076</v>
      </c>
      <c r="S54" s="10">
        <f>Tabella3[[#This Row],[Lombardy fit]]*NOT(ISBLANK(Tabella3[[#This Row],[Lombardy]]))</f>
        <v>247.40079992377076</v>
      </c>
      <c r="T54" s="10">
        <f>Tabella3[[#This Row],[Lombardy fit]]+CIl</f>
        <v>369.61883590866449</v>
      </c>
      <c r="U54" s="10">
        <f>MAX(Tabella3[[#This Row],[Lombardy fit]]-CIl,0)</f>
        <v>125.18276393887702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98">
        <f>(Ka^(1-pa)-(1-pa)*EXP(-(Tabella3[[#This Row],[Day]]-t0a)/wa))^(1/(1-pa))</f>
        <v>8678.8444528969576</v>
      </c>
      <c r="Z54" s="98">
        <f>(1/wa)*EXP(-(Tabella3[[#This Row],[Day]]-t0a)/wa)*(Ka^(1-pa)-(1-pa)*EXP(-(Tabella3[[#This Row],[Day]]-t0a)/wa))^(pa/(1-pa))</f>
        <v>299.84610740270546</v>
      </c>
      <c r="AA54" s="10">
        <f>Tabella3[[#This Row],[rest of Italy fit]]*NOT(ISBLANK(Tabella3[[#This Row],[rest of Italy]]))</f>
        <v>299.84610740270546</v>
      </c>
      <c r="AB54" s="10">
        <f>Tabella3[[#This Row],[rest of Italy fit]]+CIa</f>
        <v>378.74709908780073</v>
      </c>
      <c r="AC54" s="10">
        <f>MAX(Tabella3[[#This Row],[rest of Italy fit]]-CIa,0)</f>
        <v>220.94511571761021</v>
      </c>
      <c r="AE54" s="2" t="s">
        <v>7</v>
      </c>
      <c r="AF54" s="1">
        <f>Critical_tf*SE_of_yf</f>
        <v>156.34844858717005</v>
      </c>
    </row>
    <row r="55" spans="2:34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19502.785856222898</v>
      </c>
      <c r="H55" s="10">
        <f>Tabella3[[#This Row],[Lombardy fit]]+Tabella3[[#This Row],[rest of Italy fit]]</f>
        <v>520.93156407625827</v>
      </c>
      <c r="I55" s="98">
        <f>(1/wf)*EXP(-(Tabella3[[#This Row],[Day]]-t0f)/wf)*(Kf^(1-pf)-(1-pf)*EXP(-(Tabella3[[#This Row],[Day]]-t0f)/wf))^(pf/(1-pf))</f>
        <v>516.13521707238635</v>
      </c>
      <c r="J55" s="10">
        <f>Tabella3[[#This Row],[Italy sum]]*NOT(ISBLANK(Tabella3[[#This Row],[Italy]]))</f>
        <v>520.93156407625827</v>
      </c>
      <c r="K55" s="10">
        <f>Tabella3[[#This Row],[Italy fit]]*NOT(ISBLANK(Tabella3[[#This Row],[Italy]]))</f>
        <v>516.13521707238635</v>
      </c>
      <c r="L55" s="10">
        <f>Tabella3[[#This Row],[Italy sum]]+CIw</f>
        <v>669.55120947824776</v>
      </c>
      <c r="M55" s="10">
        <f>MAX(Tabella3[[#This Row],[Italy sum]]-CIw,0)</f>
        <v>372.31191867426878</v>
      </c>
      <c r="N55" s="86">
        <f>Tabella8[[#This Row],[Lombardy]]</f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98">
        <f>(Kl^(1-pl)-(1-pl)*EXP(-(Tabella3[[#This Row],[Day]]-t0l)/wl))^(1/(1-pl))</f>
        <v>10530.178813652714</v>
      </c>
      <c r="R55" s="98">
        <f>(1/wl)*EXP(-(Tabella3[[#This Row],[Day]]-t0l)/wl)*(Kl^(1-pl)-(1-pl)*EXP(-(Tabella3[[#This Row],[Day]]-t0l)/wl))^(pl/(1-pl))</f>
        <v>233.28992940738519</v>
      </c>
      <c r="S55" s="10">
        <f>Tabella3[[#This Row],[Lombardy fit]]*NOT(ISBLANK(Tabella3[[#This Row],[Lombardy]]))</f>
        <v>233.28992940738519</v>
      </c>
      <c r="T55" s="10">
        <f>Tabella3[[#This Row],[Lombardy fit]]+CIl</f>
        <v>355.50796539227895</v>
      </c>
      <c r="U55" s="10">
        <f>MAX(Tabella3[[#This Row],[Lombardy fit]]-CIl,0)</f>
        <v>111.07189342249144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98">
        <f>(Ka^(1-pa)-(1-pa)*EXP(-(Tabella3[[#This Row],[Day]]-t0a)/wa))^(1/(1-pa))</f>
        <v>8972.6070425701837</v>
      </c>
      <c r="Z55" s="98">
        <f>(1/wa)*EXP(-(Tabella3[[#This Row],[Day]]-t0a)/wa)*(Ka^(1-pa)-(1-pa)*EXP(-(Tabella3[[#This Row],[Day]]-t0a)/wa))^(pa/(1-pa))</f>
        <v>287.64163466887311</v>
      </c>
      <c r="AA55" s="10">
        <f>Tabella3[[#This Row],[rest of Italy fit]]*NOT(ISBLANK(Tabella3[[#This Row],[rest of Italy]]))</f>
        <v>287.64163466887311</v>
      </c>
      <c r="AB55" s="10">
        <f>Tabella3[[#This Row],[rest of Italy fit]]+CIa</f>
        <v>366.54262635396833</v>
      </c>
      <c r="AC55" s="10">
        <f>MAX(Tabella3[[#This Row],[rest of Italy fit]]-CIa,0)</f>
        <v>208.74064298377786</v>
      </c>
      <c r="AE55" s="90" t="s">
        <v>113</v>
      </c>
      <c r="AF55" s="101">
        <f>(Kf^(1-pf)-(1-pf))^(pf/(1-pf))/wf</f>
        <v>783.08165174085252</v>
      </c>
    </row>
    <row r="56" spans="2:34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20010.653072398469</v>
      </c>
      <c r="H56" s="10">
        <f>Tabella3[[#This Row],[Lombardy fit]]+Tabella3[[#This Row],[rest of Italy fit]]</f>
        <v>494.8576668968513</v>
      </c>
      <c r="I56" s="98">
        <f>(1/wf)*EXP(-(Tabella3[[#This Row],[Day]]-t0f)/wf)*(Kf^(1-pf)-(1-pf)*EXP(-(Tabella3[[#This Row],[Day]]-t0f)/wf))^(pf/(1-pf))</f>
        <v>489.89118152698575</v>
      </c>
      <c r="J56" s="10">
        <f>Tabella3[[#This Row],[Italy sum]]*NOT(ISBLANK(Tabella3[[#This Row],[Italy]]))</f>
        <v>494.8576668968513</v>
      </c>
      <c r="K56" s="10">
        <f>Tabella3[[#This Row],[Italy fit]]*NOT(ISBLANK(Tabella3[[#This Row],[Italy]]))</f>
        <v>489.89118152698575</v>
      </c>
      <c r="L56" s="10">
        <f>Tabella3[[#This Row],[Italy sum]]+CIw</f>
        <v>643.47731229884084</v>
      </c>
      <c r="M56" s="10">
        <f>MAX(Tabella3[[#This Row],[Italy sum]]-CIw,0)</f>
        <v>346.23802149486175</v>
      </c>
      <c r="N56" s="86">
        <f>Tabella8[[#This Row],[Lombardy]]</f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98">
        <f>(Kl^(1-pl)-(1-pl)*EXP(-(Tabella3[[#This Row],[Day]]-t0l)/wl))^(1/(1-pl))</f>
        <v>10756.580123383781</v>
      </c>
      <c r="R56" s="98">
        <f>(1/wl)*EXP(-(Tabella3[[#This Row],[Day]]-t0l)/wl)*(Kl^(1-pl)-(1-pl)*EXP(-(Tabella3[[#This Row],[Day]]-t0l)/wl))^(pl/(1-pl))</f>
        <v>219.58530489837005</v>
      </c>
      <c r="S56" s="10">
        <f>Tabella3[[#This Row],[Lombardy fit]]*NOT(ISBLANK(Tabella3[[#This Row],[Lombardy]]))</f>
        <v>219.58530489837005</v>
      </c>
      <c r="T56" s="10">
        <f>Tabella3[[#This Row],[Lombardy fit]]+CIl</f>
        <v>341.80334088326379</v>
      </c>
      <c r="U56" s="10">
        <f>MAX(Tabella3[[#This Row],[Lombardy fit]]-CIl,0)</f>
        <v>97.367268913476309</v>
      </c>
      <c r="V56" s="10">
        <f>Tabella3[[#This Row],[Cum_Italy]]-Tabella3[[#This Row],[Cum_Lom]]</f>
        <v>9278</v>
      </c>
      <c r="W56" s="10">
        <f>Tabella3[[#This Row],[Cum_o]]-V55</f>
        <v>321</v>
      </c>
      <c r="X56" s="10">
        <f>Tabella3[[#This Row],[rest of Italy]]*NOT(ISBLANK(Tabella3[[#This Row],[rest of Italy]]))</f>
        <v>321</v>
      </c>
      <c r="Y56" s="98">
        <f>(Ka^(1-pa)-(1-pa)*EXP(-(Tabella3[[#This Row],[Day]]-t0a)/wa))^(1/(1-pa))</f>
        <v>9254.0729490146896</v>
      </c>
      <c r="Z56" s="98">
        <f>(1/wa)*EXP(-(Tabella3[[#This Row],[Day]]-t0a)/wa)*(Ka^(1-pa)-(1-pa)*EXP(-(Tabella3[[#This Row],[Day]]-t0a)/wa))^(pa/(1-pa))</f>
        <v>275.27236199848124</v>
      </c>
      <c r="AA56" s="10">
        <f>Tabella3[[#This Row],[rest of Italy fit]]*NOT(ISBLANK(Tabella3[[#This Row],[rest of Italy]]))</f>
        <v>275.27236199848124</v>
      </c>
      <c r="AB56" s="10">
        <f>Tabella3[[#This Row],[rest of Italy fit]]+CIa</f>
        <v>354.17335368357647</v>
      </c>
      <c r="AC56" s="10">
        <f>MAX(Tabella3[[#This Row],[rest of Italy fit]]-CIa,0)</f>
        <v>196.371370313386</v>
      </c>
      <c r="AE56" s="90" t="s">
        <v>145</v>
      </c>
      <c r="AF56" s="91">
        <f>_xlfn.XLOOKUP(ROUND(t0f,0),Tabella3[Day],Tabella3[Date])</f>
        <v>43918</v>
      </c>
    </row>
    <row r="57" spans="2:34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Tabella3[[#This Row],[Cum_Italy]]-D56</f>
        <v>566</v>
      </c>
      <c r="F57" s="10">
        <f>Tabella3[[#This Row],[Italy]]*NOT(ISBLANK(Tabella3[[#This Row],[Italy]]))</f>
        <v>566</v>
      </c>
      <c r="G57" s="10">
        <f>Tabella3[[#This Row],[Cum_L_fit]]+Tabella3[[#This Row],[Cum_o_fit]]</f>
        <v>20492.636753998879</v>
      </c>
      <c r="H57" s="10">
        <f>Tabella3[[#This Row],[Lombardy fit]]+Tabella3[[#This Row],[rest of Italy fit]]</f>
        <v>469.18956419877543</v>
      </c>
      <c r="I57" s="98">
        <f>(1/wf)*EXP(-(Tabella3[[#This Row],[Day]]-t0f)/wf)*(Kf^(1-pf)-(1-pf)*EXP(-(Tabella3[[#This Row],[Day]]-t0f)/wf))^(pf/(1-pf))</f>
        <v>464.09697086545287</v>
      </c>
      <c r="J57" s="10">
        <f>Tabella3[[#This Row],[Italy sum]]*NOT(ISBLANK(Tabella3[[#This Row],[Italy]]))</f>
        <v>469.18956419877543</v>
      </c>
      <c r="K57" s="10">
        <f>Tabella3[[#This Row],[Italy fit]]*NOT(ISBLANK(Tabella3[[#This Row],[Italy]]))</f>
        <v>464.09697086545287</v>
      </c>
      <c r="L57" s="10">
        <f>Tabella3[[#This Row],[Italy sum]]+CIw</f>
        <v>617.80920960076492</v>
      </c>
      <c r="M57" s="10">
        <f>MAX(Tabella3[[#This Row],[Italy sum]]-CIw,0)</f>
        <v>320.56991879678594</v>
      </c>
      <c r="N57" s="86">
        <f>Tabella8[[#This Row],[Lombardy]]</f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98">
        <f>(Kl^(1-pl)-(1-pl)*EXP(-(Tabella3[[#This Row],[Day]]-t0l)/wl))^(1/(1-pl))</f>
        <v>10969.502895188954</v>
      </c>
      <c r="R57" s="98">
        <f>(1/wl)*EXP(-(Tabella3[[#This Row],[Day]]-t0l)/wl)*(Kl^(1-pl)-(1-pl)*EXP(-(Tabella3[[#This Row],[Day]]-t0l)/wl))^(pl/(1-pl))</f>
        <v>206.34065975841921</v>
      </c>
      <c r="S57" s="10">
        <f>Tabella3[[#This Row],[Lombardy fit]]*NOT(ISBLANK(Tabella3[[#This Row],[Lombardy]]))</f>
        <v>206.34065975841921</v>
      </c>
      <c r="T57" s="10">
        <f>Tabella3[[#This Row],[Lombardy fit]]+CIl</f>
        <v>328.55869574331297</v>
      </c>
      <c r="U57" s="10">
        <f>MAX(Tabella3[[#This Row],[Lombardy fit]]-CIl,0)</f>
        <v>84.122623773525461</v>
      </c>
      <c r="V57" s="10">
        <f>Tabella3[[#This Row],[Cum_Italy]]-Tabella3[[#This Row],[Cum_Lom]]</f>
        <v>9564</v>
      </c>
      <c r="W57" s="10">
        <f>Tabella3[[#This Row],[Cum_o]]-V56</f>
        <v>286</v>
      </c>
      <c r="X57" s="10">
        <f>Tabella3[[#This Row],[rest of Italy]]*NOT(ISBLANK(Tabella3[[#This Row],[rest of Italy]]))</f>
        <v>286</v>
      </c>
      <c r="Y57" s="98">
        <f>(Ka^(1-pa)-(1-pa)*EXP(-(Tabella3[[#This Row],[Day]]-t0a)/wa))^(1/(1-pa))</f>
        <v>9523.1338588099225</v>
      </c>
      <c r="Z57" s="98">
        <f>(1/wa)*EXP(-(Tabella3[[#This Row],[Day]]-t0a)/wa)*(Ka^(1-pa)-(1-pa)*EXP(-(Tabella3[[#This Row],[Day]]-t0a)/wa))^(pa/(1-pa))</f>
        <v>262.84890444035619</v>
      </c>
      <c r="AA57" s="10">
        <f>Tabella3[[#This Row],[rest of Italy fit]]*NOT(ISBLANK(Tabella3[[#This Row],[rest of Italy]]))</f>
        <v>262.84890444035619</v>
      </c>
      <c r="AB57" s="10">
        <f>Tabella3[[#This Row],[rest of Italy fit]]+CIa</f>
        <v>341.74989612545141</v>
      </c>
      <c r="AC57" s="10">
        <f>MAX(Tabella3[[#This Row],[rest of Italy fit]]-CIa,0)</f>
        <v>183.94791275526094</v>
      </c>
      <c r="AE57" s="92" t="s">
        <v>151</v>
      </c>
      <c r="AF57" s="95">
        <f>pt</f>
        <v>0.99999899999999997</v>
      </c>
    </row>
    <row r="58" spans="2:34" x14ac:dyDescent="0.3">
      <c r="B58" s="9">
        <v>43935</v>
      </c>
      <c r="C58" s="4">
        <f t="shared" si="0"/>
        <v>50</v>
      </c>
      <c r="D58" s="10">
        <f>'dpc-covid19-ita-andamento-naz'!K52</f>
        <v>21067</v>
      </c>
      <c r="E58" s="10">
        <f>Tabella3[[#This Row],[Cum_Italy]]-D57</f>
        <v>602</v>
      </c>
      <c r="F58" s="10">
        <f>Tabella3[[#This Row],[Italy]]*NOT(ISBLANK(Tabella3[[#This Row],[Italy]]))</f>
        <v>602</v>
      </c>
      <c r="G58" s="10">
        <f>Tabella3[[#This Row],[Cum_L_fit]]+Tabella3[[#This Row],[Cum_o_fit]]</f>
        <v>20949.213496516088</v>
      </c>
      <c r="H58" s="10">
        <f>Tabella3[[#This Row],[Lombardy fit]]+Tabella3[[#This Row],[rest of Italy fit]]</f>
        <v>444.06452088481115</v>
      </c>
      <c r="I58" s="98">
        <f>(1/wf)*EXP(-(Tabella3[[#This Row],[Day]]-t0f)/wf)*(Kf^(1-pf)-(1-pf)*EXP(-(Tabella3[[#This Row],[Day]]-t0f)/wf))^(pf/(1-pf))</f>
        <v>438.88691268168782</v>
      </c>
      <c r="J58" s="10">
        <f>Tabella3[[#This Row],[Italy sum]]*NOT(ISBLANK(Tabella3[[#This Row],[Italy]]))</f>
        <v>444.06452088481115</v>
      </c>
      <c r="K58" s="10">
        <f>Tabella3[[#This Row],[Italy fit]]*NOT(ISBLANK(Tabella3[[#This Row],[Italy]]))</f>
        <v>438.88691268168782</v>
      </c>
      <c r="L58" s="10">
        <f>Tabella3[[#This Row],[Italy sum]]+CIw</f>
        <v>592.68416628680063</v>
      </c>
      <c r="M58" s="10">
        <f>MAX(Tabella3[[#This Row],[Italy sum]]-CIw,0)</f>
        <v>295.44487548282166</v>
      </c>
      <c r="N58" s="86">
        <f>Tabella8[[#This Row],[Lombardy]]</f>
        <v>11142</v>
      </c>
      <c r="O58" s="10">
        <f>Tabella3[[#This Row],[Cum_Lom]]-N57</f>
        <v>241</v>
      </c>
      <c r="P58" s="10">
        <f>Tabella3[[#This Row],[Lombardy]]*NOT(ISBLANK(Tabella3[[#This Row],[Lombardy]]))</f>
        <v>241</v>
      </c>
      <c r="Q58" s="98">
        <f>(Kl^(1-pl)-(1-pl)*EXP(-(Tabella3[[#This Row],[Day]]-t0l)/wl))^(1/(1-pl))</f>
        <v>11169.428419789021</v>
      </c>
      <c r="R58" s="98">
        <f>(1/wl)*EXP(-(Tabella3[[#This Row],[Day]]-t0l)/wl)*(Kl^(1-pl)-(1-pl)*EXP(-(Tabella3[[#This Row],[Day]]-t0l)/wl))^(pl/(1-pl))</f>
        <v>193.59655685571565</v>
      </c>
      <c r="S58" s="10">
        <f>Tabella3[[#This Row],[Lombardy fit]]*NOT(ISBLANK(Tabella3[[#This Row],[Lombardy]]))</f>
        <v>193.59655685571565</v>
      </c>
      <c r="T58" s="10">
        <f>Tabella3[[#This Row],[Lombardy fit]]+CIl</f>
        <v>315.81459284060941</v>
      </c>
      <c r="U58" s="10">
        <f>MAX(Tabella3[[#This Row],[Lombardy fit]]-CIl,0)</f>
        <v>71.378520870821902</v>
      </c>
      <c r="V58" s="10">
        <f>Tabella3[[#This Row],[Cum_Italy]]-Tabella3[[#This Row],[Cum_Lom]]</f>
        <v>9925</v>
      </c>
      <c r="W58" s="10">
        <f>Tabella3[[#This Row],[Cum_o]]-V57</f>
        <v>361</v>
      </c>
      <c r="X58" s="10">
        <f>Tabella3[[#This Row],[rest of Italy]]*NOT(ISBLANK(Tabella3[[#This Row],[rest of Italy]]))</f>
        <v>361</v>
      </c>
      <c r="Y58" s="98">
        <f>(Ka^(1-pa)-(1-pa)*EXP(-(Tabella3[[#This Row],[Day]]-t0a)/wa))^(1/(1-pa))</f>
        <v>9779.7850767270666</v>
      </c>
      <c r="Z58" s="98">
        <f>(1/wa)*EXP(-(Tabella3[[#This Row],[Day]]-t0a)/wa)*(Ka^(1-pa)-(1-pa)*EXP(-(Tabella3[[#This Row],[Day]]-t0a)/wa))^(pa/(1-pa))</f>
        <v>250.4679640290955</v>
      </c>
      <c r="AA58" s="10">
        <f>Tabella3[[#This Row],[rest of Italy fit]]*NOT(ISBLANK(Tabella3[[#This Row],[rest of Italy]]))</f>
        <v>250.4679640290955</v>
      </c>
      <c r="AB58" s="10">
        <f>Tabella3[[#This Row],[rest of Italy fit]]+CIa</f>
        <v>329.36895571419075</v>
      </c>
      <c r="AC58" s="10">
        <f>MAX(Tabella3[[#This Row],[rest of Italy fit]]-CIa,0)</f>
        <v>171.56697234400025</v>
      </c>
    </row>
    <row r="59" spans="2:34" x14ac:dyDescent="0.3">
      <c r="B59" s="9">
        <v>43936</v>
      </c>
      <c r="C59" s="4">
        <f t="shared" si="0"/>
        <v>51</v>
      </c>
      <c r="D59" s="10">
        <f>'dpc-covid19-ita-andamento-naz'!K53</f>
        <v>21645</v>
      </c>
      <c r="E59" s="10">
        <f>Tabella3[[#This Row],[Cum_Italy]]-D58</f>
        <v>578</v>
      </c>
      <c r="F59" s="10">
        <f>Tabella3[[#This Row],[Italy]]*NOT(ISBLANK(Tabella3[[#This Row],[Italy]]))</f>
        <v>578</v>
      </c>
      <c r="G59" s="10">
        <f>Tabella3[[#This Row],[Cum_L_fit]]+Tabella3[[#This Row],[Cum_o_fit]]</f>
        <v>21380.984546944885</v>
      </c>
      <c r="H59" s="10">
        <f>Tabella3[[#This Row],[Lombardy fit]]+Tabella3[[#This Row],[rest of Italy fit]]</f>
        <v>419.59497964245026</v>
      </c>
      <c r="I59" s="98">
        <f>(1/wf)*EXP(-(Tabella3[[#This Row],[Day]]-t0f)/wf)*(Kf^(1-pf)-(1-pf)*EXP(-(Tabella3[[#This Row],[Day]]-t0f)/wf))^(pf/(1-pf))</f>
        <v>414.37018175568949</v>
      </c>
      <c r="J59" s="10">
        <f>Tabella3[[#This Row],[Italy sum]]*NOT(ISBLANK(Tabella3[[#This Row],[Italy]]))</f>
        <v>419.59497964245026</v>
      </c>
      <c r="K59" s="10">
        <f>Tabella3[[#This Row],[Italy fit]]*NOT(ISBLANK(Tabella3[[#This Row],[Italy]]))</f>
        <v>414.37018175568949</v>
      </c>
      <c r="L59" s="10">
        <f>Tabella3[[#This Row],[Italy sum]]+CIw</f>
        <v>568.2146250444398</v>
      </c>
      <c r="M59" s="10">
        <f>MAX(Tabella3[[#This Row],[Italy sum]]-CIw,0)</f>
        <v>270.97533424046071</v>
      </c>
      <c r="N59" s="86">
        <f>Tabella8[[#This Row],[Lombardy]]</f>
        <v>11377</v>
      </c>
      <c r="O59" s="10">
        <f>Tabella3[[#This Row],[Cum_Lom]]-N58</f>
        <v>235</v>
      </c>
      <c r="P59" s="10">
        <f>Tabella3[[#This Row],[Lombardy]]*NOT(ISBLANK(Tabella3[[#This Row],[Lombardy]]))</f>
        <v>235</v>
      </c>
      <c r="Q59" s="98">
        <f>(Kl^(1-pl)-(1-pl)*EXP(-(Tabella3[[#This Row],[Day]]-t0l)/wl))^(1/(1-pl))</f>
        <v>11356.872644007968</v>
      </c>
      <c r="R59" s="98">
        <f>(1/wl)*EXP(-(Tabella3[[#This Row],[Day]]-t0l)/wl)*(Kl^(1-pl)-(1-pl)*EXP(-(Tabella3[[#This Row],[Day]]-t0l)/wl))^(pl/(1-pl))</f>
        <v>181.38202580370438</v>
      </c>
      <c r="S59" s="10">
        <f>Tabella3[[#This Row],[Lombardy fit]]*NOT(ISBLANK(Tabella3[[#This Row],[Lombardy]]))</f>
        <v>181.38202580370438</v>
      </c>
      <c r="T59" s="10">
        <f>Tabella3[[#This Row],[Lombardy fit]]+CIl</f>
        <v>303.60006178859811</v>
      </c>
      <c r="U59" s="10">
        <f>MAX(Tabella3[[#This Row],[Lombardy fit]]-CIl,0)</f>
        <v>59.163989818810634</v>
      </c>
      <c r="V59" s="10">
        <f>Tabella3[[#This Row],[Cum_Italy]]-Tabella3[[#This Row],[Cum_Lom]]</f>
        <v>10268</v>
      </c>
      <c r="W59" s="10">
        <f>Tabella3[[#This Row],[Cum_o]]-V58</f>
        <v>343</v>
      </c>
      <c r="X59" s="10">
        <f>Tabella3[[#This Row],[rest of Italy]]*NOT(ISBLANK(Tabella3[[#This Row],[rest of Italy]]))</f>
        <v>343</v>
      </c>
      <c r="Y59" s="98">
        <f>(Ka^(1-pa)-(1-pa)*EXP(-(Tabella3[[#This Row],[Day]]-t0a)/wa))^(1/(1-pa))</f>
        <v>10024.111902936917</v>
      </c>
      <c r="Z59" s="98">
        <f>(1/wa)*EXP(-(Tabella3[[#This Row],[Day]]-t0a)/wa)*(Ka^(1-pa)-(1-pa)*EXP(-(Tabella3[[#This Row],[Day]]-t0a)/wa))^(pa/(1-pa))</f>
        <v>238.21295383874588</v>
      </c>
      <c r="AA59" s="10">
        <f>Tabella3[[#This Row],[rest of Italy fit]]*NOT(ISBLANK(Tabella3[[#This Row],[rest of Italy]]))</f>
        <v>238.21295383874588</v>
      </c>
      <c r="AB59" s="10">
        <f>Tabella3[[#This Row],[rest of Italy fit]]+CIa</f>
        <v>317.11394552384115</v>
      </c>
      <c r="AC59" s="10">
        <f>MAX(Tabella3[[#This Row],[rest of Italy fit]]-CIa,0)</f>
        <v>159.31196215365063</v>
      </c>
    </row>
    <row r="60" spans="2:34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21788.652168069661</v>
      </c>
      <c r="H60" s="10">
        <f>Tabella3[[#This Row],[Lombardy fit]]+Tabella3[[#This Row],[rest of Italy fit]]</f>
        <v>395.8709046438035</v>
      </c>
      <c r="I60" s="98">
        <f>(1/wf)*EXP(-(Tabella3[[#This Row],[Day]]-t0f)/wf)*(Kf^(1-pf)-(1-pf)*EXP(-(Tabella3[[#This Row],[Day]]-t0f)/wf))^(pf/(1-pf))</f>
        <v>390.63327939819135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N60" s="87"/>
      <c r="O60" s="10"/>
      <c r="P60" s="10">
        <f>Tabella3[[#This Row],[Lombardy]]*NOT(ISBLANK(Tabella3[[#This Row],[Lombardy]]))</f>
        <v>0</v>
      </c>
      <c r="Q60" s="98">
        <f>(Kl^(1-pl)-(1-pl)*EXP(-(Tabella3[[#This Row],[Day]]-t0l)/wl))^(1/(1-pl))</f>
        <v>11532.375437406905</v>
      </c>
      <c r="R60" s="98">
        <f>(1/wl)*EXP(-(Tabella3[[#This Row],[Day]]-t0l)/wl)*(Kl^(1-pl)-(1-pl)*EXP(-(Tabella3[[#This Row],[Day]]-t0l)/wl))^(pl/(1-pl))</f>
        <v>169.71611361236114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98">
        <f>(Ka^(1-pa)-(1-pa)*EXP(-(Tabella3[[#This Row],[Day]]-t0a)/wa))^(1/(1-pa))</f>
        <v>10256.276730662757</v>
      </c>
      <c r="Z60" s="98">
        <f>(1/wa)*EXP(-(Tabella3[[#This Row],[Day]]-t0a)/wa)*(Ka^(1-pa)-(1-pa)*EXP(-(Tabella3[[#This Row],[Day]]-t0a)/wa))^(pa/(1-pa))</f>
        <v>226.15479103144236</v>
      </c>
      <c r="AA60" s="10">
        <f>Tabella3[[#This Row],[rest of Italy fit]]*NOT(ISBLANK(Tabella3[[#This Row],[rest of Italy]]))</f>
        <v>0</v>
      </c>
    </row>
    <row r="61" spans="2:34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22172.998319361301</v>
      </c>
      <c r="H61" s="10">
        <f>Tabella3[[#This Row],[Lombardy fit]]+Tabella3[[#This Row],[rest of Italy fit]]</f>
        <v>372.96212879761345</v>
      </c>
      <c r="I61" s="98">
        <f>(1/wf)*EXP(-(Tabella3[[#This Row],[Day]]-t0f)/wf)*(Kf^(1-pf)-(1-pf)*EXP(-(Tabella3[[#This Row],[Day]]-t0f)/wf))^(pf/(1-pf))</f>
        <v>367.7424947679703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N61" s="87"/>
      <c r="O61" s="10"/>
      <c r="P61" s="10">
        <f>Tabella3[[#This Row],[Lombardy]]*NOT(ISBLANK(Tabella3[[#This Row],[Lombardy]]))</f>
        <v>0</v>
      </c>
      <c r="Q61" s="98">
        <f>(Kl^(1-pl)-(1-pl)*EXP(-(Tabella3[[#This Row],[Day]]-t0l)/wl))^(1/(1-pl))</f>
        <v>11696.491326119556</v>
      </c>
      <c r="R61" s="98">
        <f>(1/wl)*EXP(-(Tabella3[[#This Row],[Day]]-t0l)/wl)*(Kl^(1-pl)-(1-pl)*EXP(-(Tabella3[[#This Row],[Day]]-t0l)/wl))^(pl/(1-pl))</f>
        <v>158.60932707789053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98">
        <f>(Ka^(1-pa)-(1-pa)*EXP(-(Tabella3[[#This Row],[Day]]-t0a)/wa))^(1/(1-pa))</f>
        <v>10476.506993241743</v>
      </c>
      <c r="Z61" s="98">
        <f>(1/wa)*EXP(-(Tabella3[[#This Row],[Day]]-t0a)/wa)*(Ka^(1-pa)-(1-pa)*EXP(-(Tabella3[[#This Row],[Day]]-t0a)/wa))^(pa/(1-pa))</f>
        <v>214.35280171972289</v>
      </c>
      <c r="AA61" s="10">
        <f>Tabella3[[#This Row],[rest of Italy fit]]*NOT(ISBLANK(Tabella3[[#This Row],[rest of Italy]]))</f>
        <v>0</v>
      </c>
    </row>
    <row r="62" spans="2:34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22534.865697657035</v>
      </c>
      <c r="H62" s="10">
        <f>Tabella3[[#This Row],[Lombardy fit]]+Tabella3[[#This Row],[rest of Italy fit]]</f>
        <v>350.9206466518084</v>
      </c>
      <c r="I62" s="98">
        <f>(1/wf)*EXP(-(Tabella3[[#This Row],[Day]]-t0f)/wf)*(Kf^(1-pf)-(1-pf)*EXP(-(Tabella3[[#This Row],[Day]]-t0f)/wf))^(pf/(1-pf))</f>
        <v>345.74629027375784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N62" s="87"/>
      <c r="O62" s="10"/>
      <c r="P62" s="10">
        <f>Tabella3[[#This Row],[Lombardy]]*NOT(ISBLANK(Tabella3[[#This Row],[Lombardy]]))</f>
        <v>0</v>
      </c>
      <c r="Q62" s="98">
        <f>(Kl^(1-pl)-(1-pl)*EXP(-(Tabella3[[#This Row],[Day]]-t0l)/wl))^(1/(1-pl))</f>
        <v>11849.78163006352</v>
      </c>
      <c r="R62" s="98">
        <f>(1/wl)*EXP(-(Tabella3[[#This Row],[Day]]-t0l)/wl)*(Kl^(1-pl)-(1-pl)*EXP(-(Tabella3[[#This Row],[Day]]-t0l)/wl))^(pl/(1-pl))</f>
        <v>148.06495565468069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98">
        <f>(Ka^(1-pa)-(1-pa)*EXP(-(Tabella3[[#This Row],[Day]]-t0a)/wa))^(1/(1-pa))</f>
        <v>10685.084067593514</v>
      </c>
      <c r="Z62" s="98">
        <f>(1/wa)*EXP(-(Tabella3[[#This Row],[Day]]-t0a)/wa)*(Ka^(1-pa)-(1-pa)*EXP(-(Tabella3[[#This Row],[Day]]-t0a)/wa))^(pa/(1-pa))</f>
        <v>202.85569099712774</v>
      </c>
      <c r="AA62" s="10">
        <f>Tabella3[[#This Row],[rest of Italy fit]]*NOT(ISBLANK(Tabella3[[#This Row],[rest of Italy]]))</f>
        <v>0</v>
      </c>
    </row>
    <row r="63" spans="2:34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22875.14097929823</v>
      </c>
      <c r="H63" s="10">
        <f>Tabella3[[#This Row],[Lombardy fit]]+Tabella3[[#This Row],[rest of Italy fit]]</f>
        <v>329.78280788811196</v>
      </c>
      <c r="I63" s="98">
        <f>(1/wf)*EXP(-(Tabella3[[#This Row],[Day]]-t0f)/wf)*(Kf^(1-pf)-(1-pf)*EXP(-(Tabella3[[#This Row],[Day]]-t0f)/wf))^(pf/(1-pf))</f>
        <v>324.6775689126049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N63" s="87"/>
      <c r="O63" s="10"/>
      <c r="P63" s="10">
        <f>Tabella3[[#This Row],[Lombardy]]*NOT(ISBLANK(Tabella3[[#This Row],[Lombardy]]))</f>
        <v>0</v>
      </c>
      <c r="Q63" s="98">
        <f>(Kl^(1-pl)-(1-pl)*EXP(-(Tabella3[[#This Row],[Day]]-t0l)/wl))^(1/(1-pl))</f>
        <v>11992.807853907409</v>
      </c>
      <c r="R63" s="98">
        <f>(1/wl)*EXP(-(Tabella3[[#This Row],[Day]]-t0l)/wl)*(Kl^(1-pl)-(1-pl)*EXP(-(Tabella3[[#This Row],[Day]]-t0l)/wl))^(pl/(1-pl))</f>
        <v>138.08026885804873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98">
        <f>(Ka^(1-pa)-(1-pa)*EXP(-(Tabella3[[#This Row],[Day]]-t0a)/wa))^(1/(1-pa))</f>
        <v>10882.33312539082</v>
      </c>
      <c r="Z63" s="98">
        <f>(1/wa)*EXP(-(Tabella3[[#This Row],[Day]]-t0a)/wa)*(Ka^(1-pa)-(1-pa)*EXP(-(Tabella3[[#This Row],[Day]]-t0a)/wa))^(pa/(1-pa))</f>
        <v>191.70253903006324</v>
      </c>
      <c r="AA63" s="10">
        <f>Tabella3[[#This Row],[rest of Italy fit]]*NOT(ISBLANK(Tabella3[[#This Row],[rest of Italy]]))</f>
        <v>0</v>
      </c>
    </row>
    <row r="64" spans="2:34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23194.740247580205</v>
      </c>
      <c r="H64" s="10">
        <f>Tabella3[[#This Row],[Lombardy fit]]+Tabella3[[#This Row],[rest of Italy fit]]</f>
        <v>309.57138306247941</v>
      </c>
      <c r="I64" s="98">
        <f>(1/wf)*EXP(-(Tabella3[[#This Row],[Day]]-t0f)/wf)*(Kf^(1-pf)-(1-pf)*EXP(-(Tabella3[[#This Row],[Day]]-t0f)/wf))^(pf/(1-pf))</f>
        <v>304.55579535399937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N64" s="87"/>
      <c r="O64" s="10"/>
      <c r="P64" s="10">
        <f>Tabella3[[#This Row],[Lombardy]]*NOT(ISBLANK(Tabella3[[#This Row],[Lombardy]]))</f>
        <v>0</v>
      </c>
      <c r="Q64" s="98">
        <f>(Kl^(1-pl)-(1-pl)*EXP(-(Tabella3[[#This Row],[Day]]-t0l)/wl))^(1/(1-pl))</f>
        <v>12126.126215659962</v>
      </c>
      <c r="R64" s="98">
        <f>(1/wl)*EXP(-(Tabella3[[#This Row],[Day]]-t0l)/wl)*(Kl^(1-pl)-(1-pl)*EXP(-(Tabella3[[#This Row],[Day]]-t0l)/wl))^(pl/(1-pl))</f>
        <v>128.64758792783761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98">
        <f>(Ka^(1-pa)-(1-pa)*EXP(-(Tabella3[[#This Row],[Day]]-t0a)/wa))^(1/(1-pa))</f>
        <v>11068.614031920242</v>
      </c>
      <c r="Z64" s="98">
        <f>(1/wa)*EXP(-(Tabella3[[#This Row],[Day]]-t0a)/wa)*(Ka^(1-pa)-(1-pa)*EXP(-(Tabella3[[#This Row],[Day]]-t0a)/wa))^(pa/(1-pa))</f>
        <v>180.92379513464178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23494.59636385171</v>
      </c>
      <c r="H65" s="10">
        <f>Tabella3[[#This Row],[Lombardy fit]]+Tabella3[[#This Row],[rest of Italy fit]]</f>
        <v>290.29748009098944</v>
      </c>
      <c r="I65" s="98">
        <f>(1/wf)*EXP(-(Tabella3[[#This Row],[Day]]-t0f)/wf)*(Kf^(1-pf)-(1-pf)*EXP(-(Tabella3[[#This Row],[Day]]-t0f)/wf))^(pf/(1-pf))</f>
        <v>285.38895383539835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N65" s="87"/>
      <c r="O65" s="10"/>
      <c r="P65" s="10">
        <f>Tabella3[[#This Row],[Lombardy]]*NOT(ISBLANK(Tabella3[[#This Row],[Lombardy]]))</f>
        <v>0</v>
      </c>
      <c r="Q65" s="98">
        <f>(Kl^(1-pl)-(1-pl)*EXP(-(Tabella3[[#This Row],[Day]]-t0l)/wl))^(1/(1-pl))</f>
        <v>12250.283176185689</v>
      </c>
      <c r="R65" s="98">
        <f>(1/wl)*EXP(-(Tabella3[[#This Row],[Day]]-t0l)/wl)*(Kl^(1-pl)-(1-pl)*EXP(-(Tabella3[[#This Row],[Day]]-t0l)/wl))^(pl/(1-pl))</f>
        <v>119.75523489218345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98">
        <f>(Ka^(1-pa)-(1-pa)*EXP(-(Tabella3[[#This Row],[Day]]-t0a)/wa))^(1/(1-pa))</f>
        <v>11244.313187666021</v>
      </c>
      <c r="Z65" s="98">
        <f>(1/wa)*EXP(-(Tabella3[[#This Row],[Day]]-t0a)/wa)*(Ka^(1-pa)-(1-pa)*EXP(-(Tabella3[[#This Row],[Day]]-t0a)/wa))^(pa/(1-pa))</f>
        <v>170.54224519880597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23775.648208448161</v>
      </c>
      <c r="H66" s="10">
        <f>Tabella3[[#This Row],[Lombardy fit]]+Tabella3[[#This Row],[rest of Italy fit]]</f>
        <v>271.96230203054898</v>
      </c>
      <c r="I66" s="98">
        <f>(1/wf)*EXP(-(Tabella3[[#This Row],[Day]]-t0f)/wf)*(Kf^(1-pf)-(1-pf)*EXP(-(Tabella3[[#This Row],[Day]]-t0f)/wf))^(pf/(1-pf))</f>
        <v>267.17533395116635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N66" s="87"/>
      <c r="O66" s="10"/>
      <c r="P66" s="10">
        <f>Tabella3[[#This Row],[Lombardy]]*NOT(ISBLANK(Tabella3[[#This Row],[Lombardy]]))</f>
        <v>0</v>
      </c>
      <c r="Q66" s="98">
        <f>(Kl^(1-pl)-(1-pl)*EXP(-(Tabella3[[#This Row],[Day]]-t0l)/wl))^(1/(1-pl))</f>
        <v>12365.811873344213</v>
      </c>
      <c r="R66" s="98">
        <f>(1/wl)*EXP(-(Tabella3[[#This Row],[Day]]-t0l)/wl)*(Kl^(1-pl)-(1-pl)*EXP(-(Tabella3[[#This Row],[Day]]-t0l)/wl))^(pl/(1-pl))</f>
        <v>111.3883651743796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98">
        <f>(Ka^(1-pa)-(1-pa)*EXP(-(Tabella3[[#This Row],[Day]]-t0a)/wa))^(1/(1-pa))</f>
        <v>11409.836335103948</v>
      </c>
      <c r="Z66" s="98">
        <f>(1/wa)*EXP(-(Tabella3[[#This Row],[Day]]-t0a)/wa)*(Ka^(1-pa)-(1-pa)*EXP(-(Tabella3[[#This Row],[Day]]-t0a)/wa))^(pa/(1-pa))</f>
        <v>160.57393685616938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24038.83158373816</v>
      </c>
      <c r="H67" s="10">
        <f>Tabella3[[#This Row],[Lombardy fit]]+Tabella3[[#This Row],[rest of Italy fit]]</f>
        <v>254.55874135293857</v>
      </c>
      <c r="I67" s="98">
        <f>(1/wf)*EXP(-(Tabella3[[#This Row],[Day]]-t0f)/wf)*(Kf^(1-pf)-(1-pf)*EXP(-(Tabella3[[#This Row],[Day]]-t0f)/wf))^(pf/(1-pf))</f>
        <v>249.90514221473202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N67" s="87"/>
      <c r="O67" s="10"/>
      <c r="P67" s="10">
        <f>Tabella3[[#This Row],[Lombardy]]*NOT(ISBLANK(Tabella3[[#This Row],[Lombardy]]))</f>
        <v>0</v>
      </c>
      <c r="Q67" s="98">
        <f>(Kl^(1-pl)-(1-pl)*EXP(-(Tabella3[[#This Row],[Day]]-t0l)/wl))^(1/(1-pl))</f>
        <v>12473.229324014168</v>
      </c>
      <c r="R67" s="98">
        <f>(1/wl)*EXP(-(Tabella3[[#This Row],[Day]]-t0l)/wl)*(Kl^(1-pl)-(1-pl)*EXP(-(Tabella3[[#This Row],[Day]]-t0l)/wl))^(pl/(1-pl))</f>
        <v>103.52969105800257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98">
        <f>(Ka^(1-pa)-(1-pa)*EXP(-(Tabella3[[#This Row],[Day]]-t0a)/wa))^(1/(1-pa))</f>
        <v>11565.602259723993</v>
      </c>
      <c r="Z67" s="98">
        <f>(1/wa)*EXP(-(Tabella3[[#This Row],[Day]]-t0a)/wa)*(Ka^(1-pa)-(1-pa)*EXP(-(Tabella3[[#This Row],[Day]]-t0a)/wa))^(pa/(1-pa))</f>
        <v>151.02905029493601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si="0"/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24285.071627922036</v>
      </c>
      <c r="H68" s="10">
        <f>Tabella3[[#This Row],[Lombardy fit]]+Tabella3[[#This Row],[rest of Italy fit]]</f>
        <v>238.0728120035551</v>
      </c>
      <c r="I68" s="98">
        <f>(1/wf)*EXP(-(Tabella3[[#This Row],[Day]]-t0f)/wf)*(Kf^(1-pf)-(1-pf)*EXP(-(Tabella3[[#This Row],[Day]]-t0f)/wf))^(pf/(1-pf))</f>
        <v>233.56194263537049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N68" s="87"/>
      <c r="O68" s="10"/>
      <c r="P68" s="10">
        <f>Tabella3[[#This Row],[Lombardy]]*NOT(ISBLANK(Tabella3[[#This Row],[Lombardy]]))</f>
        <v>0</v>
      </c>
      <c r="Q68" s="98">
        <f>(Kl^(1-pl)-(1-pl)*EXP(-(Tabella3[[#This Row],[Day]]-t0l)/wl))^(1/(1-pl))</f>
        <v>12573.034297542687</v>
      </c>
      <c r="R68" s="98">
        <f>(1/wl)*EXP(-(Tabella3[[#This Row],[Day]]-t0l)/wl)*(Kl^(1-pl)-(1-pl)*EXP(-(Tabella3[[#This Row],[Day]]-t0l)/wl))^(pl/(1-pl))</f>
        <v>96.16010473598952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98">
        <f>(Ka^(1-pa)-(1-pa)*EXP(-(Tabella3[[#This Row],[Day]]-t0a)/wa))^(1/(1-pa))</f>
        <v>11712.037330379348</v>
      </c>
      <c r="Z68" s="98">
        <f>(1/wa)*EXP(-(Tabella3[[#This Row],[Day]]-t0a)/wa)*(Ka^(1-pa)-(1-pa)*EXP(-(Tabella3[[#This Row],[Day]]-t0a)/wa))^(pa/(1-pa))</f>
        <v>141.91270726756559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0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24515.276603020189</v>
      </c>
      <c r="H69" s="10">
        <f>Tabella3[[#This Row],[Lombardy fit]]+Tabella3[[#This Row],[rest of Italy fit]]</f>
        <v>222.48492440387759</v>
      </c>
      <c r="I69" s="98">
        <f>(1/wf)*EXP(-(Tabella3[[#This Row],[Day]]-t0f)/wf)*(Kf^(1-pf)-(1-pf)*EXP(-(Tabella3[[#This Row],[Day]]-t0f)/wf))^(pf/(1-pf))</f>
        <v>218.12393315439019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N69" s="87"/>
      <c r="O69" s="10"/>
      <c r="P69" s="10">
        <f>Tabella3[[#This Row],[Lombardy]]*NOT(ISBLANK(Tabella3[[#This Row],[Lombardy]]))</f>
        <v>0</v>
      </c>
      <c r="Q69" s="98">
        <f>(Kl^(1-pl)-(1-pl)*EXP(-(Tabella3[[#This Row],[Day]]-t0l)/wl))^(1/(1-pl))</f>
        <v>12665.705773989934</v>
      </c>
      <c r="R69" s="98">
        <f>(1/wl)*EXP(-(Tabella3[[#This Row],[Day]]-t0l)/wl)*(Kl^(1-pl)-(1-pl)*EXP(-(Tabella3[[#This Row],[Day]]-t0l)/wl))^(pl/(1-pl))</f>
        <v>89.259210102157013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98">
        <f>(Ka^(1-pa)-(1-pa)*EXP(-(Tabella3[[#This Row],[Day]]-t0a)/wa))^(1/(1-pa))</f>
        <v>11849.570829030254</v>
      </c>
      <c r="Z69" s="98">
        <f>(1/wa)*EXP(-(Tabella3[[#This Row],[Day]]-t0a)/wa)*(Ka^(1-pa)-(1-pa)*EXP(-(Tabella3[[#This Row],[Day]]-t0a)/wa))^(pa/(1-pa))</f>
        <v>133.22571430172059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0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24730.332841013056</v>
      </c>
      <c r="H70" s="10">
        <f>Tabella3[[#This Row],[Lombardy fit]]+Tabella3[[#This Row],[rest of Italy fit]]</f>
        <v>207.7710103714486</v>
      </c>
      <c r="I70" s="98">
        <f>(1/wf)*EXP(-(Tabella3[[#This Row],[Day]]-t0f)/wf)*(Kf^(1-pf)-(1-pf)*EXP(-(Tabella3[[#This Row],[Day]]-t0f)/wf))^(pf/(1-pf))</f>
        <v>203.565066566339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N70" s="87"/>
      <c r="O70" s="10"/>
      <c r="P70" s="10">
        <f>Tabella3[[#This Row],[Lombardy]]*NOT(ISBLANK(Tabella3[[#This Row],[Lombardy]]))</f>
        <v>0</v>
      </c>
      <c r="Q70" s="98">
        <f>(Kl^(1-pl)-(1-pl)*EXP(-(Tabella3[[#This Row],[Day]]-t0l)/wl))^(1/(1-pl))</f>
        <v>12751.701876228357</v>
      </c>
      <c r="R70" s="98">
        <f>(1/wl)*EXP(-(Tabella3[[#This Row],[Day]]-t0l)/wl)*(Kl^(1-pl)-(1-pl)*EXP(-(Tabella3[[#This Row],[Day]]-t0l)/wl))^(pl/(1-pl))</f>
        <v>82.805772266175524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98">
        <f>(Ka^(1-pa)-(1-pa)*EXP(-(Tabella3[[#This Row],[Day]]-t0a)/wa))^(1/(1-pa))</f>
        <v>11978.630964784701</v>
      </c>
      <c r="Z70" s="98">
        <f>(1/wa)*EXP(-(Tabella3[[#This Row],[Day]]-t0a)/wa)*(Ka^(1-pa)-(1-pa)*EXP(-(Tabella3[[#This Row],[Day]]-t0a)/wa))^(pa/(1-pa))</f>
        <v>124.96523810527306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0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24931.100789283581</v>
      </c>
      <c r="H71" s="10">
        <f>Tabella3[[#This Row],[Lombardy fit]]+Tabella3[[#This Row],[rest of Italy fit]]</f>
        <v>193.90350830399566</v>
      </c>
      <c r="I71" s="98">
        <f>(1/wf)*EXP(-(Tabella3[[#This Row],[Day]]-t0f)/wf)*(Kf^(1-pf)-(1-pf)*EXP(-(Tabella3[[#This Row],[Day]]-t0f)/wf))^(pf/(1-pf))</f>
        <v>189.85602743420026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N71" s="87"/>
      <c r="O71" s="10"/>
      <c r="P71" s="10">
        <f>Tabella3[[#This Row],[Lombardy]]*NOT(ISBLANK(Tabella3[[#This Row],[Lombardy]]))</f>
        <v>0</v>
      </c>
      <c r="Q71" s="98">
        <f>(Kl^(1-pl)-(1-pl)*EXP(-(Tabella3[[#This Row],[Day]]-t0l)/wl))^(1/(1-pl))</f>
        <v>12831.459237992347</v>
      </c>
      <c r="R71" s="98">
        <f>(1/wl)*EXP(-(Tabella3[[#This Row],[Day]]-t0l)/wl)*(Kl^(1-pl)-(1-pl)*EXP(-(Tabella3[[#This Row],[Day]]-t0l)/wl))^(pl/(1-pl))</f>
        <v>76.778094057210183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98">
        <f>(Ka^(1-pa)-(1-pa)*EXP(-(Tabella3[[#This Row],[Day]]-t0a)/wa))^(1/(1-pa))</f>
        <v>12099.641551291234</v>
      </c>
      <c r="Z71" s="98">
        <f>(1/wa)*EXP(-(Tabella3[[#This Row],[Day]]-t0a)/wa)*(Ka^(1-pa)-(1-pa)*EXP(-(Tabella3[[#This Row],[Day]]-t0a)/wa))^(pa/(1-pa))</f>
        <v>117.12541424678548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0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25118.411949970614</v>
      </c>
      <c r="H72" s="10">
        <f>Tabella3[[#This Row],[Lombardy fit]]+Tabella3[[#This Row],[rest of Italy fit]]</f>
        <v>180.85221846241964</v>
      </c>
      <c r="I72" s="98">
        <f>(1/wf)*EXP(-(Tabella3[[#This Row],[Day]]-t0f)/wf)*(Kf^(1-pf)-(1-pf)*EXP(-(Tabella3[[#This Row],[Day]]-t0f)/wf))^(pf/(1-pf))</f>
        <v>176.96507622283943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N72" s="87"/>
      <c r="O72" s="10"/>
      <c r="P72" s="10">
        <f>Tabella3[[#This Row],[Lombardy]]*NOT(ISBLANK(Tabella3[[#This Row],[Lombardy]]))</f>
        <v>0</v>
      </c>
      <c r="Q72" s="98">
        <f>(Kl^(1-pl)-(1-pl)*EXP(-(Tabella3[[#This Row],[Day]]-t0l)/wl))^(1/(1-pl))</f>
        <v>12905.392700159908</v>
      </c>
      <c r="R72" s="98">
        <f>(1/wl)*EXP(-(Tabella3[[#This Row],[Day]]-t0l)/wl)*(Kl^(1-pl)-(1-pl)*EXP(-(Tabella3[[#This Row],[Day]]-t0l)/wl))^(pl/(1-pl))</f>
        <v>71.154327770628257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98">
        <f>(Ka^(1-pa)-(1-pa)*EXP(-(Tabella3[[#This Row],[Day]]-t0a)/wa))^(1/(1-pa))</f>
        <v>12213.019249810706</v>
      </c>
      <c r="Z72" s="98">
        <f>(1/wa)*EXP(-(Tabella3[[#This Row],[Day]]-t0a)/wa)*(Ka^(1-pa)-(1-pa)*EXP(-(Tabella3[[#This Row],[Day]]-t0a)/wa))^(pa/(1-pa))</f>
        <v>109.69789069179139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0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25293.066613378989</v>
      </c>
      <c r="H73" s="10">
        <f>Tabella3[[#This Row],[Lombardy fit]]+Tabella3[[#This Row],[rest of Italy fit]]</f>
        <v>168.58503971376877</v>
      </c>
      <c r="I73" s="98">
        <f>(1/wf)*EXP(-(Tabella3[[#This Row],[Day]]-t0f)/wf)*(Kf^(1-pf)-(1-pf)*EXP(-(Tabella3[[#This Row],[Day]]-t0f)/wf))^(pf/(1-pf))</f>
        <v>164.85877284982519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N73" s="87"/>
      <c r="O73" s="10"/>
      <c r="P73" s="10">
        <f>Tabella3[[#This Row],[Lombardy]]*NOT(ISBLANK(Tabella3[[#This Row],[Lombardy]]))</f>
        <v>0</v>
      </c>
      <c r="Q73" s="98">
        <f>(Kl^(1-pl)-(1-pl)*EXP(-(Tabella3[[#This Row],[Day]]-t0l)/wl))^(1/(1-pl))</f>
        <v>12973.895282181598</v>
      </c>
      <c r="R73" s="98">
        <f>(1/wl)*EXP(-(Tabella3[[#This Row],[Day]]-t0l)/wl)*(Kl^(1-pl)-(1-pl)*EXP(-(Tabella3[[#This Row],[Day]]-t0l)/wl))^(pl/(1-pl))</f>
        <v>65.912730268105449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98">
        <f>(Ka^(1-pa)-(1-pa)*EXP(-(Tabella3[[#This Row],[Day]]-t0a)/wa))^(1/(1-pa))</f>
        <v>12319.171331197391</v>
      </c>
      <c r="Z73" s="98">
        <f>(1/wa)*EXP(-(Tabella3[[#This Row],[Day]]-t0a)/wa)*(Ka^(1-pa)-(1-pa)*EXP(-(Tabella3[[#This Row],[Day]]-t0a)/wa))^(pa/(1-pa))</f>
        <v>102.67230944566333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ref="C74:C78" si="1">C73+1</f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25455.832283747885</v>
      </c>
      <c r="H74" s="10">
        <f>Tabella3[[#This Row],[Lombardy fit]]+Tabella3[[#This Row],[rest of Italy fit]]</f>
        <v>157.06859890961712</v>
      </c>
      <c r="I74" s="98">
        <f>(1/wf)*EXP(-(Tabella3[[#This Row],[Day]]-t0f)/wf)*(Kf^(1-pf)-(1-pf)*EXP(-(Tabella3[[#This Row],[Day]]-t0f)/wf))^(pf/(1-pf))</f>
        <v>153.50259148496193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N74" s="87"/>
      <c r="O74" s="10"/>
      <c r="P74" s="10">
        <f>Tabella3[[#This Row],[Lombardy]]*NOT(ISBLANK(Tabella3[[#This Row],[Lombardy]]))</f>
        <v>0</v>
      </c>
      <c r="Q74" s="98">
        <f>(Kl^(1-pl)-(1-pl)*EXP(-(Tabella3[[#This Row],[Day]]-t0l)/wl))^(1/(1-pl))</f>
        <v>13037.338400353814</v>
      </c>
      <c r="R74" s="98">
        <f>(1/wl)*EXP(-(Tabella3[[#This Row],[Day]]-t0l)/wl)*(Kl^(1-pl)-(1-pl)*EXP(-(Tabella3[[#This Row],[Day]]-t0l)/wl))^(pl/(1-pl))</f>
        <v>61.031868962504838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98">
        <f>(Ka^(1-pa)-(1-pa)*EXP(-(Tabella3[[#This Row],[Day]]-t0a)/wa))^(1/(1-pa))</f>
        <v>12418.493883394071</v>
      </c>
      <c r="Z74" s="98">
        <f>(1/wa)*EXP(-(Tabella3[[#This Row],[Day]]-t0a)/wa)*(Ka^(1-pa)-(1-pa)*EXP(-(Tabella3[[#This Row],[Day]]-t0a)/wa))^(pa/(1-pa))</f>
        <v>96.036729947112278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25607.442688940122</v>
      </c>
      <c r="H75" s="10">
        <f>Tabella3[[#This Row],[Lombardy fit]]+Tabella3[[#This Row],[rest of Italy fit]]</f>
        <v>146.26878384024891</v>
      </c>
      <c r="I75" s="98">
        <f>(1/wf)*EXP(-(Tabella3[[#This Row],[Day]]-t0f)/wf)*(Kf^(1-pf)-(1-pf)*EXP(-(Tabella3[[#This Row],[Day]]-t0f)/wf))^(pf/(1-pf))</f>
        <v>142.86143820608103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N75" s="87"/>
      <c r="O75" s="10"/>
      <c r="P75" s="10">
        <f>Tabella3[[#This Row],[Lombardy]]*NOT(ISBLANK(Tabella3[[#This Row],[Lombardy]]))</f>
        <v>0</v>
      </c>
      <c r="Q75" s="98">
        <f>(Kl^(1-pl)-(1-pl)*EXP(-(Tabella3[[#This Row],[Day]]-t0l)/wl))^(1/(1-pl))</f>
        <v>13096.072270979683</v>
      </c>
      <c r="R75" s="98">
        <f>(1/wl)*EXP(-(Tabella3[[#This Row],[Day]]-t0l)/wl)*(Kl^(1-pl)-(1-pl)*EXP(-(Tabella3[[#This Row],[Day]]-t0l)/wl))^(pl/(1-pl))</f>
        <v>56.490785309456541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98">
        <f>(Ka^(1-pa)-(1-pa)*EXP(-(Tabella3[[#This Row],[Day]]-t0a)/wa))^(1/(1-pa))</f>
        <v>12511.370417960441</v>
      </c>
      <c r="Z75" s="98">
        <f>(1/wa)*EXP(-(Tabella3[[#This Row],[Day]]-t0a)/wa)*(Ka^(1-pa)-(1-pa)*EXP(-(Tabella3[[#This Row],[Day]]-t0a)/wa))^(pa/(1-pa))</f>
        <v>89.777998530792374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25748.597259743612</v>
      </c>
      <c r="H76" s="10">
        <f>Tabella3[[#This Row],[Lombardy fit]]+Tabella3[[#This Row],[rest of Italy fit]]</f>
        <v>136.15119017945108</v>
      </c>
      <c r="I76" s="98">
        <f>(1/wf)*EXP(-(Tabella3[[#This Row],[Day]]-t0f)/wf)*(Kf^(1-pf)-(1-pf)*EXP(-(Tabella3[[#This Row],[Day]]-t0f)/wf))^(pf/(1-pf))</f>
        <v>132.90008279664951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N76" s="87"/>
      <c r="O76" s="10"/>
      <c r="P76" s="10">
        <f>Tabella3[[#This Row],[Lombardy]]*NOT(ISBLANK(Tabella3[[#This Row],[Lombardy]]))</f>
        <v>0</v>
      </c>
      <c r="Q76" s="98">
        <f>(Kl^(1-pl)-(1-pl)*EXP(-(Tabella3[[#This Row],[Day]]-t0l)/wl))^(1/(1-pl))</f>
        <v>13150.426438079603</v>
      </c>
      <c r="R76" s="98">
        <f>(1/wl)*EXP(-(Tabella3[[#This Row],[Day]]-t0l)/wl)*(Kl^(1-pl)-(1-pl)*EXP(-(Tabella3[[#This Row],[Day]]-t0l)/wl))^(pl/(1-pl))</f>
        <v>52.269121805324424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98">
        <f>(Ka^(1-pa)-(1-pa)*EXP(-(Tabella3[[#This Row],[Day]]-t0a)/wa))^(1/(1-pa))</f>
        <v>12598.170821664009</v>
      </c>
      <c r="Z76" s="98">
        <f>(1/wa)*EXP(-(Tabella3[[#This Row],[Day]]-t0a)/wa)*(Ka^(1-pa)-(1-pa)*EXP(-(Tabella3[[#This Row],[Day]]-t0a)/wa))^(pa/(1-pa))</f>
        <v>83.882068374126661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25879.961029829097</v>
      </c>
      <c r="H77" s="10">
        <f>Tabella3[[#This Row],[Lombardy fit]]+Tabella3[[#This Row],[rest of Italy fit]]</f>
        <v>126.68149250470793</v>
      </c>
      <c r="I77" s="98">
        <f>(1/wf)*EXP(-(Tabella3[[#This Row],[Day]]-t0f)/wf)*(Kf^(1-pf)-(1-pf)*EXP(-(Tabella3[[#This Row],[Day]]-t0f)/wf))^(pf/(1-pf))</f>
        <v>123.58351447601503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N77" s="87"/>
      <c r="O77" s="10"/>
      <c r="P77" s="10">
        <f>Tabella3[[#This Row],[Lombardy]]*NOT(ISBLANK(Tabella3[[#This Row],[Lombardy]]))</f>
        <v>0</v>
      </c>
      <c r="Q77" s="98">
        <f>(Kl^(1-pl)-(1-pl)*EXP(-(Tabella3[[#This Row],[Day]]-t0l)/wl))^(1/(1-pl))</f>
        <v>13200.710427775106</v>
      </c>
      <c r="R77" s="98">
        <f>(1/wl)*EXP(-(Tabella3[[#This Row],[Day]]-t0l)/wl)*(Kl^(1-pl)-(1-pl)*EXP(-(Tabella3[[#This Row],[Day]]-t0l)/wl))^(pl/(1-pl))</f>
        <v>48.347218103410121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98">
        <f>(Ka^(1-pa)-(1-pa)*EXP(-(Tabella3[[#This Row],[Day]]-t0a)/wa))^(1/(1-pa))</f>
        <v>12679.250602053991</v>
      </c>
      <c r="Z77" s="98">
        <f>(1/wa)*EXP(-(Tabella3[[#This Row],[Day]]-t0a)/wa)*(Ka^(1-pa)-(1-pa)*EXP(-(Tabella3[[#This Row],[Day]]-t0a)/wa))^(pa/(1-pa))</f>
        <v>78.334274401297805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si="1"/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26002.164887710918</v>
      </c>
      <c r="H78" s="10">
        <f>Tabella3[[#This Row],[Lombardy fit]]+Tabella3[[#This Row],[rest of Italy fit]]</f>
        <v>117.82574865737163</v>
      </c>
      <c r="I78" s="98">
        <f>(1/wf)*EXP(-(Tabella3[[#This Row],[Day]]-t0f)/wf)*(Kf^(1-pf)-(1-pf)*EXP(-(Tabella3[[#This Row],[Day]]-t0f)/wf))^(pf/(1-pf))</f>
        <v>114.87723170903305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N78" s="87"/>
      <c r="O78" s="10"/>
      <c r="P78" s="10">
        <f>Tabella3[[#This Row],[Lombardy]]*NOT(ISBLANK(Tabella3[[#This Row],[Lombardy]]))</f>
        <v>0</v>
      </c>
      <c r="Q78" s="98">
        <f>(Kl^(1-pl)-(1-pl)*EXP(-(Tabella3[[#This Row],[Day]]-t0l)/wl))^(1/(1-pl))</f>
        <v>13247.21448636688</v>
      </c>
      <c r="R78" s="98">
        <f>(1/wl)*EXP(-(Tabella3[[#This Row],[Day]]-t0l)/wl)*(Kl^(1-pl)-(1-pl)*EXP(-(Tabella3[[#This Row],[Day]]-t0l)/wl))^(pl/(1-pl))</f>
        <v>44.706180975691893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98">
        <f>(Ka^(1-pa)-(1-pa)*EXP(-(Tabella3[[#This Row],[Day]]-t0a)/wa))^(1/(1-pa))</f>
        <v>12754.950401344036</v>
      </c>
      <c r="Z78" s="98">
        <f>(1/wa)*EXP(-(Tabella3[[#This Row],[Day]]-t0a)/wa)*(Ka^(1-pa)-(1-pa)*EXP(-(Tabella3[[#This Row],[Day]]-t0a)/wa))^(pa/(1-pa))</f>
        <v>73.11956768167974</v>
      </c>
      <c r="AA78" s="10">
        <f>Tabella3[[#This Row],[rest of Italy fit]]*NOT(ISBLANK(Tabella3[[#This Row],[rest of Italy]]))</f>
        <v>0</v>
      </c>
    </row>
  </sheetData>
  <mergeCells count="9">
    <mergeCell ref="AS8:AS17"/>
    <mergeCell ref="B2:F2"/>
    <mergeCell ref="F3:F6"/>
    <mergeCell ref="AH3:AL3"/>
    <mergeCell ref="B4:E4"/>
    <mergeCell ref="B5:E5"/>
    <mergeCell ref="AH4:AL4"/>
    <mergeCell ref="AH5:AL5"/>
    <mergeCell ref="AH2:AL2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73</vt:i4>
      </vt:variant>
    </vt:vector>
  </HeadingPairs>
  <TitlesOfParts>
    <vt:vector size="77" baseType="lpstr">
      <vt:lpstr>dpc-covid19-ita-andamento-naz</vt:lpstr>
      <vt:lpstr>dpc-covid19-ita-regioni</vt:lpstr>
      <vt:lpstr>Cumul_deaths - GGoM</vt:lpstr>
      <vt:lpstr>New_deaths - GGoM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df</vt:lpstr>
      <vt:lpstr>dfa</vt:lpstr>
      <vt:lpstr>dff</vt:lpstr>
      <vt:lpstr>dfl</vt:lpstr>
      <vt:lpstr>dfo</vt:lpstr>
      <vt:lpstr>dfr</vt:lpstr>
      <vt:lpstr>dft</vt:lpstr>
      <vt:lpstr>dfw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pa</vt:lpstr>
      <vt:lpstr>Peak_w</vt:lpstr>
      <vt:lpstr>pf</vt:lpstr>
      <vt:lpstr>pl</vt:lpstr>
      <vt:lpstr>po</vt:lpstr>
      <vt:lpstr>pr</vt:lpstr>
      <vt:lpstr>pt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t0a</vt:lpstr>
      <vt:lpstr>t0f</vt:lpstr>
      <vt:lpstr>t0l</vt:lpstr>
      <vt:lpstr>t0o</vt:lpstr>
      <vt:lpstr>t0r</vt:lpstr>
      <vt:lpstr>t0t</vt:lpstr>
      <vt:lpstr>wa</vt:lpstr>
      <vt:lpstr>wf</vt:lpstr>
      <vt:lpstr>wl</vt:lpstr>
      <vt:lpstr>wo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2020-04-15T21:50:25Z</dcterms:modified>
</cp:coreProperties>
</file>