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BE38CFE7-F1A6-41E7-A32B-3B1B4896926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confirmed - Boltzmann" sheetId="12" r:id="rId2"/>
    <sheet name="New_confirmed - Boltzmann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Boltzmann'!$AG$16</definedName>
    <definedName name="CId">'New_confirmed - Boltzmann'!$AG$28</definedName>
    <definedName name="CIh">'Cumul_confirmed - Boltzmann'!$AG$40</definedName>
    <definedName name="CIn">'New_confirmed - Boltzmann'!$AG$16</definedName>
    <definedName name="CIr">'Cumul_confirmed - Boltzmann'!$AG$28</definedName>
    <definedName name="CIt">'New_confirmed - Boltzmann'!$AG$40</definedName>
    <definedName name="Critical_t">'Cumul_confirmed - Boltzmann'!$AG$15</definedName>
    <definedName name="Critical_td">'New_confirmed - Boltzmann'!$AG$27</definedName>
    <definedName name="Critical_th">'Cumul_confirmed - Boltzmann'!$AG$39</definedName>
    <definedName name="Critical_tn">'New_confirmed - Boltzmann'!$AG$15</definedName>
    <definedName name="Critical_tr">'Cumul_confirmed - Boltzmann'!$AG$27</definedName>
    <definedName name="Critical_tt">'New_confirmed - Boltzmann'!$AG$39</definedName>
    <definedName name="DatiEsterni_1" localSheetId="0" hidden="1">'dpc-covid19-ita-andamento-naz'!$A$1:$O$52</definedName>
    <definedName name="DatiEsterni_2" localSheetId="0" hidden="1">'dpc-covid19-ita-andamento-naz'!#REF!</definedName>
    <definedName name="df">'Cumul_confirmed - Boltzmann'!$AG$12</definedName>
    <definedName name="dfd">'New_confirmed - Boltzmann'!$AG$24</definedName>
    <definedName name="dfh">'Cumul_confirmed - Boltzmann'!$AG$36</definedName>
    <definedName name="dfn">'New_confirmed - Boltzmann'!$AG$12</definedName>
    <definedName name="dfr">'Cumul_confirmed - Boltzmann'!$AG$24</definedName>
    <definedName name="dft">'New_confirmed - Boltzmann'!$AG$36</definedName>
    <definedName name="dpc_covid19_ita_andamento_nazionale_1" localSheetId="1" hidden="1">'Cumul_confirmed - Boltzmann'!#REF!</definedName>
    <definedName name="K">'Cumul_confirmed - Boltzmann'!$AG$8</definedName>
    <definedName name="Kd">'New_confirmed - Boltzmann'!$AG$20</definedName>
    <definedName name="Kh">'Cumul_confirmed - Boltzmann'!$AG$32</definedName>
    <definedName name="Kn">'New_confirmed - Boltzmann'!$AG$8</definedName>
    <definedName name="Kr">'Cumul_confirmed - Boltzmann'!$AG$20</definedName>
    <definedName name="Kt">'New_confirmed - Boltzmann'!$AG$32</definedName>
    <definedName name="Mean_of_y">'Cumul_confirmed - Boltzmann'!$AG$11</definedName>
    <definedName name="Mean_of_yd">'New_confirmed - Boltzmann'!$AG$23</definedName>
    <definedName name="Mean_of_yh">'Cumul_confirmed - Boltzmann'!$AG$35</definedName>
    <definedName name="Mean_of_yn">'New_confirmed - Boltzmann'!$AG$11</definedName>
    <definedName name="Mean_of_yr">'Cumul_confirmed - Boltzmann'!$AG$23</definedName>
    <definedName name="Mean_of_yt">'New_confirmed - Boltzmann'!$AG$35</definedName>
    <definedName name="Peak">'Cumul_confirmed - Boltzmann'!$AG$17</definedName>
    <definedName name="Peak_d">'New_confirmed - Boltzmann'!$AG$29</definedName>
    <definedName name="Peak_h">'Cumul_confirmed - Boltzmann'!$AG$41</definedName>
    <definedName name="Peak_n">'New_confirmed - Boltzmann'!$AG$17</definedName>
    <definedName name="Peak_r">'Cumul_confirmed - Boltzmann'!$AG$29</definedName>
    <definedName name="Peak_t">'New_confirmed - Boltzmann'!$AG$41</definedName>
    <definedName name="RSQ">'Cumul_confirmed - Boltzmann'!$AG$14</definedName>
    <definedName name="RSQd">'New_confirmed - Boltzmann'!$AG$26</definedName>
    <definedName name="RSQh">'Cumul_confirmed - Boltzmann'!$AG$38</definedName>
    <definedName name="RSQn">'New_confirmed - Boltzmann'!$AG$14</definedName>
    <definedName name="RSQr">'Cumul_confirmed - Boltzmann'!$AG$26</definedName>
    <definedName name="RSQt">'New_confirmed - Boltzmann'!$AG$38</definedName>
    <definedName name="SE_of_y">'Cumul_confirmed - Boltzmann'!$AG$13</definedName>
    <definedName name="SE_of_yd">'New_confirmed - Boltzmann'!$AG$25</definedName>
    <definedName name="SE_of_yh">'Cumul_confirmed - Boltzmann'!$AG$37</definedName>
    <definedName name="SE_of_yn">'New_confirmed - Boltzmann'!$AG$13</definedName>
    <definedName name="SE_of_yr">'Cumul_confirmed - Boltzmann'!$AG$25</definedName>
    <definedName name="SE_of_yt">'New_confirmed - Boltzmann'!$AG$37</definedName>
    <definedName name="solver_adj" localSheetId="1" hidden="1">'Cumul_confirmed - Boltzmann'!$AG$21,'Cumul_confirmed - Boltzmann'!$AG$22</definedName>
    <definedName name="solver_adj" localSheetId="2" hidden="1">'New_confirmed - Boltzmann'!$AG$8,'New_confirmed - Boltzmann'!$AG$9,'New_confirmed - Boltzmann'!$AG$10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Boltzmann'!$N$8</definedName>
    <definedName name="solver_lhs1" localSheetId="2" hidden="1">'New_confirmed - Boltzmann'!$AG$9</definedName>
    <definedName name="solver_lhs2" localSheetId="1" hidden="1">'Cumul_confirmed - Boltzmann'!$N$8</definedName>
    <definedName name="solver_lhs2" localSheetId="2" hidden="1">'New_confirmed - Boltzmann'!$AG$9</definedName>
    <definedName name="solver_lhs3" localSheetId="1" hidden="1">'Cumul_confirmed - Boltzmann'!$N$9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Boltzmann'!$AG$26</definedName>
    <definedName name="solver_opt" localSheetId="2" hidden="1">'New_confirmed - Boltzmann'!$AG$14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">'Cumul_confirmed - Boltzmann'!$AG$18</definedName>
    <definedName name="t_d">'New_confirmed - Boltzmann'!$AG$30</definedName>
    <definedName name="t_h">'Cumul_confirmed - Boltzmann'!$AG$42</definedName>
    <definedName name="t_n">'New_confirmed - Boltzmann'!$AG$18</definedName>
    <definedName name="t_r">'Cumul_confirmed - Boltzmann'!$AG$30</definedName>
    <definedName name="t_t">'New_confirmed - Boltzmann'!$AG$42</definedName>
    <definedName name="t0">'Cumul_confirmed - Boltzmann'!$AG$9</definedName>
    <definedName name="t0d">'New_confirmed - Boltzmann'!$AG$21</definedName>
    <definedName name="t0f">'New_confirmed - Boltzmann'!$AF$45</definedName>
    <definedName name="t0h">'Cumul_confirmed - Boltzmann'!$AG$33</definedName>
    <definedName name="t0n">'New_confirmed - Boltzmann'!$AG$9</definedName>
    <definedName name="t0r">'Cumul_confirmed - Boltzmann'!$AG$21</definedName>
    <definedName name="t0t">'New_confirmed - Boltzmann'!$AG$33</definedName>
    <definedName name="w">'Cumul_confirmed - Boltzmann'!$AG$10</definedName>
    <definedName name="wd">'New_confirmed - Boltzmann'!$AG$22</definedName>
    <definedName name="wf">'New_confirmed - Boltzmann'!$AF$46</definedName>
    <definedName name="wh">'Cumul_confirmed - Boltzmann'!$AG$34</definedName>
    <definedName name="wn">'New_confirmed - Boltzmann'!$AG$10</definedName>
    <definedName name="wr">'Cumul_confirmed - Boltzmann'!$AG$22</definedName>
    <definedName name="wt">'New_confirmed - Boltzmann'!$AG$34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1" i="12" l="1"/>
  <c r="AT20" i="12"/>
  <c r="AT19" i="12"/>
  <c r="X56" i="19"/>
  <c r="X57" i="19"/>
  <c r="X58" i="19"/>
  <c r="W56" i="19"/>
  <c r="W57" i="19"/>
  <c r="W58" i="19"/>
  <c r="P56" i="19"/>
  <c r="P57" i="19"/>
  <c r="P58" i="19"/>
  <c r="O56" i="19"/>
  <c r="O57" i="19"/>
  <c r="O58" i="19"/>
  <c r="M56" i="19"/>
  <c r="M57" i="19"/>
  <c r="M58" i="19"/>
  <c r="L56" i="19"/>
  <c r="L57" i="19"/>
  <c r="L58" i="19"/>
  <c r="E56" i="19"/>
  <c r="E57" i="19"/>
  <c r="E58" i="19"/>
  <c r="D56" i="19"/>
  <c r="D57" i="19"/>
  <c r="D58" i="19"/>
  <c r="X56" i="12"/>
  <c r="X57" i="12"/>
  <c r="X58" i="12"/>
  <c r="W56" i="12"/>
  <c r="W57" i="12"/>
  <c r="W58" i="12"/>
  <c r="P56" i="12"/>
  <c r="P57" i="12"/>
  <c r="P58" i="12"/>
  <c r="O56" i="12"/>
  <c r="O57" i="12"/>
  <c r="O58" i="12"/>
  <c r="M56" i="12"/>
  <c r="M57" i="12"/>
  <c r="M58" i="12"/>
  <c r="L56" i="12"/>
  <c r="L57" i="12"/>
  <c r="L58" i="12"/>
  <c r="E57" i="12"/>
  <c r="E58" i="12"/>
  <c r="D56" i="12"/>
  <c r="D57" i="12"/>
  <c r="D58" i="12"/>
  <c r="Z9" i="12"/>
  <c r="AA9" i="12" s="1"/>
  <c r="Z10" i="12"/>
  <c r="AA10" i="12" s="1"/>
  <c r="Z11" i="12"/>
  <c r="AA11" i="12" s="1"/>
  <c r="Z12" i="12"/>
  <c r="AA12" i="12" s="1"/>
  <c r="Z13" i="12"/>
  <c r="AA13" i="12" s="1"/>
  <c r="Z14" i="12"/>
  <c r="AA14" i="12" s="1"/>
  <c r="Z15" i="12"/>
  <c r="AA15" i="12" s="1"/>
  <c r="Z16" i="12"/>
  <c r="AA16" i="12" s="1"/>
  <c r="Z17" i="12"/>
  <c r="AA17" i="12" s="1"/>
  <c r="Z18" i="12"/>
  <c r="AA18" i="12" s="1"/>
  <c r="Z19" i="12"/>
  <c r="AA19" i="12" s="1"/>
  <c r="Z20" i="12"/>
  <c r="AA20" i="12" s="1"/>
  <c r="Z21" i="12"/>
  <c r="AA21" i="12" s="1"/>
  <c r="Z22" i="12"/>
  <c r="AA22" i="12" s="1"/>
  <c r="Z23" i="12"/>
  <c r="AA23" i="12" s="1"/>
  <c r="Z24" i="12"/>
  <c r="AA24" i="12" s="1"/>
  <c r="Z25" i="12"/>
  <c r="AA25" i="12" s="1"/>
  <c r="Z26" i="12"/>
  <c r="AA26" i="12" s="1"/>
  <c r="Z27" i="12"/>
  <c r="AA27" i="12" s="1"/>
  <c r="Z28" i="12"/>
  <c r="AA28" i="12" s="1"/>
  <c r="Z29" i="12"/>
  <c r="AA29" i="12" s="1"/>
  <c r="Z30" i="12"/>
  <c r="AA30" i="12" s="1"/>
  <c r="Z31" i="12"/>
  <c r="AA31" i="12" s="1"/>
  <c r="Z32" i="12"/>
  <c r="AA32" i="12" s="1"/>
  <c r="Z33" i="12"/>
  <c r="AA33" i="12" s="1"/>
  <c r="Z34" i="12"/>
  <c r="AA34" i="12" s="1"/>
  <c r="Z35" i="12"/>
  <c r="AA35" i="12" s="1"/>
  <c r="Z36" i="12"/>
  <c r="AA36" i="12" s="1"/>
  <c r="Z37" i="12"/>
  <c r="AA37" i="12" s="1"/>
  <c r="Z38" i="12"/>
  <c r="AA38" i="12" s="1"/>
  <c r="Z39" i="12"/>
  <c r="AA39" i="12" s="1"/>
  <c r="Z40" i="12"/>
  <c r="AA40" i="12" s="1"/>
  <c r="Z41" i="12"/>
  <c r="AA41" i="12" s="1"/>
  <c r="Z42" i="12"/>
  <c r="AA42" i="12" s="1"/>
  <c r="Z43" i="12"/>
  <c r="AA43" i="12" s="1"/>
  <c r="Z44" i="12"/>
  <c r="AA44" i="12" s="1"/>
  <c r="Z45" i="12"/>
  <c r="AA45" i="12" s="1"/>
  <c r="Z46" i="12"/>
  <c r="AA46" i="12" s="1"/>
  <c r="Z47" i="12"/>
  <c r="AA47" i="12" s="1"/>
  <c r="Z48" i="12"/>
  <c r="AA48" i="12" s="1"/>
  <c r="Z49" i="12"/>
  <c r="AA49" i="12" s="1"/>
  <c r="Z50" i="12"/>
  <c r="AA50" i="12" s="1"/>
  <c r="Z51" i="12"/>
  <c r="AA51" i="12" s="1"/>
  <c r="Z52" i="12"/>
  <c r="AA52" i="12" s="1"/>
  <c r="Z53" i="12"/>
  <c r="AA53" i="12" s="1"/>
  <c r="Z54" i="12"/>
  <c r="AA54" i="12" s="1"/>
  <c r="Z55" i="12"/>
  <c r="AA55" i="12" s="1"/>
  <c r="Z56" i="12"/>
  <c r="AA56" i="12" s="1"/>
  <c r="Z57" i="12"/>
  <c r="Z58" i="12"/>
  <c r="Z59" i="12"/>
  <c r="AA59" i="12" s="1"/>
  <c r="Z60" i="12"/>
  <c r="AA60" i="12" s="1"/>
  <c r="Z61" i="12"/>
  <c r="AA61" i="12" s="1"/>
  <c r="Z62" i="12"/>
  <c r="AA62" i="12" s="1"/>
  <c r="Z63" i="12"/>
  <c r="AA63" i="12" s="1"/>
  <c r="Z64" i="12"/>
  <c r="AA64" i="12" s="1"/>
  <c r="Z65" i="12"/>
  <c r="AA65" i="12" s="1"/>
  <c r="Z66" i="12"/>
  <c r="AA66" i="12" s="1"/>
  <c r="Z67" i="12"/>
  <c r="AA67" i="12" s="1"/>
  <c r="Z68" i="12"/>
  <c r="AA68" i="12" s="1"/>
  <c r="Z69" i="12"/>
  <c r="AA69" i="12" s="1"/>
  <c r="Z70" i="12"/>
  <c r="AA70" i="12" s="1"/>
  <c r="Z71" i="12"/>
  <c r="AA71" i="12" s="1"/>
  <c r="Z72" i="12"/>
  <c r="AA72" i="12" s="1"/>
  <c r="Z73" i="12"/>
  <c r="AA73" i="12" s="1"/>
  <c r="Z74" i="12"/>
  <c r="AA74" i="12" s="1"/>
  <c r="Z75" i="12"/>
  <c r="AA75" i="12" s="1"/>
  <c r="Z76" i="12"/>
  <c r="AA76" i="12" s="1"/>
  <c r="Z77" i="12"/>
  <c r="AA77" i="12" s="1"/>
  <c r="Z78" i="12"/>
  <c r="AA78" i="12" s="1"/>
  <c r="Z8" i="12"/>
  <c r="AA8" i="12" s="1"/>
  <c r="G9" i="12"/>
  <c r="H9" i="12" s="1"/>
  <c r="G10" i="12"/>
  <c r="H10" i="12" s="1"/>
  <c r="G11" i="12"/>
  <c r="H11" i="12" s="1"/>
  <c r="G12" i="12"/>
  <c r="H12" i="12" s="1"/>
  <c r="G13" i="12"/>
  <c r="H13" i="12" s="1"/>
  <c r="G14" i="12"/>
  <c r="H14" i="12" s="1"/>
  <c r="G15" i="12"/>
  <c r="H15" i="12" s="1"/>
  <c r="G16" i="12"/>
  <c r="H16" i="12" s="1"/>
  <c r="G17" i="12"/>
  <c r="H17" i="12" s="1"/>
  <c r="G18" i="12"/>
  <c r="H18" i="12" s="1"/>
  <c r="G19" i="12"/>
  <c r="H19" i="12" s="1"/>
  <c r="G20" i="12"/>
  <c r="H20" i="12" s="1"/>
  <c r="G21" i="12"/>
  <c r="H21" i="12" s="1"/>
  <c r="G22" i="12"/>
  <c r="H22" i="12" s="1"/>
  <c r="G23" i="12"/>
  <c r="H23" i="12" s="1"/>
  <c r="G24" i="12"/>
  <c r="H24" i="12" s="1"/>
  <c r="G25" i="12"/>
  <c r="H25" i="12" s="1"/>
  <c r="G26" i="12"/>
  <c r="H26" i="12" s="1"/>
  <c r="G27" i="12"/>
  <c r="H27" i="12" s="1"/>
  <c r="G28" i="12"/>
  <c r="H28" i="12" s="1"/>
  <c r="G29" i="12"/>
  <c r="H29" i="12" s="1"/>
  <c r="G30" i="12"/>
  <c r="H30" i="12" s="1"/>
  <c r="G31" i="12"/>
  <c r="H31" i="12" s="1"/>
  <c r="G32" i="12"/>
  <c r="H32" i="12" s="1"/>
  <c r="G33" i="12"/>
  <c r="H33" i="12" s="1"/>
  <c r="G34" i="12"/>
  <c r="H34" i="12" s="1"/>
  <c r="G35" i="12"/>
  <c r="H35" i="12" s="1"/>
  <c r="G36" i="12"/>
  <c r="H36" i="12" s="1"/>
  <c r="G37" i="12"/>
  <c r="H37" i="12" s="1"/>
  <c r="G38" i="12"/>
  <c r="H38" i="12" s="1"/>
  <c r="G39" i="12"/>
  <c r="H39" i="12" s="1"/>
  <c r="G40" i="12"/>
  <c r="H40" i="12" s="1"/>
  <c r="G41" i="12"/>
  <c r="H41" i="12" s="1"/>
  <c r="G42" i="12"/>
  <c r="H42" i="12" s="1"/>
  <c r="G43" i="12"/>
  <c r="H43" i="12" s="1"/>
  <c r="G44" i="12"/>
  <c r="H44" i="12" s="1"/>
  <c r="G45" i="12"/>
  <c r="H45" i="12" s="1"/>
  <c r="G46" i="12"/>
  <c r="H46" i="12" s="1"/>
  <c r="G47" i="12"/>
  <c r="H47" i="12" s="1"/>
  <c r="G48" i="12"/>
  <c r="H48" i="12" s="1"/>
  <c r="G49" i="12"/>
  <c r="H49" i="12" s="1"/>
  <c r="G50" i="12"/>
  <c r="H50" i="12" s="1"/>
  <c r="G51" i="12"/>
  <c r="H51" i="12" s="1"/>
  <c r="G52" i="12"/>
  <c r="H52" i="12" s="1"/>
  <c r="G53" i="12"/>
  <c r="H53" i="12" s="1"/>
  <c r="G54" i="12"/>
  <c r="H54" i="12" s="1"/>
  <c r="G55" i="12"/>
  <c r="H55" i="12" s="1"/>
  <c r="G56" i="12"/>
  <c r="H56" i="12" s="1"/>
  <c r="G57" i="12"/>
  <c r="G58" i="12"/>
  <c r="G59" i="12"/>
  <c r="H59" i="12" s="1"/>
  <c r="G60" i="12"/>
  <c r="H60" i="12" s="1"/>
  <c r="G61" i="12"/>
  <c r="H61" i="12" s="1"/>
  <c r="G62" i="12"/>
  <c r="H62" i="12" s="1"/>
  <c r="G63" i="12"/>
  <c r="H63" i="12" s="1"/>
  <c r="G64" i="12"/>
  <c r="H64" i="12" s="1"/>
  <c r="G65" i="12"/>
  <c r="H65" i="12" s="1"/>
  <c r="G66" i="12"/>
  <c r="H66" i="12" s="1"/>
  <c r="G67" i="12"/>
  <c r="H67" i="12" s="1"/>
  <c r="G68" i="12"/>
  <c r="H68" i="12" s="1"/>
  <c r="G69" i="12"/>
  <c r="H69" i="12" s="1"/>
  <c r="G70" i="12"/>
  <c r="H70" i="12" s="1"/>
  <c r="G71" i="12"/>
  <c r="H71" i="12" s="1"/>
  <c r="G72" i="12"/>
  <c r="H72" i="12" s="1"/>
  <c r="G73" i="12"/>
  <c r="H73" i="12" s="1"/>
  <c r="G74" i="12"/>
  <c r="H74" i="12" s="1"/>
  <c r="G75" i="12"/>
  <c r="H75" i="12" s="1"/>
  <c r="G76" i="12"/>
  <c r="H76" i="12" s="1"/>
  <c r="G77" i="12"/>
  <c r="H77" i="12" s="1"/>
  <c r="G78" i="12"/>
  <c r="H78" i="12" s="1"/>
  <c r="G8" i="12"/>
  <c r="H8" i="12" s="1"/>
  <c r="H58" i="12" l="1"/>
  <c r="H57" i="12"/>
  <c r="AA58" i="12"/>
  <c r="AA57" i="12"/>
  <c r="AG20" i="12"/>
  <c r="AG41" i="12"/>
  <c r="AG17" i="12"/>
  <c r="AT31" i="12"/>
  <c r="AT30" i="12"/>
  <c r="AT29" i="12"/>
  <c r="R19" i="12" l="1"/>
  <c r="S19" i="12" s="1"/>
  <c r="R31" i="12"/>
  <c r="S31" i="12" s="1"/>
  <c r="R43" i="12"/>
  <c r="S43" i="12" s="1"/>
  <c r="R55" i="12"/>
  <c r="S55" i="12" s="1"/>
  <c r="R67" i="12"/>
  <c r="S67" i="12" s="1"/>
  <c r="R8" i="12"/>
  <c r="S8" i="12" s="1"/>
  <c r="R68" i="12"/>
  <c r="S68" i="12" s="1"/>
  <c r="R46" i="12"/>
  <c r="S46" i="12" s="1"/>
  <c r="R9" i="12"/>
  <c r="S9" i="12" s="1"/>
  <c r="R21" i="12"/>
  <c r="S21" i="12" s="1"/>
  <c r="R33" i="12"/>
  <c r="S33" i="12" s="1"/>
  <c r="R45" i="12"/>
  <c r="S45" i="12" s="1"/>
  <c r="R57" i="12"/>
  <c r="R69" i="12"/>
  <c r="S69" i="12" s="1"/>
  <c r="R10" i="12"/>
  <c r="S10" i="12" s="1"/>
  <c r="R11" i="12"/>
  <c r="S11" i="12" s="1"/>
  <c r="R23" i="12"/>
  <c r="S23" i="12" s="1"/>
  <c r="R35" i="12"/>
  <c r="S35" i="12" s="1"/>
  <c r="R47" i="12"/>
  <c r="S47" i="12" s="1"/>
  <c r="R59" i="12"/>
  <c r="S59" i="12" s="1"/>
  <c r="R71" i="12"/>
  <c r="S71" i="12" s="1"/>
  <c r="R16" i="12"/>
  <c r="S16" i="12" s="1"/>
  <c r="R76" i="12"/>
  <c r="S76" i="12" s="1"/>
  <c r="R18" i="12"/>
  <c r="S18" i="12" s="1"/>
  <c r="R20" i="12"/>
  <c r="S20" i="12" s="1"/>
  <c r="R12" i="12"/>
  <c r="S12" i="12" s="1"/>
  <c r="R24" i="12"/>
  <c r="S24" i="12" s="1"/>
  <c r="R36" i="12"/>
  <c r="S36" i="12" s="1"/>
  <c r="R48" i="12"/>
  <c r="S48" i="12" s="1"/>
  <c r="R60" i="12"/>
  <c r="S60" i="12" s="1"/>
  <c r="R72" i="12"/>
  <c r="S72" i="12" s="1"/>
  <c r="R44" i="12"/>
  <c r="S44" i="12" s="1"/>
  <c r="R22" i="12"/>
  <c r="S22" i="12" s="1"/>
  <c r="R13" i="12"/>
  <c r="S13" i="12" s="1"/>
  <c r="R25" i="12"/>
  <c r="S25" i="12" s="1"/>
  <c r="R37" i="12"/>
  <c r="S37" i="12" s="1"/>
  <c r="R49" i="12"/>
  <c r="S49" i="12" s="1"/>
  <c r="R61" i="12"/>
  <c r="S61" i="12" s="1"/>
  <c r="R73" i="12"/>
  <c r="S73" i="12" s="1"/>
  <c r="R28" i="12"/>
  <c r="S28" i="12" s="1"/>
  <c r="R66" i="12"/>
  <c r="S66" i="12" s="1"/>
  <c r="R32" i="12"/>
  <c r="S32" i="12" s="1"/>
  <c r="R70" i="12"/>
  <c r="S70" i="12" s="1"/>
  <c r="R14" i="12"/>
  <c r="S14" i="12" s="1"/>
  <c r="R26" i="12"/>
  <c r="S26" i="12" s="1"/>
  <c r="R38" i="12"/>
  <c r="S38" i="12" s="1"/>
  <c r="R50" i="12"/>
  <c r="S50" i="12" s="1"/>
  <c r="R62" i="12"/>
  <c r="S62" i="12" s="1"/>
  <c r="R74" i="12"/>
  <c r="S74" i="12" s="1"/>
  <c r="R52" i="12"/>
  <c r="S52" i="12" s="1"/>
  <c r="R42" i="12"/>
  <c r="S42" i="12" s="1"/>
  <c r="R58" i="12"/>
  <c r="R15" i="12"/>
  <c r="S15" i="12" s="1"/>
  <c r="R27" i="12"/>
  <c r="S27" i="12" s="1"/>
  <c r="R39" i="12"/>
  <c r="S39" i="12" s="1"/>
  <c r="R51" i="12"/>
  <c r="S51" i="12" s="1"/>
  <c r="R63" i="12"/>
  <c r="S63" i="12" s="1"/>
  <c r="R75" i="12"/>
  <c r="S75" i="12" s="1"/>
  <c r="R64" i="12"/>
  <c r="S64" i="12" s="1"/>
  <c r="R30" i="12"/>
  <c r="S30" i="12" s="1"/>
  <c r="R40" i="12"/>
  <c r="S40" i="12" s="1"/>
  <c r="R54" i="12"/>
  <c r="S54" i="12" s="1"/>
  <c r="R56" i="12"/>
  <c r="S56" i="12" s="1"/>
  <c r="R17" i="12"/>
  <c r="S17" i="12" s="1"/>
  <c r="R29" i="12"/>
  <c r="S29" i="12" s="1"/>
  <c r="R41" i="12"/>
  <c r="S41" i="12" s="1"/>
  <c r="R53" i="12"/>
  <c r="S53" i="12" s="1"/>
  <c r="R65" i="12"/>
  <c r="S65" i="12" s="1"/>
  <c r="R77" i="12"/>
  <c r="S77" i="12" s="1"/>
  <c r="R78" i="12"/>
  <c r="S78" i="12" s="1"/>
  <c r="R34" i="12"/>
  <c r="S34" i="12" s="1"/>
  <c r="AG29" i="12"/>
  <c r="AT11" i="12"/>
  <c r="AT10" i="12"/>
  <c r="AT9" i="12"/>
  <c r="S58" i="12" l="1"/>
  <c r="S57" i="12"/>
  <c r="AG34" i="19"/>
  <c r="AG33" i="19"/>
  <c r="AG42" i="19" s="1"/>
  <c r="AG32" i="19"/>
  <c r="AG22" i="19"/>
  <c r="AG21" i="19"/>
  <c r="AG30" i="19" s="1"/>
  <c r="AG20" i="19"/>
  <c r="AG10" i="19"/>
  <c r="AG9" i="19"/>
  <c r="AG18" i="19" s="1"/>
  <c r="AG8" i="19"/>
  <c r="W55" i="19"/>
  <c r="O55" i="19"/>
  <c r="L55" i="19"/>
  <c r="M55" i="19"/>
  <c r="D54" i="19"/>
  <c r="E54" i="19"/>
  <c r="D55" i="19"/>
  <c r="E55" i="19"/>
  <c r="W55" i="12"/>
  <c r="O54" i="12"/>
  <c r="O55" i="12"/>
  <c r="L54" i="12"/>
  <c r="M54" i="12"/>
  <c r="L55" i="12"/>
  <c r="M55" i="12"/>
  <c r="E54" i="12"/>
  <c r="E55" i="12"/>
  <c r="E56" i="12"/>
  <c r="D54" i="12"/>
  <c r="D55" i="12"/>
  <c r="AG17" i="19" l="1"/>
  <c r="G13" i="19"/>
  <c r="H13" i="19" s="1"/>
  <c r="G25" i="19"/>
  <c r="H25" i="19" s="1"/>
  <c r="G37" i="19"/>
  <c r="H37" i="19" s="1"/>
  <c r="G49" i="19"/>
  <c r="H49" i="19" s="1"/>
  <c r="G61" i="19"/>
  <c r="H61" i="19" s="1"/>
  <c r="G73" i="19"/>
  <c r="H73" i="19" s="1"/>
  <c r="G14" i="19"/>
  <c r="H14" i="19" s="1"/>
  <c r="G26" i="19"/>
  <c r="H26" i="19" s="1"/>
  <c r="G38" i="19"/>
  <c r="H38" i="19" s="1"/>
  <c r="G50" i="19"/>
  <c r="H50" i="19" s="1"/>
  <c r="G62" i="19"/>
  <c r="H62" i="19" s="1"/>
  <c r="G74" i="19"/>
  <c r="H74" i="19" s="1"/>
  <c r="G15" i="19"/>
  <c r="H15" i="19" s="1"/>
  <c r="G27" i="19"/>
  <c r="H27" i="19" s="1"/>
  <c r="G39" i="19"/>
  <c r="H39" i="19" s="1"/>
  <c r="G51" i="19"/>
  <c r="H51" i="19" s="1"/>
  <c r="G63" i="19"/>
  <c r="H63" i="19" s="1"/>
  <c r="G75" i="19"/>
  <c r="H75" i="19" s="1"/>
  <c r="G16" i="19"/>
  <c r="H16" i="19" s="1"/>
  <c r="G28" i="19"/>
  <c r="H28" i="19" s="1"/>
  <c r="G40" i="19"/>
  <c r="H40" i="19" s="1"/>
  <c r="G52" i="19"/>
  <c r="H52" i="19" s="1"/>
  <c r="G64" i="19"/>
  <c r="H64" i="19" s="1"/>
  <c r="G76" i="19"/>
  <c r="H76" i="19" s="1"/>
  <c r="G17" i="19"/>
  <c r="H17" i="19" s="1"/>
  <c r="G29" i="19"/>
  <c r="H29" i="19" s="1"/>
  <c r="G41" i="19"/>
  <c r="H41" i="19" s="1"/>
  <c r="G53" i="19"/>
  <c r="H53" i="19" s="1"/>
  <c r="G65" i="19"/>
  <c r="H65" i="19" s="1"/>
  <c r="G77" i="19"/>
  <c r="H77" i="19" s="1"/>
  <c r="G70" i="19"/>
  <c r="H70" i="19" s="1"/>
  <c r="G18" i="19"/>
  <c r="H18" i="19" s="1"/>
  <c r="G30" i="19"/>
  <c r="H30" i="19" s="1"/>
  <c r="G42" i="19"/>
  <c r="H42" i="19" s="1"/>
  <c r="G54" i="19"/>
  <c r="H54" i="19" s="1"/>
  <c r="G66" i="19"/>
  <c r="H66" i="19" s="1"/>
  <c r="G78" i="19"/>
  <c r="H78" i="19" s="1"/>
  <c r="G10" i="19"/>
  <c r="H10" i="19" s="1"/>
  <c r="G58" i="19"/>
  <c r="H58" i="19" s="1"/>
  <c r="G19" i="19"/>
  <c r="H19" i="19" s="1"/>
  <c r="G31" i="19"/>
  <c r="H31" i="19" s="1"/>
  <c r="G43" i="19"/>
  <c r="H43" i="19" s="1"/>
  <c r="G55" i="19"/>
  <c r="H55" i="19" s="1"/>
  <c r="G67" i="19"/>
  <c r="H67" i="19" s="1"/>
  <c r="G8" i="19"/>
  <c r="H8" i="19" s="1"/>
  <c r="G22" i="19"/>
  <c r="H22" i="19" s="1"/>
  <c r="G20" i="19"/>
  <c r="H20" i="19" s="1"/>
  <c r="G32" i="19"/>
  <c r="H32" i="19" s="1"/>
  <c r="G44" i="19"/>
  <c r="H44" i="19" s="1"/>
  <c r="G56" i="19"/>
  <c r="H56" i="19" s="1"/>
  <c r="G68" i="19"/>
  <c r="H68" i="19" s="1"/>
  <c r="G46" i="19"/>
  <c r="H46" i="19" s="1"/>
  <c r="G9" i="19"/>
  <c r="H9" i="19" s="1"/>
  <c r="G21" i="19"/>
  <c r="H21" i="19" s="1"/>
  <c r="G33" i="19"/>
  <c r="H33" i="19" s="1"/>
  <c r="G45" i="19"/>
  <c r="H45" i="19" s="1"/>
  <c r="G57" i="19"/>
  <c r="H57" i="19" s="1"/>
  <c r="G69" i="19"/>
  <c r="H69" i="19" s="1"/>
  <c r="G34" i="19"/>
  <c r="H34" i="19" s="1"/>
  <c r="G11" i="19"/>
  <c r="H11" i="19" s="1"/>
  <c r="G23" i="19"/>
  <c r="H23" i="19" s="1"/>
  <c r="G35" i="19"/>
  <c r="H35" i="19" s="1"/>
  <c r="G47" i="19"/>
  <c r="H47" i="19" s="1"/>
  <c r="G59" i="19"/>
  <c r="H59" i="19" s="1"/>
  <c r="G71" i="19"/>
  <c r="H71" i="19" s="1"/>
  <c r="G12" i="19"/>
  <c r="H12" i="19" s="1"/>
  <c r="G24" i="19"/>
  <c r="H24" i="19" s="1"/>
  <c r="G36" i="19"/>
  <c r="H36" i="19" s="1"/>
  <c r="G48" i="19"/>
  <c r="H48" i="19" s="1"/>
  <c r="G60" i="19"/>
  <c r="H60" i="19" s="1"/>
  <c r="G72" i="19"/>
  <c r="H72" i="19" s="1"/>
  <c r="AG41" i="19"/>
  <c r="Z19" i="19"/>
  <c r="AA19" i="19" s="1"/>
  <c r="Z31" i="19"/>
  <c r="AA31" i="19" s="1"/>
  <c r="Z43" i="19"/>
  <c r="AA43" i="19" s="1"/>
  <c r="Z55" i="19"/>
  <c r="AA55" i="19" s="1"/>
  <c r="Z67" i="19"/>
  <c r="AA67" i="19" s="1"/>
  <c r="Z8" i="19"/>
  <c r="AA8" i="19" s="1"/>
  <c r="Z9" i="19"/>
  <c r="AA9" i="19" s="1"/>
  <c r="Z21" i="19"/>
  <c r="AA21" i="19" s="1"/>
  <c r="Z33" i="19"/>
  <c r="AA33" i="19" s="1"/>
  <c r="Z45" i="19"/>
  <c r="AA45" i="19" s="1"/>
  <c r="Z57" i="19"/>
  <c r="AA57" i="19" s="1"/>
  <c r="Z69" i="19"/>
  <c r="AA69" i="19" s="1"/>
  <c r="Z10" i="19"/>
  <c r="AA10" i="19" s="1"/>
  <c r="Z22" i="19"/>
  <c r="AA22" i="19" s="1"/>
  <c r="Z34" i="19"/>
  <c r="AA34" i="19" s="1"/>
  <c r="Z46" i="19"/>
  <c r="AA46" i="19" s="1"/>
  <c r="Z58" i="19"/>
  <c r="AA58" i="19" s="1"/>
  <c r="Z70" i="19"/>
  <c r="AA70" i="19" s="1"/>
  <c r="Z11" i="19"/>
  <c r="AA11" i="19" s="1"/>
  <c r="Z23" i="19"/>
  <c r="AA23" i="19" s="1"/>
  <c r="Z35" i="19"/>
  <c r="AA35" i="19" s="1"/>
  <c r="Z47" i="19"/>
  <c r="AA47" i="19" s="1"/>
  <c r="Z59" i="19"/>
  <c r="AA59" i="19" s="1"/>
  <c r="Z71" i="19"/>
  <c r="AA71" i="19" s="1"/>
  <c r="Z12" i="19"/>
  <c r="AA12" i="19" s="1"/>
  <c r="Z24" i="19"/>
  <c r="AA24" i="19" s="1"/>
  <c r="Z36" i="19"/>
  <c r="AA36" i="19" s="1"/>
  <c r="Z48" i="19"/>
  <c r="AA48" i="19" s="1"/>
  <c r="Z60" i="19"/>
  <c r="AA60" i="19" s="1"/>
  <c r="Z72" i="19"/>
  <c r="AA72" i="19" s="1"/>
  <c r="Z13" i="19"/>
  <c r="AA13" i="19" s="1"/>
  <c r="Z25" i="19"/>
  <c r="AA25" i="19" s="1"/>
  <c r="Z37" i="19"/>
  <c r="AA37" i="19" s="1"/>
  <c r="Z49" i="19"/>
  <c r="AA49" i="19" s="1"/>
  <c r="Z61" i="19"/>
  <c r="AA61" i="19" s="1"/>
  <c r="Z73" i="19"/>
  <c r="AA73" i="19" s="1"/>
  <c r="Z56" i="19"/>
  <c r="AA56" i="19" s="1"/>
  <c r="Z14" i="19"/>
  <c r="AA14" i="19" s="1"/>
  <c r="Z26" i="19"/>
  <c r="AA26" i="19" s="1"/>
  <c r="Z38" i="19"/>
  <c r="AA38" i="19" s="1"/>
  <c r="Z50" i="19"/>
  <c r="AA50" i="19" s="1"/>
  <c r="Z62" i="19"/>
  <c r="AA62" i="19" s="1"/>
  <c r="Z74" i="19"/>
  <c r="AA74" i="19" s="1"/>
  <c r="Z44" i="19"/>
  <c r="AA44" i="19" s="1"/>
  <c r="Z15" i="19"/>
  <c r="AA15" i="19" s="1"/>
  <c r="Z27" i="19"/>
  <c r="AA27" i="19" s="1"/>
  <c r="Z39" i="19"/>
  <c r="AA39" i="19" s="1"/>
  <c r="Z51" i="19"/>
  <c r="AA51" i="19" s="1"/>
  <c r="Z63" i="19"/>
  <c r="AA63" i="19" s="1"/>
  <c r="Z75" i="19"/>
  <c r="AA75" i="19" s="1"/>
  <c r="Z32" i="19"/>
  <c r="AA32" i="19" s="1"/>
  <c r="Z16" i="19"/>
  <c r="AA16" i="19" s="1"/>
  <c r="Z28" i="19"/>
  <c r="AA28" i="19" s="1"/>
  <c r="Z40" i="19"/>
  <c r="AA40" i="19" s="1"/>
  <c r="Z52" i="19"/>
  <c r="AA52" i="19" s="1"/>
  <c r="Z64" i="19"/>
  <c r="AA64" i="19" s="1"/>
  <c r="Z76" i="19"/>
  <c r="AA76" i="19" s="1"/>
  <c r="Z20" i="19"/>
  <c r="AA20" i="19" s="1"/>
  <c r="Z17" i="19"/>
  <c r="AA17" i="19" s="1"/>
  <c r="Z29" i="19"/>
  <c r="AA29" i="19" s="1"/>
  <c r="Z41" i="19"/>
  <c r="AA41" i="19" s="1"/>
  <c r="Z53" i="19"/>
  <c r="AA53" i="19" s="1"/>
  <c r="Z65" i="19"/>
  <c r="AA65" i="19" s="1"/>
  <c r="Z77" i="19"/>
  <c r="AA77" i="19" s="1"/>
  <c r="Z68" i="19"/>
  <c r="AA68" i="19" s="1"/>
  <c r="Z18" i="19"/>
  <c r="AA18" i="19" s="1"/>
  <c r="Z30" i="19"/>
  <c r="AA30" i="19" s="1"/>
  <c r="Z42" i="19"/>
  <c r="AA42" i="19" s="1"/>
  <c r="Z54" i="19"/>
  <c r="AA54" i="19" s="1"/>
  <c r="Z66" i="19"/>
  <c r="AA66" i="19" s="1"/>
  <c r="Z78" i="19"/>
  <c r="AA78" i="19" s="1"/>
  <c r="R13" i="19"/>
  <c r="S13" i="19" s="1"/>
  <c r="R25" i="19"/>
  <c r="S25" i="19" s="1"/>
  <c r="R37" i="19"/>
  <c r="S37" i="19" s="1"/>
  <c r="R49" i="19"/>
  <c r="S49" i="19" s="1"/>
  <c r="R61" i="19"/>
  <c r="S61" i="19" s="1"/>
  <c r="T61" i="19" s="1"/>
  <c r="R73" i="19"/>
  <c r="S73" i="19" s="1"/>
  <c r="T73" i="19" s="1"/>
  <c r="R26" i="19"/>
  <c r="S26" i="19" s="1"/>
  <c r="R62" i="19"/>
  <c r="S62" i="19" s="1"/>
  <c r="T62" i="19" s="1"/>
  <c r="R15" i="19"/>
  <c r="S15" i="19" s="1"/>
  <c r="R27" i="19"/>
  <c r="S27" i="19" s="1"/>
  <c r="R39" i="19"/>
  <c r="S39" i="19" s="1"/>
  <c r="R51" i="19"/>
  <c r="S51" i="19" s="1"/>
  <c r="R63" i="19"/>
  <c r="S63" i="19" s="1"/>
  <c r="T63" i="19" s="1"/>
  <c r="R75" i="19"/>
  <c r="S75" i="19" s="1"/>
  <c r="T75" i="19" s="1"/>
  <c r="R16" i="19"/>
  <c r="S16" i="19" s="1"/>
  <c r="R28" i="19"/>
  <c r="S28" i="19" s="1"/>
  <c r="R40" i="19"/>
  <c r="S40" i="19" s="1"/>
  <c r="R52" i="19"/>
  <c r="S52" i="19" s="1"/>
  <c r="R64" i="19"/>
  <c r="S64" i="19" s="1"/>
  <c r="T64" i="19" s="1"/>
  <c r="R17" i="19"/>
  <c r="S17" i="19" s="1"/>
  <c r="R29" i="19"/>
  <c r="S29" i="19" s="1"/>
  <c r="R41" i="19"/>
  <c r="S41" i="19" s="1"/>
  <c r="R53" i="19"/>
  <c r="S53" i="19" s="1"/>
  <c r="R65" i="19"/>
  <c r="S65" i="19" s="1"/>
  <c r="T65" i="19" s="1"/>
  <c r="R77" i="19"/>
  <c r="S77" i="19" s="1"/>
  <c r="T77" i="19" s="1"/>
  <c r="R18" i="19"/>
  <c r="S18" i="19" s="1"/>
  <c r="R30" i="19"/>
  <c r="S30" i="19" s="1"/>
  <c r="R42" i="19"/>
  <c r="S42" i="19" s="1"/>
  <c r="R54" i="19"/>
  <c r="S54" i="19" s="1"/>
  <c r="R66" i="19"/>
  <c r="S66" i="19" s="1"/>
  <c r="T66" i="19" s="1"/>
  <c r="R78" i="19"/>
  <c r="S78" i="19" s="1"/>
  <c r="T78" i="19" s="1"/>
  <c r="R76" i="19"/>
  <c r="S76" i="19" s="1"/>
  <c r="T76" i="19" s="1"/>
  <c r="R19" i="19"/>
  <c r="S19" i="19" s="1"/>
  <c r="R31" i="19"/>
  <c r="S31" i="19" s="1"/>
  <c r="R43" i="19"/>
  <c r="S43" i="19" s="1"/>
  <c r="R55" i="19"/>
  <c r="S55" i="19" s="1"/>
  <c r="R67" i="19"/>
  <c r="S67" i="19" s="1"/>
  <c r="T67" i="19" s="1"/>
  <c r="R8" i="19"/>
  <c r="S8" i="19" s="1"/>
  <c r="R38" i="19"/>
  <c r="S38" i="19" s="1"/>
  <c r="R20" i="19"/>
  <c r="S20" i="19" s="1"/>
  <c r="R32" i="19"/>
  <c r="S32" i="19" s="1"/>
  <c r="R44" i="19"/>
  <c r="S44" i="19" s="1"/>
  <c r="R56" i="19"/>
  <c r="S56" i="19" s="1"/>
  <c r="T56" i="19" s="1"/>
  <c r="R68" i="19"/>
  <c r="S68" i="19" s="1"/>
  <c r="T68" i="19" s="1"/>
  <c r="R14" i="19"/>
  <c r="S14" i="19" s="1"/>
  <c r="R9" i="19"/>
  <c r="S9" i="19" s="1"/>
  <c r="R21" i="19"/>
  <c r="S21" i="19" s="1"/>
  <c r="R33" i="19"/>
  <c r="S33" i="19" s="1"/>
  <c r="R45" i="19"/>
  <c r="S45" i="19" s="1"/>
  <c r="R57" i="19"/>
  <c r="S57" i="19" s="1"/>
  <c r="R69" i="19"/>
  <c r="S69" i="19" s="1"/>
  <c r="T69" i="19" s="1"/>
  <c r="R50" i="19"/>
  <c r="S50" i="19" s="1"/>
  <c r="R10" i="19"/>
  <c r="S10" i="19" s="1"/>
  <c r="R22" i="19"/>
  <c r="S22" i="19" s="1"/>
  <c r="R34" i="19"/>
  <c r="S34" i="19" s="1"/>
  <c r="R46" i="19"/>
  <c r="S46" i="19" s="1"/>
  <c r="R58" i="19"/>
  <c r="S58" i="19" s="1"/>
  <c r="R70" i="19"/>
  <c r="S70" i="19" s="1"/>
  <c r="T70" i="19" s="1"/>
  <c r="R74" i="19"/>
  <c r="S74" i="19" s="1"/>
  <c r="T74" i="19" s="1"/>
  <c r="R11" i="19"/>
  <c r="S11" i="19" s="1"/>
  <c r="R23" i="19"/>
  <c r="S23" i="19" s="1"/>
  <c r="R35" i="19"/>
  <c r="S35" i="19" s="1"/>
  <c r="R47" i="19"/>
  <c r="S47" i="19" s="1"/>
  <c r="R59" i="19"/>
  <c r="S59" i="19" s="1"/>
  <c r="T59" i="19" s="1"/>
  <c r="R71" i="19"/>
  <c r="S71" i="19" s="1"/>
  <c r="T71" i="19" s="1"/>
  <c r="R12" i="19"/>
  <c r="S12" i="19" s="1"/>
  <c r="R24" i="19"/>
  <c r="S24" i="19" s="1"/>
  <c r="R36" i="19"/>
  <c r="S36" i="19" s="1"/>
  <c r="R48" i="19"/>
  <c r="S48" i="19" s="1"/>
  <c r="R60" i="19"/>
  <c r="S60" i="19" s="1"/>
  <c r="T60" i="19" s="1"/>
  <c r="R72" i="19"/>
  <c r="S72" i="19" s="1"/>
  <c r="T72" i="19" s="1"/>
  <c r="P55" i="12"/>
  <c r="X55" i="12"/>
  <c r="AG29" i="19"/>
  <c r="W53" i="12"/>
  <c r="W54" i="12"/>
  <c r="L53" i="12"/>
  <c r="D53" i="12"/>
  <c r="E53" i="12"/>
  <c r="T57" i="19" l="1"/>
  <c r="T58" i="19"/>
  <c r="X54" i="12"/>
  <c r="W53" i="19"/>
  <c r="W54" i="19"/>
  <c r="X55" i="19" s="1"/>
  <c r="O53" i="19"/>
  <c r="O54" i="19"/>
  <c r="P55" i="19" s="1"/>
  <c r="T55" i="19" s="1"/>
  <c r="M53" i="19"/>
  <c r="M54" i="19"/>
  <c r="L53" i="19"/>
  <c r="L54" i="19"/>
  <c r="E53" i="19"/>
  <c r="D53" i="19"/>
  <c r="P54" i="19" l="1"/>
  <c r="T54" i="19" s="1"/>
  <c r="X54" i="19"/>
  <c r="O53" i="12"/>
  <c r="P54" i="12" s="1"/>
  <c r="L52" i="12"/>
  <c r="M52" i="12"/>
  <c r="M53" i="12"/>
  <c r="D52" i="12"/>
  <c r="E52" i="12"/>
  <c r="W52" i="19"/>
  <c r="X53" i="19" s="1"/>
  <c r="O52" i="19"/>
  <c r="P53" i="19" s="1"/>
  <c r="T53" i="19" s="1"/>
  <c r="L52" i="19"/>
  <c r="M52" i="19"/>
  <c r="E52" i="19"/>
  <c r="D52" i="19"/>
  <c r="AU11" i="19" l="1"/>
  <c r="AU10" i="19"/>
  <c r="AU9" i="19"/>
  <c r="AU21" i="19"/>
  <c r="AU20" i="19"/>
  <c r="AU19" i="19"/>
  <c r="AU31" i="19"/>
  <c r="AU30" i="19"/>
  <c r="AU29" i="19"/>
  <c r="W51" i="12"/>
  <c r="W52" i="12"/>
  <c r="X53" i="12" s="1"/>
  <c r="O51" i="12"/>
  <c r="O52" i="12"/>
  <c r="P53" i="12" s="1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W31" i="12"/>
  <c r="Y31" i="12" s="1"/>
  <c r="O31" i="12"/>
  <c r="M31" i="12"/>
  <c r="L31" i="12"/>
  <c r="E31" i="12"/>
  <c r="D31" i="12"/>
  <c r="F31" i="12" s="1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AT22" i="12"/>
  <c r="W22" i="12"/>
  <c r="O22" i="12"/>
  <c r="M22" i="12"/>
  <c r="L22" i="12"/>
  <c r="E22" i="12"/>
  <c r="D22" i="12"/>
  <c r="F22" i="12" s="1"/>
  <c r="W21" i="12"/>
  <c r="Y21" i="12" s="1"/>
  <c r="O21" i="12"/>
  <c r="Q21" i="12" s="1"/>
  <c r="M21" i="12"/>
  <c r="L21" i="12"/>
  <c r="E21" i="12"/>
  <c r="D21" i="12"/>
  <c r="F21" i="12" s="1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W11" i="12"/>
  <c r="O11" i="12"/>
  <c r="Q11" i="12" s="1"/>
  <c r="M11" i="12"/>
  <c r="L11" i="12"/>
  <c r="E11" i="12"/>
  <c r="D11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T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Q52" i="19" l="1"/>
  <c r="T52" i="19"/>
  <c r="X27" i="12"/>
  <c r="P40" i="12"/>
  <c r="X12" i="12"/>
  <c r="P14" i="12"/>
  <c r="X20" i="12"/>
  <c r="AB8" i="12"/>
  <c r="AB9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I72" i="12"/>
  <c r="I12" i="12"/>
  <c r="I19" i="12"/>
  <c r="I20" i="12"/>
  <c r="I24" i="12"/>
  <c r="I31" i="12"/>
  <c r="I32" i="12"/>
  <c r="I36" i="12"/>
  <c r="I43" i="12"/>
  <c r="I44" i="12"/>
  <c r="I48" i="12"/>
  <c r="I60" i="12"/>
  <c r="I67" i="12"/>
  <c r="I68" i="12"/>
  <c r="I14" i="12"/>
  <c r="I26" i="12"/>
  <c r="I38" i="12"/>
  <c r="I50" i="12"/>
  <c r="I62" i="12"/>
  <c r="I74" i="12"/>
  <c r="I15" i="12"/>
  <c r="I27" i="12"/>
  <c r="I51" i="12"/>
  <c r="I63" i="12"/>
  <c r="I75" i="12"/>
  <c r="I16" i="12"/>
  <c r="I28" i="12"/>
  <c r="I40" i="12"/>
  <c r="I52" i="12"/>
  <c r="I64" i="12"/>
  <c r="I76" i="12"/>
  <c r="I17" i="12"/>
  <c r="I29" i="12"/>
  <c r="I41" i="12"/>
  <c r="I53" i="12"/>
  <c r="I65" i="12"/>
  <c r="I77" i="12"/>
  <c r="I18" i="12"/>
  <c r="I30" i="12"/>
  <c r="I42" i="12"/>
  <c r="I66" i="12"/>
  <c r="I78" i="12"/>
  <c r="I9" i="12"/>
  <c r="I21" i="12"/>
  <c r="I33" i="12"/>
  <c r="I45" i="12"/>
  <c r="I69" i="12"/>
  <c r="I10" i="12"/>
  <c r="I22" i="12"/>
  <c r="I34" i="12"/>
  <c r="I46" i="12"/>
  <c r="I58" i="12"/>
  <c r="I70" i="12"/>
  <c r="I13" i="12"/>
  <c r="I11" i="12"/>
  <c r="I23" i="12"/>
  <c r="I35" i="12"/>
  <c r="I47" i="12"/>
  <c r="I59" i="12"/>
  <c r="I71" i="12"/>
  <c r="I25" i="12"/>
  <c r="I37" i="12"/>
  <c r="I49" i="12"/>
  <c r="I61" i="12"/>
  <c r="I73" i="12"/>
  <c r="I8" i="12"/>
  <c r="T66" i="12"/>
  <c r="T31" i="12"/>
  <c r="T21" i="12"/>
  <c r="T23" i="12"/>
  <c r="T32" i="12"/>
  <c r="T72" i="12"/>
  <c r="T73" i="12"/>
  <c r="T74" i="12"/>
  <c r="T76" i="12"/>
  <c r="T18" i="12"/>
  <c r="T19" i="12"/>
  <c r="T68" i="12"/>
  <c r="T75" i="12"/>
  <c r="T9" i="12"/>
  <c r="T30" i="12"/>
  <c r="T12" i="12"/>
  <c r="T13" i="12"/>
  <c r="T14" i="12"/>
  <c r="T15" i="12"/>
  <c r="T16" i="12"/>
  <c r="T17" i="12"/>
  <c r="T42" i="12"/>
  <c r="T43" i="12"/>
  <c r="T10" i="12"/>
  <c r="T22" i="12"/>
  <c r="T34" i="12"/>
  <c r="T46" i="12"/>
  <c r="T58" i="12"/>
  <c r="T70" i="12"/>
  <c r="T35" i="12"/>
  <c r="T47" i="12"/>
  <c r="T59" i="12"/>
  <c r="T71" i="12"/>
  <c r="T65" i="12"/>
  <c r="T77" i="12"/>
  <c r="T20" i="12"/>
  <c r="T33" i="12"/>
  <c r="T24" i="12"/>
  <c r="T25" i="12"/>
  <c r="T26" i="12"/>
  <c r="T27" i="12"/>
  <c r="T28" i="12"/>
  <c r="T29" i="12"/>
  <c r="T54" i="12"/>
  <c r="T45" i="12"/>
  <c r="T36" i="12"/>
  <c r="T38" i="12"/>
  <c r="T40" i="12"/>
  <c r="T67" i="12"/>
  <c r="T44" i="12"/>
  <c r="T48" i="12"/>
  <c r="T49" i="12"/>
  <c r="T50" i="12"/>
  <c r="T51" i="12"/>
  <c r="T52" i="12"/>
  <c r="T53" i="12"/>
  <c r="T78" i="12"/>
  <c r="T8" i="12"/>
  <c r="T37" i="12"/>
  <c r="T39" i="12"/>
  <c r="T41" i="12"/>
  <c r="T69" i="12"/>
  <c r="T11" i="12"/>
  <c r="T60" i="12"/>
  <c r="T61" i="12"/>
  <c r="T62" i="12"/>
  <c r="T63" i="12"/>
  <c r="T64" i="12"/>
  <c r="P35" i="12"/>
  <c r="AG12" i="12"/>
  <c r="AG15" i="12" s="1"/>
  <c r="P11" i="12"/>
  <c r="P39" i="12"/>
  <c r="F26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T57" i="12" l="1"/>
  <c r="T56" i="12"/>
  <c r="T55" i="12"/>
  <c r="I54" i="12"/>
  <c r="I57" i="12"/>
  <c r="I56" i="12"/>
  <c r="I55" i="12"/>
  <c r="N8" i="12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AG25" i="12" l="1" a="1"/>
  <c r="AG25" i="12" s="1"/>
  <c r="AG28" i="12" s="1"/>
  <c r="AG26" i="12" a="1"/>
  <c r="AG26" i="12" s="1"/>
  <c r="AT18" i="12" s="1"/>
  <c r="AG13" i="12" a="1"/>
  <c r="AG13" i="12" s="1"/>
  <c r="AG16" i="12" s="1"/>
  <c r="AG14" i="12" a="1"/>
  <c r="AG14" i="12" s="1"/>
  <c r="AT8" i="12" s="1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J54" i="12" l="1"/>
  <c r="J57" i="12"/>
  <c r="J58" i="12"/>
  <c r="K58" i="12"/>
  <c r="K57" i="12"/>
  <c r="U57" i="12"/>
  <c r="U58" i="12"/>
  <c r="V58" i="12"/>
  <c r="V57" i="12"/>
  <c r="U20" i="12"/>
  <c r="V46" i="12"/>
  <c r="V53" i="12"/>
  <c r="V38" i="12"/>
  <c r="U53" i="12"/>
  <c r="V42" i="12"/>
  <c r="V29" i="12"/>
  <c r="U30" i="12"/>
  <c r="V26" i="12"/>
  <c r="U39" i="12"/>
  <c r="V47" i="12"/>
  <c r="V10" i="12"/>
  <c r="U38" i="12"/>
  <c r="U26" i="12"/>
  <c r="V41" i="12"/>
  <c r="V54" i="12"/>
  <c r="U46" i="12"/>
  <c r="U43" i="12"/>
  <c r="V39" i="12"/>
  <c r="U40" i="12"/>
  <c r="V48" i="12"/>
  <c r="V11" i="12"/>
  <c r="U36" i="12"/>
  <c r="V9" i="12"/>
  <c r="V20" i="12"/>
  <c r="V22" i="12"/>
  <c r="U11" i="12"/>
  <c r="U52" i="12"/>
  <c r="U34" i="12"/>
  <c r="U31" i="12"/>
  <c r="V27" i="12"/>
  <c r="U28" i="12"/>
  <c r="V36" i="12"/>
  <c r="U35" i="12"/>
  <c r="U24" i="12"/>
  <c r="V56" i="12"/>
  <c r="V16" i="12"/>
  <c r="U21" i="12"/>
  <c r="V34" i="12"/>
  <c r="U9" i="12"/>
  <c r="V17" i="12"/>
  <c r="V35" i="12"/>
  <c r="V51" i="12"/>
  <c r="U54" i="12"/>
  <c r="U22" i="12"/>
  <c r="U10" i="12"/>
  <c r="U19" i="12"/>
  <c r="V15" i="12"/>
  <c r="U16" i="12"/>
  <c r="V24" i="12"/>
  <c r="U49" i="12"/>
  <c r="U12" i="12"/>
  <c r="U56" i="12"/>
  <c r="U33" i="12"/>
  <c r="V8" i="12"/>
  <c r="U51" i="12"/>
  <c r="V14" i="12"/>
  <c r="U15" i="12"/>
  <c r="V31" i="12"/>
  <c r="V52" i="12"/>
  <c r="U8" i="12"/>
  <c r="V49" i="12"/>
  <c r="V12" i="12"/>
  <c r="U37" i="12"/>
  <c r="V45" i="12"/>
  <c r="V55" i="12"/>
  <c r="V13" i="12"/>
  <c r="V44" i="12"/>
  <c r="U42" i="12"/>
  <c r="V30" i="12"/>
  <c r="U27" i="12"/>
  <c r="U23" i="12"/>
  <c r="V23" i="12"/>
  <c r="V32" i="12"/>
  <c r="V43" i="12"/>
  <c r="U44" i="12"/>
  <c r="V37" i="12"/>
  <c r="U55" i="12"/>
  <c r="U17" i="12"/>
  <c r="V50" i="12"/>
  <c r="U14" i="12"/>
  <c r="U18" i="12"/>
  <c r="V18" i="12"/>
  <c r="U48" i="12"/>
  <c r="V19" i="12"/>
  <c r="V40" i="12"/>
  <c r="U41" i="12"/>
  <c r="U47" i="12"/>
  <c r="U25" i="12"/>
  <c r="V33" i="12"/>
  <c r="U45" i="12"/>
  <c r="U32" i="12"/>
  <c r="V28" i="12"/>
  <c r="U29" i="12"/>
  <c r="V25" i="12"/>
  <c r="U50" i="12"/>
  <c r="U13" i="12"/>
  <c r="V21" i="12"/>
  <c r="J48" i="12"/>
  <c r="K26" i="12"/>
  <c r="K48" i="12"/>
  <c r="J38" i="12"/>
  <c r="K10" i="12"/>
  <c r="J11" i="12"/>
  <c r="K15" i="12"/>
  <c r="K39" i="12"/>
  <c r="K20" i="12"/>
  <c r="K22" i="12"/>
  <c r="K17" i="12"/>
  <c r="K36" i="12"/>
  <c r="J25" i="12"/>
  <c r="J43" i="12"/>
  <c r="K49" i="12"/>
  <c r="K46" i="12"/>
  <c r="J15" i="12"/>
  <c r="K30" i="12"/>
  <c r="K29" i="12"/>
  <c r="J23" i="12"/>
  <c r="K28" i="12"/>
  <c r="J28" i="12"/>
  <c r="K35" i="12"/>
  <c r="K19" i="12"/>
  <c r="J17" i="12"/>
  <c r="K51" i="12"/>
  <c r="K25" i="12"/>
  <c r="J10" i="12"/>
  <c r="J33" i="12"/>
  <c r="K43" i="12"/>
  <c r="J19" i="12"/>
  <c r="K33" i="12"/>
  <c r="K24" i="12"/>
  <c r="J47" i="12"/>
  <c r="K21" i="12"/>
  <c r="K11" i="12"/>
  <c r="K27" i="12"/>
  <c r="J29" i="12"/>
  <c r="J50" i="12"/>
  <c r="K34" i="12"/>
  <c r="J49" i="12"/>
  <c r="K13" i="12"/>
  <c r="J39" i="12"/>
  <c r="K8" i="12"/>
  <c r="K9" i="12"/>
  <c r="J42" i="12"/>
  <c r="K12" i="12"/>
  <c r="J21" i="12"/>
  <c r="J8" i="12"/>
  <c r="K50" i="12"/>
  <c r="K44" i="12"/>
  <c r="K47" i="12"/>
  <c r="J20" i="12"/>
  <c r="J22" i="12"/>
  <c r="J32" i="12"/>
  <c r="J12" i="12"/>
  <c r="K41" i="12"/>
  <c r="J34" i="12"/>
  <c r="K54" i="12"/>
  <c r="J41" i="12"/>
  <c r="K14" i="12"/>
  <c r="K45" i="12"/>
  <c r="J36" i="12"/>
  <c r="J44" i="12"/>
  <c r="J14" i="12"/>
  <c r="J35" i="12"/>
  <c r="J53" i="12"/>
  <c r="K56" i="12"/>
  <c r="K53" i="12"/>
  <c r="K18" i="12"/>
  <c r="J45" i="12"/>
  <c r="J26" i="12"/>
  <c r="J9" i="12"/>
  <c r="K38" i="12"/>
  <c r="K32" i="12"/>
  <c r="J51" i="12"/>
  <c r="J30" i="12"/>
  <c r="K31" i="12"/>
  <c r="J52" i="12"/>
  <c r="K55" i="12"/>
  <c r="K37" i="12"/>
  <c r="K40" i="12"/>
  <c r="J55" i="12"/>
  <c r="J37" i="12"/>
  <c r="J27" i="12"/>
  <c r="K16" i="12"/>
  <c r="J18" i="12"/>
  <c r="K52" i="12"/>
  <c r="J56" i="12"/>
  <c r="K42" i="12"/>
  <c r="J46" i="12"/>
  <c r="J40" i="12"/>
  <c r="J24" i="12"/>
  <c r="K23" i="12"/>
  <c r="J31" i="12"/>
  <c r="J13" i="12"/>
  <c r="J16" i="12"/>
  <c r="N11" i="12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N78" i="12"/>
  <c r="AG40" i="12" l="1"/>
  <c r="N118" i="12"/>
  <c r="AD58" i="12" l="1"/>
  <c r="AC57" i="12"/>
  <c r="AC58" i="12"/>
  <c r="AD57" i="12"/>
  <c r="AC56" i="12"/>
  <c r="AD55" i="12"/>
  <c r="AC55" i="12"/>
  <c r="AD56" i="12"/>
  <c r="AC54" i="12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T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40" i="19" l="1"/>
  <c r="P28" i="19"/>
  <c r="P16" i="19"/>
  <c r="AG12" i="19"/>
  <c r="P42" i="19"/>
  <c r="P30" i="19"/>
  <c r="P18" i="19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P35" i="19"/>
  <c r="P23" i="19"/>
  <c r="P11" i="19"/>
  <c r="P45" i="19"/>
  <c r="P33" i="19"/>
  <c r="P21" i="19"/>
  <c r="X20" i="19"/>
  <c r="Y20" i="19" s="1"/>
  <c r="P31" i="19"/>
  <c r="P19" i="19"/>
  <c r="X42" i="19"/>
  <c r="Y42" i="19" s="1"/>
  <c r="X30" i="19"/>
  <c r="Y30" i="19" s="1"/>
  <c r="X18" i="19"/>
  <c r="Y18" i="19" s="1"/>
  <c r="I10" i="19"/>
  <c r="I9" i="19"/>
  <c r="P46" i="19"/>
  <c r="P10" i="19"/>
  <c r="P9" i="19"/>
  <c r="T9" i="19" s="1"/>
  <c r="P43" i="19"/>
  <c r="Q50" i="19"/>
  <c r="X17" i="19"/>
  <c r="Y17" i="19" s="1"/>
  <c r="X19" i="19"/>
  <c r="Y19" i="19" s="1"/>
  <c r="Q51" i="19"/>
  <c r="X43" i="19"/>
  <c r="Y43" i="19" s="1"/>
  <c r="P49" i="19"/>
  <c r="P39" i="19"/>
  <c r="P27" i="19"/>
  <c r="P15" i="19"/>
  <c r="P37" i="19"/>
  <c r="P25" i="19"/>
  <c r="P13" i="19"/>
  <c r="P41" i="19"/>
  <c r="P29" i="19"/>
  <c r="P17" i="19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P36" i="19"/>
  <c r="P24" i="19"/>
  <c r="P12" i="19"/>
  <c r="P38" i="19"/>
  <c r="P34" i="19"/>
  <c r="P22" i="19"/>
  <c r="X33" i="19"/>
  <c r="Y33" i="19" s="1"/>
  <c r="P26" i="19"/>
  <c r="X40" i="19"/>
  <c r="Y40" i="19" s="1"/>
  <c r="X28" i="19"/>
  <c r="Y28" i="19" s="1"/>
  <c r="X16" i="19"/>
  <c r="Y16" i="19" s="1"/>
  <c r="X31" i="19"/>
  <c r="Y31" i="19" s="1"/>
  <c r="P44" i="19"/>
  <c r="P32" i="19"/>
  <c r="P20" i="19"/>
  <c r="Y51" i="19"/>
  <c r="X39" i="19"/>
  <c r="Y39" i="19" s="1"/>
  <c r="X27" i="19"/>
  <c r="Y27" i="19" s="1"/>
  <c r="X15" i="19"/>
  <c r="Y15" i="19" s="1"/>
  <c r="P14" i="19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Q19" i="19" l="1"/>
  <c r="T19" i="19"/>
  <c r="Q31" i="19"/>
  <c r="T31" i="19"/>
  <c r="Q12" i="19"/>
  <c r="T12" i="19"/>
  <c r="Q38" i="19"/>
  <c r="T38" i="19"/>
  <c r="Q32" i="19"/>
  <c r="T32" i="19"/>
  <c r="Q24" i="19"/>
  <c r="T24" i="19"/>
  <c r="Q13" i="19"/>
  <c r="T13" i="19"/>
  <c r="Q43" i="19"/>
  <c r="T43" i="19"/>
  <c r="Q21" i="19"/>
  <c r="T21" i="19"/>
  <c r="Q18" i="19"/>
  <c r="T18" i="19"/>
  <c r="Q22" i="19"/>
  <c r="T22" i="19"/>
  <c r="Q20" i="19"/>
  <c r="T20" i="19"/>
  <c r="Q41" i="19"/>
  <c r="T41" i="19"/>
  <c r="Q33" i="19"/>
  <c r="T33" i="19"/>
  <c r="Q30" i="19"/>
  <c r="T30" i="19"/>
  <c r="Q34" i="19"/>
  <c r="T34" i="19"/>
  <c r="Q48" i="19"/>
  <c r="T48" i="19"/>
  <c r="Q42" i="19"/>
  <c r="T42" i="19"/>
  <c r="Q17" i="19"/>
  <c r="T17" i="19"/>
  <c r="Q46" i="19"/>
  <c r="T46" i="19"/>
  <c r="Q44" i="19"/>
  <c r="T44" i="19"/>
  <c r="Q36" i="19"/>
  <c r="T36" i="19"/>
  <c r="Q37" i="19"/>
  <c r="T37" i="19"/>
  <c r="Q45" i="19"/>
  <c r="T45" i="19"/>
  <c r="Q15" i="19"/>
  <c r="T15" i="19"/>
  <c r="Q11" i="19"/>
  <c r="T11" i="19"/>
  <c r="Q27" i="19"/>
  <c r="T27" i="19"/>
  <c r="Q23" i="19"/>
  <c r="T23" i="19"/>
  <c r="Q16" i="19"/>
  <c r="T16" i="19"/>
  <c r="Q29" i="19"/>
  <c r="T29" i="19"/>
  <c r="Q25" i="19"/>
  <c r="T25" i="19"/>
  <c r="Q39" i="19"/>
  <c r="T39" i="19"/>
  <c r="Q35" i="19"/>
  <c r="T35" i="19"/>
  <c r="Q28" i="19"/>
  <c r="T28" i="19"/>
  <c r="Q10" i="19"/>
  <c r="T10" i="19"/>
  <c r="Q14" i="19"/>
  <c r="T14" i="19"/>
  <c r="Q26" i="19"/>
  <c r="T26" i="19"/>
  <c r="Q49" i="19"/>
  <c r="T49" i="19"/>
  <c r="Q47" i="19"/>
  <c r="T47" i="19"/>
  <c r="Q40" i="19"/>
  <c r="T40" i="19"/>
  <c r="C12" i="19"/>
  <c r="N10" i="19"/>
  <c r="AB10" i="19"/>
  <c r="AG35" i="19"/>
  <c r="Y9" i="19"/>
  <c r="AG36" i="19"/>
  <c r="AG39" i="19" s="1"/>
  <c r="Q9" i="19"/>
  <c r="AG24" i="19"/>
  <c r="AG23" i="19"/>
  <c r="AB11" i="19"/>
  <c r="AB9" i="19"/>
  <c r="N11" i="19" l="1"/>
  <c r="I11" i="19"/>
  <c r="C13" i="19"/>
  <c r="AB12" i="19"/>
  <c r="N12" i="19" l="1"/>
  <c r="I12" i="19"/>
  <c r="AB13" i="19"/>
  <c r="C14" i="19"/>
  <c r="AB14" i="19" l="1"/>
  <c r="C15" i="19"/>
  <c r="N13" i="19"/>
  <c r="I13" i="19"/>
  <c r="AB15" i="19" l="1"/>
  <c r="C16" i="19"/>
  <c r="N14" i="19"/>
  <c r="I14" i="19"/>
  <c r="N15" i="19" l="1"/>
  <c r="I15" i="19"/>
  <c r="AB16" i="19"/>
  <c r="C17" i="19"/>
  <c r="N16" i="19" l="1"/>
  <c r="I16" i="19"/>
  <c r="AB17" i="19"/>
  <c r="C18" i="19"/>
  <c r="AB18" i="19" l="1"/>
  <c r="C19" i="19"/>
  <c r="N17" i="19"/>
  <c r="I17" i="19"/>
  <c r="AB19" i="19" l="1"/>
  <c r="C20" i="19"/>
  <c r="N18" i="19"/>
  <c r="I18" i="19"/>
  <c r="AB20" i="19" l="1"/>
  <c r="C21" i="19"/>
  <c r="N19" i="19"/>
  <c r="I19" i="19"/>
  <c r="AB21" i="19" l="1"/>
  <c r="C22" i="19"/>
  <c r="N20" i="19"/>
  <c r="I20" i="19"/>
  <c r="AB22" i="19" l="1"/>
  <c r="C23" i="19"/>
  <c r="N21" i="19"/>
  <c r="I21" i="19"/>
  <c r="AB23" i="19" l="1"/>
  <c r="C24" i="19"/>
  <c r="N22" i="19"/>
  <c r="I22" i="19"/>
  <c r="AB24" i="19" l="1"/>
  <c r="C25" i="19"/>
  <c r="N23" i="19"/>
  <c r="I23" i="19"/>
  <c r="AB25" i="19" l="1"/>
  <c r="C26" i="19"/>
  <c r="N24" i="19"/>
  <c r="I24" i="19"/>
  <c r="AB26" i="19" l="1"/>
  <c r="C27" i="19"/>
  <c r="N25" i="19"/>
  <c r="I25" i="19"/>
  <c r="AB27" i="19" l="1"/>
  <c r="C28" i="19"/>
  <c r="N26" i="19"/>
  <c r="I26" i="19"/>
  <c r="AB28" i="19" l="1"/>
  <c r="C29" i="19"/>
  <c r="N27" i="19"/>
  <c r="I27" i="19"/>
  <c r="N28" i="19" l="1"/>
  <c r="I28" i="19"/>
  <c r="AB29" i="19"/>
  <c r="C30" i="19"/>
  <c r="AB30" i="19" l="1"/>
  <c r="C31" i="19"/>
  <c r="N29" i="19"/>
  <c r="I29" i="19"/>
  <c r="AB31" i="19" l="1"/>
  <c r="C32" i="19"/>
  <c r="N30" i="19"/>
  <c r="I30" i="19"/>
  <c r="AB32" i="19" l="1"/>
  <c r="C33" i="19"/>
  <c r="N31" i="19"/>
  <c r="I31" i="19"/>
  <c r="N32" i="19" l="1"/>
  <c r="I32" i="19"/>
  <c r="AB33" i="19"/>
  <c r="C34" i="19"/>
  <c r="AB34" i="19" l="1"/>
  <c r="C35" i="19"/>
  <c r="N33" i="19"/>
  <c r="I33" i="19"/>
  <c r="AB35" i="19" l="1"/>
  <c r="C36" i="19"/>
  <c r="N34" i="19"/>
  <c r="I34" i="19"/>
  <c r="AB36" i="19" l="1"/>
  <c r="C37" i="19"/>
  <c r="N35" i="19"/>
  <c r="I35" i="19"/>
  <c r="AB37" i="19" l="1"/>
  <c r="C38" i="19"/>
  <c r="N36" i="19"/>
  <c r="I36" i="19"/>
  <c r="AB38" i="19" l="1"/>
  <c r="C39" i="19"/>
  <c r="N37" i="19"/>
  <c r="I37" i="19"/>
  <c r="AB39" i="19" l="1"/>
  <c r="C40" i="19"/>
  <c r="N38" i="19"/>
  <c r="I38" i="19"/>
  <c r="AB40" i="19" l="1"/>
  <c r="C41" i="19"/>
  <c r="N39" i="19"/>
  <c r="I39" i="19"/>
  <c r="AB41" i="19" l="1"/>
  <c r="C42" i="19"/>
  <c r="N40" i="19"/>
  <c r="I40" i="19"/>
  <c r="AB42" i="19" l="1"/>
  <c r="C43" i="19"/>
  <c r="N41" i="19"/>
  <c r="I41" i="19"/>
  <c r="AB43" i="19" l="1"/>
  <c r="C44" i="19"/>
  <c r="N42" i="19"/>
  <c r="I42" i="19"/>
  <c r="AB44" i="19" l="1"/>
  <c r="C45" i="19"/>
  <c r="N43" i="19"/>
  <c r="I43" i="19"/>
  <c r="AB45" i="19" l="1"/>
  <c r="C46" i="19"/>
  <c r="N44" i="19"/>
  <c r="I44" i="19"/>
  <c r="AB46" i="19" l="1"/>
  <c r="C47" i="19"/>
  <c r="N45" i="19"/>
  <c r="I45" i="19"/>
  <c r="AB47" i="19" l="1"/>
  <c r="C48" i="19"/>
  <c r="N46" i="19"/>
  <c r="I46" i="19"/>
  <c r="N47" i="19" l="1"/>
  <c r="I47" i="19"/>
  <c r="AB48" i="19"/>
  <c r="C49" i="19"/>
  <c r="N48" i="19" l="1"/>
  <c r="I48" i="19"/>
  <c r="AB49" i="19"/>
  <c r="C50" i="19"/>
  <c r="N49" i="19" l="1"/>
  <c r="I49" i="19"/>
  <c r="C51" i="19"/>
  <c r="C52" i="19" l="1"/>
  <c r="AB50" i="19"/>
  <c r="N50" i="19"/>
  <c r="I50" i="19"/>
  <c r="C53" i="19" l="1"/>
  <c r="N51" i="19"/>
  <c r="I51" i="19"/>
  <c r="AB51" i="19"/>
  <c r="AB52" i="19" l="1"/>
  <c r="AB53" i="19"/>
  <c r="C54" i="19"/>
  <c r="I52" i="19"/>
  <c r="N52" i="19"/>
  <c r="N53" i="19" l="1"/>
  <c r="I53" i="19"/>
  <c r="AB54" i="19"/>
  <c r="C55" i="19"/>
  <c r="N54" i="19" l="1"/>
  <c r="I54" i="19"/>
  <c r="AB55" i="19"/>
  <c r="C56" i="19"/>
  <c r="AB56" i="19" l="1"/>
  <c r="C57" i="19"/>
  <c r="N55" i="19"/>
  <c r="I55" i="19"/>
  <c r="AB57" i="19" l="1"/>
  <c r="C58" i="19"/>
  <c r="N56" i="19"/>
  <c r="I56" i="19"/>
  <c r="AB58" i="19" l="1"/>
  <c r="C59" i="19"/>
  <c r="N57" i="19"/>
  <c r="I57" i="19"/>
  <c r="N58" i="19" l="1"/>
  <c r="I58" i="19"/>
  <c r="AB59" i="19"/>
  <c r="C60" i="19"/>
  <c r="AB60" i="19" l="1"/>
  <c r="C61" i="19"/>
  <c r="N59" i="19"/>
  <c r="I59" i="19"/>
  <c r="AB61" i="19" l="1"/>
  <c r="C62" i="19"/>
  <c r="N60" i="19"/>
  <c r="I60" i="19"/>
  <c r="AB62" i="19" l="1"/>
  <c r="C63" i="19"/>
  <c r="N61" i="19"/>
  <c r="I61" i="19"/>
  <c r="AB63" i="19" l="1"/>
  <c r="C64" i="19"/>
  <c r="N62" i="19"/>
  <c r="I62" i="19"/>
  <c r="AB64" i="19" l="1"/>
  <c r="C65" i="19"/>
  <c r="N63" i="19"/>
  <c r="I63" i="19"/>
  <c r="AB65" i="19" l="1"/>
  <c r="C66" i="19"/>
  <c r="N64" i="19"/>
  <c r="I64" i="19"/>
  <c r="AU23" i="19"/>
  <c r="AU22" i="19"/>
  <c r="AU13" i="19"/>
  <c r="AU12" i="19"/>
  <c r="N65" i="19" l="1"/>
  <c r="I65" i="19"/>
  <c r="AB66" i="19"/>
  <c r="C67" i="19"/>
  <c r="AB67" i="19" l="1"/>
  <c r="C68" i="19"/>
  <c r="N66" i="19"/>
  <c r="I66" i="19"/>
  <c r="C69" i="19" l="1"/>
  <c r="AB68" i="19"/>
  <c r="N67" i="19"/>
  <c r="I67" i="19"/>
  <c r="C70" i="19" l="1"/>
  <c r="AB69" i="19"/>
  <c r="N68" i="19"/>
  <c r="I68" i="19"/>
  <c r="N69" i="19" l="1"/>
  <c r="I69" i="19"/>
  <c r="C71" i="19"/>
  <c r="AB70" i="19"/>
  <c r="C72" i="19" l="1"/>
  <c r="AB71" i="19"/>
  <c r="N70" i="19"/>
  <c r="I70" i="19"/>
  <c r="N71" i="19" l="1"/>
  <c r="I71" i="19"/>
  <c r="C73" i="19"/>
  <c r="AB72" i="19"/>
  <c r="AG15" i="19"/>
  <c r="AG27" i="19"/>
  <c r="N72" i="19" l="1"/>
  <c r="I72" i="19"/>
  <c r="AB73" i="19"/>
  <c r="C74" i="19"/>
  <c r="N73" i="19" l="1"/>
  <c r="I73" i="19"/>
  <c r="AB74" i="19"/>
  <c r="C75" i="19"/>
  <c r="N74" i="19" l="1"/>
  <c r="I74" i="19"/>
  <c r="C76" i="19"/>
  <c r="AB75" i="19"/>
  <c r="N75" i="19" l="1"/>
  <c r="I75" i="19"/>
  <c r="AB76" i="19"/>
  <c r="C77" i="19"/>
  <c r="N76" i="19" l="1"/>
  <c r="I76" i="19"/>
  <c r="AB77" i="19"/>
  <c r="C78" i="19"/>
  <c r="N77" i="19" l="1"/>
  <c r="I77" i="19"/>
  <c r="AB78" i="19"/>
  <c r="AG37" i="19" l="1" a="1"/>
  <c r="AG37" i="19" s="1"/>
  <c r="AG40" i="19" s="1"/>
  <c r="AG38" i="19" a="1"/>
  <c r="AG38" i="19" s="1"/>
  <c r="AU28" i="19" s="1"/>
  <c r="N78" i="19"/>
  <c r="I78" i="19"/>
  <c r="AG26" i="19" a="1"/>
  <c r="AG26" i="19" s="1"/>
  <c r="AU18" i="19" s="1"/>
  <c r="AG25" i="19" a="1"/>
  <c r="AG25" i="19" s="1"/>
  <c r="AG28" i="19" s="1"/>
  <c r="V57" i="19" l="1"/>
  <c r="V58" i="19"/>
  <c r="U56" i="19"/>
  <c r="V56" i="19"/>
  <c r="U58" i="19"/>
  <c r="U57" i="19"/>
  <c r="AC58" i="19"/>
  <c r="AC57" i="19"/>
  <c r="AD57" i="19"/>
  <c r="AD58" i="19"/>
  <c r="AD55" i="19"/>
  <c r="AC56" i="19"/>
  <c r="AD56" i="19"/>
  <c r="AC55" i="19"/>
  <c r="U55" i="19"/>
  <c r="V55" i="19"/>
  <c r="U54" i="19"/>
  <c r="V54" i="19"/>
  <c r="AC54" i="19"/>
  <c r="AD54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U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7" i="19" l="1"/>
  <c r="J58" i="19"/>
  <c r="K57" i="19"/>
  <c r="K58" i="19"/>
  <c r="K56" i="19"/>
  <c r="J56" i="19"/>
  <c r="J55" i="19"/>
  <c r="K55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tc={0E3BBDD2-49F3-4791-8649-958B5A2F428B}</author>
    <author>tc={9A58F8C8-EC4D-4204-BDBD-1ED773C791C2}</author>
    <author>tc={CC489CA4-0428-4260-9C71-F50F294E0276}</author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AH3" authorId="0" shapeId="0" xr:uid="{0E3BBDD2-49F3-4791-8649-958B5A2F428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1" shapeId="0" xr:uid="{9A58F8C8-EC4D-4204-BDBD-1ED773C791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2" shapeId="0" xr:uid="{CC489CA4-0428-4260-9C71-F50F294E027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3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7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10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11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12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3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4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5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6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tc={56C95333-8DE0-4A27-B487-EECE41AE20FB}</author>
    <author>tc={013D75A6-D219-4696-8A74-E71BD1DE8067}</author>
    <author>tc={74D534AB-025B-453A-B72C-53CD493EE2CD}</author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AH3" authorId="0" shapeId="0" xr:uid="{56C95333-8DE0-4A27-B487-EECE41AE20F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H4" authorId="1" shapeId="0" xr:uid="{013D75A6-D219-4696-8A74-E71BD1DE806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2" shapeId="0" xr:uid="{74D534AB-025B-453A-B72C-53CD493EE2C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3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4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5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6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7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8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9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<sst xmlns="http://schemas.openxmlformats.org/spreadsheetml/2006/main" count="363" uniqueCount="114">
  <si>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</si>
  <si>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</si>
  <si>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</si>
  <si>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</si>
  <si>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</si>
  <si>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</si>
  <si>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</si>
  <si>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</si>
  <si>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</si>
  <si>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</si>
  <si>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</si>
  <si>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</si>
  <si>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</si>
  <si>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</si>
  <si>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</si>
  <si>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</si>
  <si>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</si>
  <si>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</si>
  <si>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</si>
  <si>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</si>
  <si>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</si>
  <si>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</si>
  <si>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</si>
  <si>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</si>
  <si>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</si>
  <si>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</si>
  <si>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</si>
  <si>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</si>
  <si>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</si>
  <si>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</si>
  <si>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</si>
  <si>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</si>
  <si>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</si>
  <si>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</si>
  <si>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</si>
  <si>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</si>
  <si>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</si>
  <si>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</si>
  <si>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</si>
  <si>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</si>
  <si>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</si>
  <si>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</si>
  <si>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</si>
  <si>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</si>
  <si>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</si>
  <si>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</si>
  <si>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</si>
  <si>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</si>
  <si>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</si>
  <si>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</si>
  <si>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</si>
  <si>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</si>
  <si>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</si>
  <si>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</si>
  <si>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</si>
  <si>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</si>
  <si>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</si>
  <si>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</si>
  <si>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</si>
  <si>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</si>
  <si>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</si>
  <si>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</si>
  <si>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</si>
  <si>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</si>
  <si>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</si>
  <si>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</si>
  <si>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</si>
  <si>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</si>
  <si>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</si>
  <si>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</si>
  <si>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</si>
  <si>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</si>
  <si>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</si>
  <si>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</si>
  <si>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</si>
  <si>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</si>
  <si>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</si>
  <si>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</si>
  <si>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</si>
  <si>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</si>
  <si>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</si>
  <si>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</si>
  <si>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</si>
  <si>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</si>
  <si>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</si>
  <si>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</si>
  <si>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</si>
  <si>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</si>
  <si>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</si>
  <si>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</si>
  <si>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</si>
  <si>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</si>
  <si>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</si>
  <si>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</si>
  <si>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</si>
  <si>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</si>
  <si>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</si>
  <si>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</si>
  <si>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</si>
  <si>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R_Upper CI</t>
  </si>
  <si>
    <t>R_Lower CI</t>
  </si>
  <si>
    <t>D_Upper CI</t>
  </si>
  <si>
    <t>D_Lower CI</t>
  </si>
  <si>
    <t>pd-IT-0011</t>
  </si>
  <si>
    <t>pd-EN-0011</t>
  </si>
  <si>
    <t>dc-IT-0003</t>
  </si>
  <si>
    <t>dc-EN-0003</t>
  </si>
  <si>
    <t>Solver method: GRG2 non linear engine - option: default</t>
  </si>
  <si>
    <r>
      <t>t</t>
    </r>
    <r>
      <rPr>
        <i/>
        <vertAlign val="subscript"/>
        <sz val="11"/>
        <color theme="8"/>
        <rFont val="Calibri"/>
        <family val="2"/>
        <scheme val="minor"/>
      </rPr>
      <t>0</t>
    </r>
    <r>
      <rPr>
        <i/>
        <sz val="11"/>
        <color theme="8"/>
        <rFont val="Calibri"/>
        <family val="2"/>
        <scheme val="minor"/>
      </rPr>
      <t>=</t>
    </r>
  </si>
  <si>
    <r>
      <t>R</t>
    </r>
    <r>
      <rPr>
        <vertAlign val="superscript"/>
        <sz val="11"/>
        <color theme="8"/>
        <rFont val="Calibri"/>
        <family val="2"/>
        <scheme val="minor"/>
      </rPr>
      <t>2</t>
    </r>
  </si>
  <si>
    <t>Saturation value</t>
  </si>
  <si>
    <r>
      <t>t</t>
    </r>
    <r>
      <rPr>
        <i/>
        <vertAlign val="subscript"/>
        <sz val="11"/>
        <color rgb="FF00B050"/>
        <rFont val="Calibri"/>
        <family val="2"/>
        <scheme val="minor"/>
      </rPr>
      <t>0</t>
    </r>
    <r>
      <rPr>
        <i/>
        <sz val="11"/>
        <color rgb="FF00B05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</si>
  <si>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00B050"/>
        <rFont val="Calibri"/>
        <family val="2"/>
        <scheme val="minor"/>
      </rPr>
      <t>2</t>
    </r>
  </si>
  <si>
    <t>Modeling function: Boltzmann ion channel (logistic-like)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</si>
</sst>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vertAlign val="subscript"/>
      <sz val="11"/>
      <color theme="8"/>
      <name val="Calibri"/>
      <family val="2"/>
      <scheme val="minor"/>
    </font>
    <font>
      <vertAlign val="superscript"/>
      <sz val="11"/>
      <color theme="8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vertAlign val="subscript"/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0" fillId="8" borderId="2" xfId="0" applyFill="1" applyBorder="1" applyAlignment="1">
      <alignment wrapText="1"/>
    </xf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13" fillId="6" borderId="0" xfId="8" applyFont="1" applyAlignment="1">
      <alignment horizontal="center" wrapText="1"/>
    </xf>
    <xf numFmtId="0" fontId="0" fillId="9" borderId="2" xfId="0" applyFill="1" applyBorder="1" applyAlignment="1">
      <alignment wrapText="1"/>
    </xf>
    <xf numFmtId="164" fontId="1" fillId="9" borderId="3" xfId="0" applyNumberFormat="1" applyFont="1" applyFill="1" applyBorder="1"/>
    <xf numFmtId="0" fontId="1" fillId="9" borderId="3" xfId="0" applyFont="1" applyFill="1" applyBorder="1"/>
    <xf numFmtId="0" fontId="1" fillId="9" borderId="7" xfId="0" applyFont="1" applyFill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Fill="1"/>
    <xf numFmtId="165" fontId="24" fillId="0" borderId="0" xfId="0" applyNumberFormat="1" applyFont="1"/>
    <xf numFmtId="164" fontId="31" fillId="8" borderId="3" xfId="0" applyNumberFormat="1" applyFont="1" applyFill="1" applyBorder="1"/>
    <xf numFmtId="0" fontId="31" fillId="8" borderId="3" xfId="0" applyFont="1" applyFill="1" applyBorder="1"/>
    <xf numFmtId="0" fontId="31" fillId="8" borderId="4" xfId="0" applyFont="1" applyFill="1" applyBorder="1"/>
    <xf numFmtId="164" fontId="30" fillId="8" borderId="3" xfId="0" applyNumberFormat="1" applyFont="1" applyFill="1" applyBorder="1"/>
    <xf numFmtId="0" fontId="30" fillId="8" borderId="3" xfId="0" applyFont="1" applyFill="1" applyBorder="1"/>
    <xf numFmtId="0" fontId="30" fillId="8" borderId="7" xfId="0" applyFont="1" applyFill="1" applyBorder="1"/>
    <xf numFmtId="1" fontId="1" fillId="2" borderId="0" xfId="0" applyNumberFormat="1" applyFont="1" applyFill="1"/>
    <xf numFmtId="0" fontId="32" fillId="2" borderId="0" xfId="0" applyFont="1" applyFill="1"/>
    <xf numFmtId="1" fontId="26" fillId="2" borderId="0" xfId="0" applyNumberFormat="1" applyFont="1" applyFill="1"/>
    <xf numFmtId="2" fontId="26" fillId="2" borderId="0" xfId="0" applyNumberFormat="1" applyFont="1" applyFill="1"/>
    <xf numFmtId="1" fontId="26" fillId="0" borderId="0" xfId="0" applyNumberFormat="1" applyFont="1"/>
    <xf numFmtId="2" fontId="26" fillId="0" borderId="0" xfId="0" applyNumberFormat="1" applyFont="1"/>
    <xf numFmtId="164" fontId="26" fillId="0" borderId="0" xfId="0" applyNumberFormat="1" applyFont="1"/>
    <xf numFmtId="164" fontId="12" fillId="9" borderId="3" xfId="0" applyNumberFormat="1" applyFont="1" applyFill="1" applyBorder="1"/>
    <xf numFmtId="0" fontId="12" fillId="9" borderId="3" xfId="0" applyFont="1" applyFill="1" applyBorder="1"/>
    <xf numFmtId="0" fontId="12" fillId="9" borderId="4" xfId="0" applyFont="1" applyFill="1" applyBorder="1"/>
    <xf numFmtId="164" fontId="15" fillId="9" borderId="3" xfId="0" applyNumberFormat="1" applyFont="1" applyFill="1" applyBorder="1"/>
    <xf numFmtId="0" fontId="15" fillId="9" borderId="3" xfId="0" applyFont="1" applyFill="1" applyBorder="1"/>
    <xf numFmtId="0" fontId="15" fillId="9" borderId="7" xfId="0" applyFont="1" applyFill="1" applyBorder="1"/>
    <xf numFmtId="0" fontId="35" fillId="2" borderId="0" xfId="0" applyFont="1" applyFill="1"/>
    <xf numFmtId="1" fontId="15" fillId="2" borderId="0" xfId="0" applyNumberFormat="1" applyFont="1" applyFill="1"/>
    <xf numFmtId="2" fontId="15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  <xf numFmtId="0" fontId="0" fillId="9" borderId="5" xfId="0" applyFont="1" applyFill="1" applyBorder="1" applyAlignment="1">
      <alignment horizontal="center" vertical="center" textRotation="180" wrapText="1"/>
    </xf>
    <xf numFmtId="0" fontId="0" fillId="9" borderId="3" xfId="0" applyFont="1" applyFill="1" applyBorder="1" applyAlignment="1">
      <alignment horizontal="center" vertical="center" textRotation="180" wrapText="1"/>
    </xf>
    <xf numFmtId="0" fontId="0" fillId="9" borderId="6" xfId="0" applyFont="1" applyFill="1" applyBorder="1" applyAlignment="1">
      <alignment horizontal="center" vertical="center" textRotation="180" wrapText="1"/>
    </xf>
    <xf numFmtId="0" fontId="0" fillId="9" borderId="5" xfId="0" applyFill="1" applyBorder="1" applyAlignment="1">
      <alignment horizontal="center" vertical="center" textRotation="180" wrapText="1"/>
    </xf>
    <xf numFmtId="0" fontId="0" fillId="9" borderId="3" xfId="0" applyFill="1" applyBorder="1" applyAlignment="1">
      <alignment horizontal="center" vertical="center" textRotation="180" wrapText="1"/>
    </xf>
    <xf numFmtId="0" fontId="0" fillId="9" borderId="6" xfId="0" applyFill="1" applyBorder="1" applyAlignment="1">
      <alignment horizontal="center" vertical="center" textRotation="180" wrapText="1"/>
    </xf>
    <xf numFmtId="0" fontId="20" fillId="0" borderId="0" xfId="4"/>
    <xf numFmtId="0" fontId="5" fillId="5" borderId="0" xfId="3" applyBorder="1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Boltzmann'!$C$7:$C$70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Boltzmann'!$D$7:$D$70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Boltzmann'!$E$6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Boltzmann'!$C$7:$C$70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Boltzmann'!$E$7:$E$70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  <c:pt idx="51">
                  <c:v>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Boltzmann'!$F$6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Boltzmann'!$C$7:$C$70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Boltzmann'!$F$7:$F$70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Boltzmann'!$G$6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Boltzmann'!$C$7:$C$70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Boltzmann'!$G$7:$G$70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1602.6381370762444</c:v>
                </c:pt>
                <c:pt idx="2">
                  <c:v>1850.6210350450003</c:v>
                </c:pt>
                <c:pt idx="3">
                  <c:v>2136.4805916629098</c:v>
                </c:pt>
                <c:pt idx="4">
                  <c:v>2465.8378529687525</c:v>
                </c:pt>
                <c:pt idx="5">
                  <c:v>2845.0937864369407</c:v>
                </c:pt>
                <c:pt idx="6">
                  <c:v>3281.5195390529962</c:v>
                </c:pt>
                <c:pt idx="7">
                  <c:v>3783.3510512978924</c:v>
                </c:pt>
                <c:pt idx="8">
                  <c:v>4359.8859016385895</c:v>
                </c:pt>
                <c:pt idx="9">
                  <c:v>5021.5792187131492</c:v>
                </c:pt>
                <c:pt idx="10">
                  <c:v>5780.1341752836533</c:v>
                </c:pt>
                <c:pt idx="11">
                  <c:v>6648.5809327374882</c:v>
                </c:pt>
                <c:pt idx="12">
                  <c:v>7641.3359167332374</c:v>
                </c:pt>
                <c:pt idx="13">
                  <c:v>8774.2309830641734</c:v>
                </c:pt>
                <c:pt idx="14">
                  <c:v>10064.499438178311</c:v>
                </c:pt>
                <c:pt idx="15">
                  <c:v>11530.703148765959</c:v>
                </c:pt>
                <c:pt idx="16">
                  <c:v>13192.582357041849</c:v>
                </c:pt>
                <c:pt idx="17">
                  <c:v>15070.807705228801</c:v>
                </c:pt>
                <c:pt idx="18">
                  <c:v>17186.612931739906</c:v>
                </c:pt>
                <c:pt idx="19">
                  <c:v>19561.287488333455</c:v>
                </c:pt>
                <c:pt idx="20">
                  <c:v>22215.511863368971</c:v>
                </c:pt>
                <c:pt idx="21">
                  <c:v>25168.525685298409</c:v>
                </c:pt>
                <c:pt idx="22">
                  <c:v>28437.13064070743</c:v>
                </c:pt>
                <c:pt idx="23">
                  <c:v>32034.547432035135</c:v>
                </c:pt>
                <c:pt idx="24">
                  <c:v>35969.168252492986</c:v>
                </c:pt>
                <c:pt idx="25">
                  <c:v>40243.272255063785</c:v>
                </c:pt>
                <c:pt idx="26">
                  <c:v>44851.798426307607</c:v>
                </c:pt>
                <c:pt idx="27">
                  <c:v>49781.293720428774</c:v>
                </c:pt>
                <c:pt idx="28">
                  <c:v>55009.168560036727</c:v>
                </c:pt>
                <c:pt idx="29">
                  <c:v>60503.390811237718</c:v>
                </c:pt>
                <c:pt idx="30">
                  <c:v>66222.728207862558</c:v>
                </c:pt>
                <c:pt idx="31">
                  <c:v>72117.60606253671</c:v>
                </c:pt>
                <c:pt idx="32">
                  <c:v>78131.584700509353</c:v>
                </c:pt>
                <c:pt idx="33">
                  <c:v>84203.387360425142</c:v>
                </c:pt>
                <c:pt idx="34">
                  <c:v>90269.336603474425</c:v>
                </c:pt>
                <c:pt idx="35">
                  <c:v>96265.999560046272</c:v>
                </c:pt>
                <c:pt idx="36">
                  <c:v>102132.81171957769</c:v>
                </c:pt>
                <c:pt idx="37">
                  <c:v>107814.45214901217</c:v>
                </c:pt>
                <c:pt idx="38">
                  <c:v>113262.77930223847</c:v>
                </c:pt>
                <c:pt idx="39">
                  <c:v>118438.19804812952</c:v>
                </c:pt>
                <c:pt idx="40">
                  <c:v>123310.40246903521</c:v>
                </c:pt>
                <c:pt idx="41">
                  <c:v>127858.51142482595</c:v>
                </c:pt>
                <c:pt idx="42">
                  <c:v>132070.67319996018</c:v>
                </c:pt>
                <c:pt idx="43">
                  <c:v>135943.25471660061</c:v>
                </c:pt>
                <c:pt idx="44">
                  <c:v>139479.74799401569</c:v>
                </c:pt>
                <c:pt idx="45">
                  <c:v>142689.52432074895</c:v>
                </c:pt>
                <c:pt idx="46">
                  <c:v>145586.55021415278</c:v>
                </c:pt>
                <c:pt idx="47">
                  <c:v>148188.15476182848</c:v>
                </c:pt>
                <c:pt idx="48">
                  <c:v>150513.91089223372</c:v>
                </c:pt>
                <c:pt idx="49">
                  <c:v>152584.66764509384</c:v>
                </c:pt>
                <c:pt idx="50">
                  <c:v>154421.7491266061</c:v>
                </c:pt>
                <c:pt idx="51">
                  <c:v>156046.31961461328</c:v>
                </c:pt>
                <c:pt idx="52">
                  <c:v>157478.90322988198</c:v>
                </c:pt>
                <c:pt idx="53">
                  <c:v>158739.04006118359</c:v>
                </c:pt>
                <c:pt idx="54">
                  <c:v>159845.05767308382</c:v>
                </c:pt>
                <c:pt idx="55">
                  <c:v>160813.93653749977</c:v>
                </c:pt>
                <c:pt idx="56">
                  <c:v>161661.24921812676</c:v>
                </c:pt>
                <c:pt idx="57">
                  <c:v>162401.15537917835</c:v>
                </c:pt>
                <c:pt idx="58">
                  <c:v>163046.43735279425</c:v>
                </c:pt>
                <c:pt idx="59">
                  <c:v>163608.56371953647</c:v>
                </c:pt>
                <c:pt idx="60">
                  <c:v>164097.77090867789</c:v>
                </c:pt>
                <c:pt idx="61">
                  <c:v>164523.1550882333</c:v>
                </c:pt>
                <c:pt idx="62">
                  <c:v>164892.76853973939</c:v>
                </c:pt>
                <c:pt idx="63">
                  <c:v>165213.71629698615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Boltzmann'!$H$6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230.74039447986172</c:v>
                </c:pt>
                <c:pt idx="2">
                  <c:v>266.04504761015374</c:v>
                </c:pt>
                <c:pt idx="3">
                  <c:v>306.60949542294389</c:v>
                </c:pt>
                <c:pt idx="4">
                  <c:v>353.17034770980371</c:v>
                </c:pt>
                <c:pt idx="5">
                  <c:v>406.55179519372734</c:v>
                </c:pt>
                <c:pt idx="6">
                  <c:v>467.67074529363231</c:v>
                </c:pt>
                <c:pt idx="7">
                  <c:v>537.54026651904178</c:v>
                </c:pt>
                <c:pt idx="8">
                  <c:v>617.27043290950621</c:v>
                </c:pt>
                <c:pt idx="9">
                  <c:v>708.0653950955334</c:v>
                </c:pt>
                <c:pt idx="10">
                  <c:v>811.21519893714242</c:v>
                </c:pt>
                <c:pt idx="11">
                  <c:v>928.08053650713089</c:v>
                </c:pt>
                <c:pt idx="12">
                  <c:v>1060.0682695367493</c:v>
                </c:pt>
                <c:pt idx="13">
                  <c:v>1208.5952517493142</c:v>
                </c:pt>
                <c:pt idx="14">
                  <c:v>1375.037756793422</c:v>
                </c:pt>
                <c:pt idx="15">
                  <c:v>1560.6637856839659</c:v>
                </c:pt>
                <c:pt idx="16">
                  <c:v>1766.5458091450391</c:v>
                </c:pt>
                <c:pt idx="17">
                  <c:v>1993.4522575299459</c:v>
                </c:pt>
                <c:pt idx="18">
                  <c:v>2241.7174898866601</c:v>
                </c:pt>
                <c:pt idx="19">
                  <c:v>2511.0922390184073</c:v>
                </c:pt>
                <c:pt idx="20">
                  <c:v>2800.5797775094575</c:v>
                </c:pt>
                <c:pt idx="21">
                  <c:v>3108.2672953095393</c:v>
                </c:pt>
                <c:pt idx="22">
                  <c:v>3431.1670181656136</c:v>
                </c:pt>
                <c:pt idx="23">
                  <c:v>3765.0868982792026</c:v>
                </c:pt>
                <c:pt idx="24">
                  <c:v>4104.5553377923507</c:v>
                </c:pt>
                <c:pt idx="25">
                  <c:v>4442.8270168779882</c:v>
                </c:pt>
                <c:pt idx="26">
                  <c:v>4771.995880002105</c:v>
                </c:pt>
                <c:pt idx="27">
                  <c:v>5083.2351500132945</c:v>
                </c:pt>
                <c:pt idx="28">
                  <c:v>5367.1719669993972</c:v>
                </c:pt>
                <c:pt idx="29">
                  <c:v>5614.3862112340112</c:v>
                </c:pt>
                <c:pt idx="30">
                  <c:v>5816.0013450761107</c:v>
                </c:pt>
                <c:pt idx="31">
                  <c:v>5964.3136093834419</c:v>
                </c:pt>
                <c:pt idx="32">
                  <c:v>6053.389779617045</c:v>
                </c:pt>
                <c:pt idx="33">
                  <c:v>6079.5579839989123</c:v>
                </c:pt>
                <c:pt idx="34">
                  <c:v>6041.724072898458</c:v>
                </c:pt>
                <c:pt idx="35">
                  <c:v>5941.4677034404349</c:v>
                </c:pt>
                <c:pt idx="36">
                  <c:v>5782.9038835635893</c:v>
                </c:pt>
                <c:pt idx="37">
                  <c:v>5572.3304692391685</c:v>
                </c:pt>
                <c:pt idx="38">
                  <c:v>5317.7123147462135</c:v>
                </c:pt>
                <c:pt idx="39">
                  <c:v>5028.0721214658206</c:v>
                </c:pt>
                <c:pt idx="40">
                  <c:v>4712.8634035436762</c:v>
                </c:pt>
                <c:pt idx="41">
                  <c:v>4381.3930590311393</c:v>
                </c:pt>
                <c:pt idx="42">
                  <c:v>4042.3435202572646</c:v>
                </c:pt>
                <c:pt idx="43">
                  <c:v>3703.4225547976675</c:v>
                </c:pt>
                <c:pt idx="44">
                  <c:v>3371.1474963617125</c:v>
                </c:pt>
                <c:pt idx="45">
                  <c:v>3050.7536024826386</c:v>
                </c:pt>
                <c:pt idx="46">
                  <c:v>2746.2050976148244</c:v>
                </c:pt>
                <c:pt idx="47">
                  <c:v>2460.2823165237037</c:v>
                </c:pt>
                <c:pt idx="48">
                  <c:v>2194.7181316160772</c:v>
                </c:pt>
                <c:pt idx="49">
                  <c:v>1950.3599439894474</c:v>
                </c:pt>
                <c:pt idx="50">
                  <c:v>1727.3383596111594</c:v>
                </c:pt>
                <c:pt idx="51">
                  <c:v>1525.228983265416</c:v>
                </c:pt>
                <c:pt idx="52">
                  <c:v>1343.1986851929332</c:v>
                </c:pt>
                <c:pt idx="53">
                  <c:v>1180.1317659213273</c:v>
                </c:pt>
                <c:pt idx="54">
                  <c:v>1034.7345072833637</c:v>
                </c:pt>
                <c:pt idx="55">
                  <c:v>905.61869565931215</c:v>
                </c:pt>
                <c:pt idx="56">
                  <c:v>791.36598704375547</c:v>
                </c:pt>
                <c:pt idx="57">
                  <c:v>690.57564040068507</c:v>
                </c:pt>
                <c:pt idx="58">
                  <c:v>601.89835865253872</c:v>
                </c:pt>
                <c:pt idx="59">
                  <c:v>524.05890119256662</c:v>
                </c:pt>
                <c:pt idx="60">
                  <c:v>455.86988892336512</c:v>
                </c:pt>
                <c:pt idx="61">
                  <c:v>396.23889954456348</c:v>
                </c:pt>
                <c:pt idx="62">
                  <c:v>344.17060535586262</c:v>
                </c:pt>
                <c:pt idx="63">
                  <c:v>298.76537400768086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1602.6381370762444</c:v>
                </c:pt>
                <c:pt idx="2">
                  <c:v>1850.6210350450003</c:v>
                </c:pt>
                <c:pt idx="3">
                  <c:v>2136.4805916629098</c:v>
                </c:pt>
                <c:pt idx="4">
                  <c:v>2465.8378529687525</c:v>
                </c:pt>
                <c:pt idx="5">
                  <c:v>2845.0937864369407</c:v>
                </c:pt>
                <c:pt idx="6">
                  <c:v>3281.5195390529962</c:v>
                </c:pt>
                <c:pt idx="7">
                  <c:v>3783.3510512978924</c:v>
                </c:pt>
                <c:pt idx="8">
                  <c:v>4359.8859016385895</c:v>
                </c:pt>
                <c:pt idx="9">
                  <c:v>5021.5792187131492</c:v>
                </c:pt>
                <c:pt idx="10">
                  <c:v>5780.1341752836533</c:v>
                </c:pt>
                <c:pt idx="11">
                  <c:v>6648.5809327374882</c:v>
                </c:pt>
                <c:pt idx="12">
                  <c:v>7641.3359167332374</c:v>
                </c:pt>
                <c:pt idx="13">
                  <c:v>8774.2309830641734</c:v>
                </c:pt>
                <c:pt idx="14">
                  <c:v>10064.499438178311</c:v>
                </c:pt>
                <c:pt idx="15">
                  <c:v>11530.703148765959</c:v>
                </c:pt>
                <c:pt idx="16">
                  <c:v>13192.582357041849</c:v>
                </c:pt>
                <c:pt idx="17">
                  <c:v>15070.807705228801</c:v>
                </c:pt>
                <c:pt idx="18">
                  <c:v>17186.612931739906</c:v>
                </c:pt>
                <c:pt idx="19">
                  <c:v>19561.287488333455</c:v>
                </c:pt>
                <c:pt idx="20">
                  <c:v>22215.511863368971</c:v>
                </c:pt>
                <c:pt idx="21">
                  <c:v>25168.525685298409</c:v>
                </c:pt>
                <c:pt idx="22">
                  <c:v>28437.13064070743</c:v>
                </c:pt>
                <c:pt idx="23">
                  <c:v>32034.547432035135</c:v>
                </c:pt>
                <c:pt idx="24">
                  <c:v>35969.168252492986</c:v>
                </c:pt>
                <c:pt idx="25">
                  <c:v>40243.272255063785</c:v>
                </c:pt>
                <c:pt idx="26">
                  <c:v>44851.798426307607</c:v>
                </c:pt>
                <c:pt idx="27">
                  <c:v>49781.293720428774</c:v>
                </c:pt>
                <c:pt idx="28">
                  <c:v>55009.168560036727</c:v>
                </c:pt>
                <c:pt idx="29">
                  <c:v>60503.390811237718</c:v>
                </c:pt>
                <c:pt idx="30">
                  <c:v>66222.728207862558</c:v>
                </c:pt>
                <c:pt idx="31">
                  <c:v>72117.60606253671</c:v>
                </c:pt>
                <c:pt idx="32">
                  <c:v>78131.584700509353</c:v>
                </c:pt>
                <c:pt idx="33">
                  <c:v>84203.387360425142</c:v>
                </c:pt>
                <c:pt idx="34">
                  <c:v>90269.336603474425</c:v>
                </c:pt>
                <c:pt idx="35">
                  <c:v>96265.999560046272</c:v>
                </c:pt>
                <c:pt idx="36">
                  <c:v>102132.81171957769</c:v>
                </c:pt>
                <c:pt idx="37">
                  <c:v>107814.45214901217</c:v>
                </c:pt>
                <c:pt idx="38">
                  <c:v>113262.77930223847</c:v>
                </c:pt>
                <c:pt idx="39">
                  <c:v>118438.19804812952</c:v>
                </c:pt>
                <c:pt idx="40">
                  <c:v>123310.40246903521</c:v>
                </c:pt>
                <c:pt idx="41">
                  <c:v>127858.51142482595</c:v>
                </c:pt>
                <c:pt idx="42">
                  <c:v>132070.67319996018</c:v>
                </c:pt>
                <c:pt idx="43">
                  <c:v>135943.25471660061</c:v>
                </c:pt>
                <c:pt idx="44">
                  <c:v>139479.74799401569</c:v>
                </c:pt>
                <c:pt idx="45">
                  <c:v>142689.52432074895</c:v>
                </c:pt>
                <c:pt idx="46">
                  <c:v>145586.55021415278</c:v>
                </c:pt>
                <c:pt idx="47">
                  <c:v>148188.15476182848</c:v>
                </c:pt>
                <c:pt idx="48">
                  <c:v>150513.91089223372</c:v>
                </c:pt>
                <c:pt idx="49">
                  <c:v>152584.66764509384</c:v>
                </c:pt>
                <c:pt idx="50">
                  <c:v>154421.7491266061</c:v>
                </c:pt>
                <c:pt idx="51">
                  <c:v>156046.31961461328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Boltzmann'!$J$6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7161.3427538717069</c:v>
                </c:pt>
                <c:pt idx="2">
                  <c:v>7409.3256518404623</c:v>
                </c:pt>
                <c:pt idx="3">
                  <c:v>7695.1852084583716</c:v>
                </c:pt>
                <c:pt idx="4">
                  <c:v>8024.5424697642147</c:v>
                </c:pt>
                <c:pt idx="5">
                  <c:v>8403.7984032324021</c:v>
                </c:pt>
                <c:pt idx="6">
                  <c:v>8840.2241558484584</c:v>
                </c:pt>
                <c:pt idx="7">
                  <c:v>9342.0556680933551</c:v>
                </c:pt>
                <c:pt idx="8">
                  <c:v>9918.5905184340518</c:v>
                </c:pt>
                <c:pt idx="9">
                  <c:v>10580.283835508611</c:v>
                </c:pt>
                <c:pt idx="10">
                  <c:v>11338.838792079116</c:v>
                </c:pt>
                <c:pt idx="11">
                  <c:v>12207.28554953295</c:v>
                </c:pt>
                <c:pt idx="12">
                  <c:v>13200.0405335287</c:v>
                </c:pt>
                <c:pt idx="13">
                  <c:v>14332.935599859637</c:v>
                </c:pt>
                <c:pt idx="14">
                  <c:v>15623.204054973772</c:v>
                </c:pt>
                <c:pt idx="15">
                  <c:v>17089.40776556142</c:v>
                </c:pt>
                <c:pt idx="16">
                  <c:v>18751.286973837312</c:v>
                </c:pt>
                <c:pt idx="17">
                  <c:v>20629.512322024264</c:v>
                </c:pt>
                <c:pt idx="18">
                  <c:v>22745.317548535368</c:v>
                </c:pt>
                <c:pt idx="19">
                  <c:v>25119.992105128917</c:v>
                </c:pt>
                <c:pt idx="20">
                  <c:v>27774.216480164432</c:v>
                </c:pt>
                <c:pt idx="21">
                  <c:v>30727.230302093871</c:v>
                </c:pt>
                <c:pt idx="22">
                  <c:v>33995.835257502891</c:v>
                </c:pt>
                <c:pt idx="23">
                  <c:v>37593.252048830596</c:v>
                </c:pt>
                <c:pt idx="24">
                  <c:v>41527.872869288447</c:v>
                </c:pt>
                <c:pt idx="25">
                  <c:v>45801.976871859246</c:v>
                </c:pt>
                <c:pt idx="26">
                  <c:v>50410.503043103068</c:v>
                </c:pt>
                <c:pt idx="27">
                  <c:v>55339.998337224235</c:v>
                </c:pt>
                <c:pt idx="28">
                  <c:v>60567.873176832189</c:v>
                </c:pt>
                <c:pt idx="29">
                  <c:v>66062.095428033179</c:v>
                </c:pt>
                <c:pt idx="30">
                  <c:v>71781.432824658026</c:v>
                </c:pt>
                <c:pt idx="31">
                  <c:v>77676.310679332179</c:v>
                </c:pt>
                <c:pt idx="32">
                  <c:v>83690.289317304821</c:v>
                </c:pt>
                <c:pt idx="33">
                  <c:v>89762.091977220611</c:v>
                </c:pt>
                <c:pt idx="34">
                  <c:v>95828.041220269894</c:v>
                </c:pt>
                <c:pt idx="35">
                  <c:v>101824.70417684174</c:v>
                </c:pt>
                <c:pt idx="36">
                  <c:v>107691.51633637316</c:v>
                </c:pt>
                <c:pt idx="37">
                  <c:v>113373.15676580764</c:v>
                </c:pt>
                <c:pt idx="38">
                  <c:v>118821.48391903394</c:v>
                </c:pt>
                <c:pt idx="39">
                  <c:v>123996.90266492499</c:v>
                </c:pt>
                <c:pt idx="40">
                  <c:v>128869.10708583068</c:v>
                </c:pt>
                <c:pt idx="41">
                  <c:v>133417.2160416214</c:v>
                </c:pt>
                <c:pt idx="42">
                  <c:v>137629.37781675564</c:v>
                </c:pt>
                <c:pt idx="43">
                  <c:v>141501.95933339608</c:v>
                </c:pt>
                <c:pt idx="44">
                  <c:v>145038.45261081116</c:v>
                </c:pt>
                <c:pt idx="45">
                  <c:v>148248.22893754442</c:v>
                </c:pt>
                <c:pt idx="46">
                  <c:v>151145.25483094825</c:v>
                </c:pt>
                <c:pt idx="47">
                  <c:v>153746.85937862395</c:v>
                </c:pt>
                <c:pt idx="48">
                  <c:v>156072.61550902919</c:v>
                </c:pt>
                <c:pt idx="49">
                  <c:v>158143.37226188931</c:v>
                </c:pt>
                <c:pt idx="50">
                  <c:v>159980.45374340157</c:v>
                </c:pt>
                <c:pt idx="51">
                  <c:v>161605.02423140875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Boltzmann'!$K$6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221.42955848819111</c:v>
                </c:pt>
                <c:pt idx="11">
                  <c:v>1089.8763159420259</c:v>
                </c:pt>
                <c:pt idx="12">
                  <c:v>2082.6312999377751</c:v>
                </c:pt>
                <c:pt idx="13">
                  <c:v>3215.5263662687112</c:v>
                </c:pt>
                <c:pt idx="14">
                  <c:v>4505.7948213828486</c:v>
                </c:pt>
                <c:pt idx="15">
                  <c:v>5971.9985319704965</c:v>
                </c:pt>
                <c:pt idx="16">
                  <c:v>7633.8777402463866</c:v>
                </c:pt>
                <c:pt idx="17">
                  <c:v>9512.1030884333377</c:v>
                </c:pt>
                <c:pt idx="18">
                  <c:v>11627.908314944445</c:v>
                </c:pt>
                <c:pt idx="19">
                  <c:v>14002.582871537994</c:v>
                </c:pt>
                <c:pt idx="20">
                  <c:v>16656.807246573509</c:v>
                </c:pt>
                <c:pt idx="21">
                  <c:v>19609.821068502948</c:v>
                </c:pt>
                <c:pt idx="22">
                  <c:v>22878.426023911969</c:v>
                </c:pt>
                <c:pt idx="23">
                  <c:v>26475.842815239674</c:v>
                </c:pt>
                <c:pt idx="24">
                  <c:v>30410.463635697524</c:v>
                </c:pt>
                <c:pt idx="25">
                  <c:v>34684.567638268323</c:v>
                </c:pt>
                <c:pt idx="26">
                  <c:v>39293.093809512146</c:v>
                </c:pt>
                <c:pt idx="27">
                  <c:v>44222.589103633312</c:v>
                </c:pt>
                <c:pt idx="28">
                  <c:v>49450.463943241266</c:v>
                </c:pt>
                <c:pt idx="29">
                  <c:v>54944.686194442256</c:v>
                </c:pt>
                <c:pt idx="30">
                  <c:v>60664.023591067096</c:v>
                </c:pt>
                <c:pt idx="31">
                  <c:v>66558.901445741241</c:v>
                </c:pt>
                <c:pt idx="32">
                  <c:v>72572.880083713884</c:v>
                </c:pt>
                <c:pt idx="33">
                  <c:v>78644.682743629673</c:v>
                </c:pt>
                <c:pt idx="34">
                  <c:v>84710.631986678956</c:v>
                </c:pt>
                <c:pt idx="35">
                  <c:v>90707.294943250803</c:v>
                </c:pt>
                <c:pt idx="36">
                  <c:v>96574.107102782218</c:v>
                </c:pt>
                <c:pt idx="37">
                  <c:v>102255.7475322167</c:v>
                </c:pt>
                <c:pt idx="38">
                  <c:v>107704.074685443</c:v>
                </c:pt>
                <c:pt idx="39">
                  <c:v>112879.49343133405</c:v>
                </c:pt>
                <c:pt idx="40">
                  <c:v>117751.69785223974</c:v>
                </c:pt>
                <c:pt idx="41">
                  <c:v>122299.80680803048</c:v>
                </c:pt>
                <c:pt idx="42">
                  <c:v>126511.96858316471</c:v>
                </c:pt>
                <c:pt idx="43">
                  <c:v>130384.55009980514</c:v>
                </c:pt>
                <c:pt idx="44">
                  <c:v>133921.04337722022</c:v>
                </c:pt>
                <c:pt idx="45">
                  <c:v>137130.81970395349</c:v>
                </c:pt>
                <c:pt idx="46">
                  <c:v>140027.84559735731</c:v>
                </c:pt>
                <c:pt idx="47">
                  <c:v>142629.45014503301</c:v>
                </c:pt>
                <c:pt idx="48">
                  <c:v>144955.20627543825</c:v>
                </c:pt>
                <c:pt idx="49">
                  <c:v>147025.96302829837</c:v>
                </c:pt>
                <c:pt idx="50">
                  <c:v>148863.04450981063</c:v>
                </c:pt>
                <c:pt idx="51">
                  <c:v>150487.61499781781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Boltzmann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Boltzmann'!$D$7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  <c:pt idx="50">
                  <c:v>162488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Boltzmann'!$O$7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  <c:pt idx="50">
                  <c:v>37130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Boltzmann'!$W$7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'Cumul_confirmed - Boltzmann'!$E$7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Boltzmann'!$E$8:$E$78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  <c:pt idx="48">
                        <c:v>4092</c:v>
                      </c:pt>
                      <c:pt idx="49">
                        <c:v>3153</c:v>
                      </c:pt>
                      <c:pt idx="50">
                        <c:v>2972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  <c:pt idx="48">
                        <c:v>1984</c:v>
                      </c:pt>
                      <c:pt idx="49">
                        <c:v>1363</c:v>
                      </c:pt>
                      <c:pt idx="50">
                        <c:v>675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  <c:pt idx="48">
                        <c:v>1677</c:v>
                      </c:pt>
                      <c:pt idx="49">
                        <c:v>1224</c:v>
                      </c:pt>
                      <c:pt idx="50">
                        <c:v>1695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  <c:pt idx="48">
                        <c:v>431</c:v>
                      </c:pt>
                      <c:pt idx="49">
                        <c:v>566</c:v>
                      </c:pt>
                      <c:pt idx="50">
                        <c:v>602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5"/>
          <c:order val="15"/>
          <c:tx>
            <c:strRef>
              <c:f>'Cumul_confirmed - Boltzmann'!$G$7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Boltzmann'!$G$8:$G$78</c:f>
              <c:numCache>
                <c:formatCode>0</c:formatCode>
                <c:ptCount val="71"/>
                <c:pt idx="0">
                  <c:v>1602.6381370762444</c:v>
                </c:pt>
                <c:pt idx="1">
                  <c:v>1850.6210350450003</c:v>
                </c:pt>
                <c:pt idx="2">
                  <c:v>2136.4805916629098</c:v>
                </c:pt>
                <c:pt idx="3">
                  <c:v>2465.8378529687525</c:v>
                </c:pt>
                <c:pt idx="4">
                  <c:v>2845.0937864369407</c:v>
                </c:pt>
                <c:pt idx="5">
                  <c:v>3281.5195390529962</c:v>
                </c:pt>
                <c:pt idx="6">
                  <c:v>3783.3510512978924</c:v>
                </c:pt>
                <c:pt idx="7">
                  <c:v>4359.8859016385895</c:v>
                </c:pt>
                <c:pt idx="8">
                  <c:v>5021.5792187131492</c:v>
                </c:pt>
                <c:pt idx="9">
                  <c:v>5780.1341752836533</c:v>
                </c:pt>
                <c:pt idx="10">
                  <c:v>6648.5809327374882</c:v>
                </c:pt>
                <c:pt idx="11">
                  <c:v>7641.3359167332374</c:v>
                </c:pt>
                <c:pt idx="12">
                  <c:v>8774.2309830641734</c:v>
                </c:pt>
                <c:pt idx="13">
                  <c:v>10064.499438178311</c:v>
                </c:pt>
                <c:pt idx="14">
                  <c:v>11530.703148765959</c:v>
                </c:pt>
                <c:pt idx="15">
                  <c:v>13192.582357041849</c:v>
                </c:pt>
                <c:pt idx="16">
                  <c:v>15070.807705228801</c:v>
                </c:pt>
                <c:pt idx="17">
                  <c:v>17186.612931739906</c:v>
                </c:pt>
                <c:pt idx="18">
                  <c:v>19561.287488333455</c:v>
                </c:pt>
                <c:pt idx="19">
                  <c:v>22215.511863368971</c:v>
                </c:pt>
                <c:pt idx="20">
                  <c:v>25168.525685298409</c:v>
                </c:pt>
                <c:pt idx="21">
                  <c:v>28437.13064070743</c:v>
                </c:pt>
                <c:pt idx="22">
                  <c:v>32034.547432035135</c:v>
                </c:pt>
                <c:pt idx="23">
                  <c:v>35969.168252492986</c:v>
                </c:pt>
                <c:pt idx="24">
                  <c:v>40243.272255063785</c:v>
                </c:pt>
                <c:pt idx="25">
                  <c:v>44851.798426307607</c:v>
                </c:pt>
                <c:pt idx="26">
                  <c:v>49781.293720428774</c:v>
                </c:pt>
                <c:pt idx="27">
                  <c:v>55009.168560036727</c:v>
                </c:pt>
                <c:pt idx="28">
                  <c:v>60503.390811237718</c:v>
                </c:pt>
                <c:pt idx="29">
                  <c:v>66222.728207862558</c:v>
                </c:pt>
                <c:pt idx="30">
                  <c:v>72117.60606253671</c:v>
                </c:pt>
                <c:pt idx="31">
                  <c:v>78131.584700509353</c:v>
                </c:pt>
                <c:pt idx="32">
                  <c:v>84203.387360425142</c:v>
                </c:pt>
                <c:pt idx="33">
                  <c:v>90269.336603474425</c:v>
                </c:pt>
                <c:pt idx="34">
                  <c:v>96265.999560046272</c:v>
                </c:pt>
                <c:pt idx="35">
                  <c:v>102132.81171957769</c:v>
                </c:pt>
                <c:pt idx="36">
                  <c:v>107814.45214901217</c:v>
                </c:pt>
                <c:pt idx="37">
                  <c:v>113262.77930223847</c:v>
                </c:pt>
                <c:pt idx="38">
                  <c:v>118438.19804812952</c:v>
                </c:pt>
                <c:pt idx="39">
                  <c:v>123310.40246903521</c:v>
                </c:pt>
                <c:pt idx="40">
                  <c:v>127858.51142482595</c:v>
                </c:pt>
                <c:pt idx="41">
                  <c:v>132070.67319996018</c:v>
                </c:pt>
                <c:pt idx="42">
                  <c:v>135943.25471660061</c:v>
                </c:pt>
                <c:pt idx="43">
                  <c:v>139479.74799401569</c:v>
                </c:pt>
                <c:pt idx="44">
                  <c:v>142689.52432074895</c:v>
                </c:pt>
                <c:pt idx="45">
                  <c:v>145586.55021415278</c:v>
                </c:pt>
                <c:pt idx="46">
                  <c:v>148188.15476182848</c:v>
                </c:pt>
                <c:pt idx="47">
                  <c:v>150513.91089223372</c:v>
                </c:pt>
                <c:pt idx="48">
                  <c:v>152584.66764509384</c:v>
                </c:pt>
                <c:pt idx="49">
                  <c:v>154421.7491266061</c:v>
                </c:pt>
                <c:pt idx="50">
                  <c:v>156046.31961461328</c:v>
                </c:pt>
                <c:pt idx="51">
                  <c:v>157478.90322988198</c:v>
                </c:pt>
                <c:pt idx="52">
                  <c:v>158739.04006118359</c:v>
                </c:pt>
                <c:pt idx="53">
                  <c:v>159845.05767308382</c:v>
                </c:pt>
                <c:pt idx="54">
                  <c:v>160813.93653749977</c:v>
                </c:pt>
                <c:pt idx="55">
                  <c:v>161661.24921812676</c:v>
                </c:pt>
                <c:pt idx="56">
                  <c:v>162401.15537917835</c:v>
                </c:pt>
                <c:pt idx="57">
                  <c:v>163046.43735279425</c:v>
                </c:pt>
                <c:pt idx="58">
                  <c:v>163608.56371953647</c:v>
                </c:pt>
                <c:pt idx="59">
                  <c:v>164097.77090867789</c:v>
                </c:pt>
                <c:pt idx="60">
                  <c:v>164523.1550882333</c:v>
                </c:pt>
                <c:pt idx="61">
                  <c:v>164892.76853973939</c:v>
                </c:pt>
                <c:pt idx="62">
                  <c:v>165213.71629698615</c:v>
                </c:pt>
                <c:pt idx="63">
                  <c:v>165492.25009575326</c:v>
                </c:pt>
                <c:pt idx="64">
                  <c:v>165733.85767130004</c:v>
                </c:pt>
                <c:pt idx="65">
                  <c:v>165943.34619482889</c:v>
                </c:pt>
                <c:pt idx="66">
                  <c:v>166124.91920163223</c:v>
                </c:pt>
                <c:pt idx="67">
                  <c:v>166282.24677069846</c:v>
                </c:pt>
                <c:pt idx="68">
                  <c:v>166418.52900168928</c:v>
                </c:pt>
                <c:pt idx="69">
                  <c:v>166536.55302849214</c:v>
                </c:pt>
                <c:pt idx="70">
                  <c:v>166638.74393192524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Boltzmann'!$Z$7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Boltzmann'!$Z$8:$Z$78</c:f>
              <c:numCache>
                <c:formatCode>0</c:formatCode>
                <c:ptCount val="71"/>
                <c:pt idx="0">
                  <c:v>90.569627877038954</c:v>
                </c:pt>
                <c:pt idx="1">
                  <c:v>106.13676790536346</c:v>
                </c:pt>
                <c:pt idx="2">
                  <c:v>124.36441139740836</c:v>
                </c:pt>
                <c:pt idx="3">
                  <c:v>145.70159717090874</c:v>
                </c:pt>
                <c:pt idx="4">
                  <c:v>170.67105087597523</c:v>
                </c:pt>
                <c:pt idx="5">
                  <c:v>199.88049585363544</c:v>
                </c:pt>
                <c:pt idx="6">
                  <c:v>234.03540766372913</c:v>
                </c:pt>
                <c:pt idx="7">
                  <c:v>273.95328303918768</c:v>
                </c:pt>
                <c:pt idx="8">
                  <c:v>320.57944670364054</c:v>
                </c:pt>
                <c:pt idx="9">
                  <c:v>375.00434594396398</c:v>
                </c:pt>
                <c:pt idx="10">
                  <c:v>438.48217413937891</c:v>
                </c:pt>
                <c:pt idx="11">
                  <c:v>512.45050976459811</c:v>
                </c:pt>
                <c:pt idx="12">
                  <c:v>598.55044405429294</c:v>
                </c:pt>
                <c:pt idx="13">
                  <c:v>698.64638465262283</c:v>
                </c:pt>
                <c:pt idx="14">
                  <c:v>814.8443503510174</c:v>
                </c:pt>
                <c:pt idx="15">
                  <c:v>949.50710210703733</c:v>
                </c:pt>
                <c:pt idx="16">
                  <c:v>1105.263883148933</c:v>
                </c:pt>
                <c:pt idx="17">
                  <c:v>1285.0118740830799</c:v>
                </c:pt>
                <c:pt idx="18">
                  <c:v>1491.9057371119873</c:v>
                </c:pt>
                <c:pt idx="19">
                  <c:v>1729.3308894095824</c:v>
                </c:pt>
                <c:pt idx="20">
                  <c:v>2000.8555184865886</c:v>
                </c:pt>
                <c:pt idx="21">
                  <c:v>2310.1560003016793</c:v>
                </c:pt>
                <c:pt idx="22">
                  <c:v>2660.9105387646455</c:v>
                </c:pt>
                <c:pt idx="23">
                  <c:v>3056.656808492628</c:v>
                </c:pt>
                <c:pt idx="24">
                  <c:v>3500.6114768075613</c:v>
                </c:pt>
                <c:pt idx="25">
                  <c:v>3995.4529953888382</c:v>
                </c:pt>
                <c:pt idx="26">
                  <c:v>4543.0741296309052</c:v>
                </c:pt>
                <c:pt idx="27">
                  <c:v>5144.3171821646465</c:v>
                </c:pt>
                <c:pt idx="28">
                  <c:v>5798.7121600968285</c:v>
                </c:pt>
                <c:pt idx="29">
                  <c:v>6504.2450668120855</c:v>
                </c:pt>
                <c:pt idx="30">
                  <c:v>7257.1883745598343</c:v>
                </c:pt>
                <c:pt idx="31">
                  <c:v>8052.0265911395682</c:v>
                </c:pt>
                <c:pt idx="32">
                  <c:v>8881.5049603855114</c:v>
                </c:pt>
                <c:pt idx="33">
                  <c:v>9736.817961937486</c:v>
                </c:pt>
                <c:pt idx="34">
                  <c:v>10607.937209995287</c:v>
                </c:pt>
                <c:pt idx="35">
                  <c:v>11484.05823786391</c:v>
                </c:pt>
                <c:pt idx="36">
                  <c:v>12354.126584098609</c:v>
                </c:pt>
                <c:pt idx="37">
                  <c:v>13207.390037879733</c:v>
                </c:pt>
                <c:pt idx="38">
                  <c:v>14033.919294548674</c:v>
                </c:pt>
                <c:pt idx="39">
                  <c:v>14825.044827154848</c:v>
                </c:pt>
                <c:pt idx="40">
                  <c:v>15573.672039677866</c:v>
                </c:pt>
                <c:pt idx="41">
                  <c:v>16274.45613534282</c:v>
                </c:pt>
                <c:pt idx="42">
                  <c:v>16923.838115334325</c:v>
                </c:pt>
                <c:pt idx="43">
                  <c:v>17519.959931543584</c:v>
                </c:pt>
                <c:pt idx="44">
                  <c:v>18062.487577031534</c:v>
                </c:pt>
                <c:pt idx="45">
                  <c:v>18552.375170908163</c:v>
                </c:pt>
                <c:pt idx="46">
                  <c:v>18991.601770855625</c:v>
                </c:pt>
                <c:pt idx="47">
                  <c:v>19382.907491275524</c:v>
                </c:pt>
                <c:pt idx="48">
                  <c:v>19729.548473259136</c:v>
                </c:pt>
                <c:pt idx="49">
                  <c:v>20035.082995114459</c:v>
                </c:pt>
                <c:pt idx="50">
                  <c:v>20303.19464052104</c:v>
                </c:pt>
                <c:pt idx="51">
                  <c:v>20537.553512282033</c:v>
                </c:pt>
                <c:pt idx="52">
                  <c:v>20741.713110304434</c:v>
                </c:pt>
                <c:pt idx="53">
                  <c:v>20919.038520023463</c:v>
                </c:pt>
                <c:pt idx="54">
                  <c:v>21072.660685100505</c:v>
                </c:pt>
                <c:pt idx="55">
                  <c:v>21205.451440947287</c:v>
                </c:pt>
                <c:pt idx="56">
                  <c:v>21320.01437304978</c:v>
                </c:pt>
                <c:pt idx="57">
                  <c:v>21418.68720772993</c:v>
                </c:pt>
                <c:pt idx="58">
                  <c:v>21503.552180704744</c:v>
                </c:pt>
                <c:pt idx="59">
                  <c:v>21576.451556501357</c:v>
                </c:pt>
                <c:pt idx="60">
                  <c:v>21639.006130511119</c:v>
                </c:pt>
                <c:pt idx="61">
                  <c:v>21692.635108156559</c:v>
                </c:pt>
                <c:pt idx="62">
                  <c:v>21738.576215880566</c:v>
                </c:pt>
                <c:pt idx="63">
                  <c:v>21777.905262090684</c:v>
                </c:pt>
                <c:pt idx="64">
                  <c:v>21811.55464451883</c:v>
                </c:pt>
                <c:pt idx="65">
                  <c:v>21840.330507601342</c:v>
                </c:pt>
                <c:pt idx="66">
                  <c:v>21864.928403257232</c:v>
                </c:pt>
                <c:pt idx="67">
                  <c:v>21885.947413339574</c:v>
                </c:pt>
                <c:pt idx="68">
                  <c:v>21903.902762721613</c:v>
                </c:pt>
                <c:pt idx="69">
                  <c:v>21919.236997194032</c:v>
                </c:pt>
                <c:pt idx="70">
                  <c:v>21932.329827033576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Boltzmann'!$R$7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Boltzmann'!$R$8:$R$78</c:f>
              <c:numCache>
                <c:formatCode>0</c:formatCode>
                <c:ptCount val="71"/>
                <c:pt idx="0">
                  <c:v>661.45045125979971</c:v>
                </c:pt>
                <c:pt idx="1">
                  <c:v>722.06722733501272</c:v>
                </c:pt>
                <c:pt idx="2">
                  <c:v>788.20878310923729</c:v>
                </c:pt>
                <c:pt idx="3">
                  <c:v>860.37286591271572</c:v>
                </c:pt>
                <c:pt idx="4">
                  <c:v>939.10095833892888</c:v>
                </c:pt>
                <c:pt idx="5">
                  <c:v>1024.981908772603</c:v>
                </c:pt>
                <c:pt idx="6">
                  <c:v>1118.655822242258</c:v>
                </c:pt>
                <c:pt idx="7">
                  <c:v>1220.8182220572721</c:v>
                </c:pt>
                <c:pt idx="8">
                  <c:v>1332.2244912687672</c:v>
                </c:pt>
                <c:pt idx="9">
                  <c:v>1453.6946010463009</c:v>
                </c:pt>
                <c:pt idx="10">
                  <c:v>1586.1181304818822</c:v>
                </c:pt>
                <c:pt idx="11">
                  <c:v>1730.45957899623</c:v>
                </c:pt>
                <c:pt idx="12">
                  <c:v>1887.7639682894796</c:v>
                </c:pt>
                <c:pt idx="13">
                  <c:v>2059.162725490688</c:v>
                </c:pt>
                <c:pt idx="14">
                  <c:v>2245.8798326394167</c:v>
                </c:pt>
                <c:pt idx="15">
                  <c:v>2449.2382196805565</c:v>
                </c:pt>
                <c:pt idx="16">
                  <c:v>2670.6663685534136</c:v>
                </c:pt>
                <c:pt idx="17">
                  <c:v>2911.7050844740329</c:v>
                </c:pt>
                <c:pt idx="18">
                  <c:v>3174.0143768976168</c:v>
                </c:pt>
                <c:pt idx="19">
                  <c:v>3459.3803766496735</c:v>
                </c:pt>
                <c:pt idx="20">
                  <c:v>3769.7221970733008</c:v>
                </c:pt>
                <c:pt idx="21">
                  <c:v>4107.098625511223</c:v>
                </c:pt>
                <c:pt idx="22">
                  <c:v>4473.7145068068103</c:v>
                </c:pt>
                <c:pt idx="23">
                  <c:v>4871.9266525997791</c:v>
                </c:pt>
                <c:pt idx="24">
                  <c:v>5304.2490789165031</c:v>
                </c:pt>
                <c:pt idx="25">
                  <c:v>5773.3573399295165</c:v>
                </c:pt>
                <c:pt idx="26">
                  <c:v>6282.091687957166</c:v>
                </c:pt>
                <c:pt idx="27">
                  <c:v>6833.4587491674474</c:v>
                </c:pt>
                <c:pt idx="28">
                  <c:v>7430.6313616807702</c:v>
                </c:pt>
                <c:pt idx="29">
                  <c:v>8076.9461788073468</c:v>
                </c:pt>
                <c:pt idx="30">
                  <c:v>8775.8985963886571</c:v>
                </c:pt>
                <c:pt idx="31">
                  <c:v>9531.1345215073652</c:v>
                </c:pt>
                <c:pt idx="32">
                  <c:v>10346.438462619903</c:v>
                </c:pt>
                <c:pt idx="33">
                  <c:v>11225.717391517652</c:v>
                </c:pt>
                <c:pt idx="34">
                  <c:v>12172.979809184904</c:v>
                </c:pt>
                <c:pt idx="35">
                  <c:v>13192.309445042749</c:v>
                </c:pt>
                <c:pt idx="36">
                  <c:v>14287.833037359867</c:v>
                </c:pt>
                <c:pt idx="37">
                  <c:v>15463.681687445762</c:v>
                </c:pt>
                <c:pt idx="38">
                  <c:v>16723.945357654746</c:v>
                </c:pt>
                <c:pt idx="39">
                  <c:v>18072.620199302866</c:v>
                </c:pt>
                <c:pt idx="40">
                  <c:v>19513.548557020844</c:v>
                </c:pt>
                <c:pt idx="41">
                  <c:v>21050.351705522186</c:v>
                </c:pt>
                <c:pt idx="42">
                  <c:v>22686.355636205695</c:v>
                </c:pt>
                <c:pt idx="43">
                  <c:v>24424.510524770005</c:v>
                </c:pt>
                <c:pt idx="44">
                  <c:v>26267.304873860012</c:v>
                </c:pt>
                <c:pt idx="45">
                  <c:v>28216.675728926431</c:v>
                </c:pt>
                <c:pt idx="46">
                  <c:v>30273.916797818241</c:v>
                </c:pt>
                <c:pt idx="47">
                  <c:v>32439.586746034951</c:v>
                </c:pt>
                <c:pt idx="48">
                  <c:v>34713.420364813639</c:v>
                </c:pt>
                <c:pt idx="49">
                  <c:v>37094.245687437353</c:v>
                </c:pt>
                <c:pt idx="50">
                  <c:v>39579.910425052753</c:v>
                </c:pt>
                <c:pt idx="51">
                  <c:v>42167.221269352827</c:v>
                </c:pt>
                <c:pt idx="52">
                  <c:v>44851.899628996289</c:v>
                </c:pt>
                <c:pt idx="53">
                  <c:v>47628.557197507689</c:v>
                </c:pt>
                <c:pt idx="54">
                  <c:v>50490.694369478704</c:v>
                </c:pt>
                <c:pt idx="55">
                  <c:v>53430.723919277865</c:v>
                </c:pt>
                <c:pt idx="56">
                  <c:v>56440.021539283181</c:v>
                </c:pt>
                <c:pt idx="57">
                  <c:v>59509.003829474088</c:v>
                </c:pt>
                <c:pt idx="58">
                  <c:v>62627.233183737451</c:v>
                </c:pt>
                <c:pt idx="59">
                  <c:v>65783.547795476727</c:v>
                </c:pt>
                <c:pt idx="60">
                  <c:v>68966.213785146698</c:v>
                </c:pt>
                <c:pt idx="61">
                  <c:v>72163.095321743807</c:v>
                </c:pt>
                <c:pt idx="62">
                  <c:v>75361.837654870396</c:v>
                </c:pt>
                <c:pt idx="63">
                  <c:v>78550.057269861296</c:v>
                </c:pt>
                <c:pt idx="64">
                  <c:v>81715.532983575496</c:v>
                </c:pt>
                <c:pt idx="65">
                  <c:v>84846.391745975488</c:v>
                </c:pt>
                <c:pt idx="66">
                  <c:v>87931.283206979177</c:v>
                </c:pt>
                <c:pt idx="67">
                  <c:v>90959.537724471928</c:v>
                </c:pt>
                <c:pt idx="68">
                  <c:v>93921.303376694908</c:v>
                </c:pt>
                <c:pt idx="69">
                  <c:v>96807.658628994875</c:v>
                </c:pt>
                <c:pt idx="70">
                  <c:v>99610.698507295951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'Cumul_confirmed - Boltzmann'!$H$7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Boltzmann'!$H$8:$H$78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230.74039447986172</c:v>
                      </c:pt>
                      <c:pt idx="1">
                        <c:v>266.04504761015374</c:v>
                      </c:pt>
                      <c:pt idx="2">
                        <c:v>306.60949542294389</c:v>
                      </c:pt>
                      <c:pt idx="3">
                        <c:v>353.17034770980371</c:v>
                      </c:pt>
                      <c:pt idx="4">
                        <c:v>406.55179519372734</c:v>
                      </c:pt>
                      <c:pt idx="5">
                        <c:v>467.67074529363231</c:v>
                      </c:pt>
                      <c:pt idx="6">
                        <c:v>537.54026651904178</c:v>
                      </c:pt>
                      <c:pt idx="7">
                        <c:v>617.27043290950621</c:v>
                      </c:pt>
                      <c:pt idx="8">
                        <c:v>708.0653950955334</c:v>
                      </c:pt>
                      <c:pt idx="9">
                        <c:v>811.21519893714242</c:v>
                      </c:pt>
                      <c:pt idx="10">
                        <c:v>928.08053650713089</c:v>
                      </c:pt>
                      <c:pt idx="11">
                        <c:v>1060.0682695367493</c:v>
                      </c:pt>
                      <c:pt idx="12">
                        <c:v>1208.5952517493142</c:v>
                      </c:pt>
                      <c:pt idx="13">
                        <c:v>1375.037756793422</c:v>
                      </c:pt>
                      <c:pt idx="14">
                        <c:v>1560.6637856839659</c:v>
                      </c:pt>
                      <c:pt idx="15">
                        <c:v>1766.5458091450391</c:v>
                      </c:pt>
                      <c:pt idx="16">
                        <c:v>1993.4522575299459</c:v>
                      </c:pt>
                      <c:pt idx="17">
                        <c:v>2241.7174898866601</c:v>
                      </c:pt>
                      <c:pt idx="18">
                        <c:v>2511.0922390184073</c:v>
                      </c:pt>
                      <c:pt idx="19">
                        <c:v>2800.5797775094575</c:v>
                      </c:pt>
                      <c:pt idx="20">
                        <c:v>3108.2672953095393</c:v>
                      </c:pt>
                      <c:pt idx="21">
                        <c:v>3431.1670181656136</c:v>
                      </c:pt>
                      <c:pt idx="22">
                        <c:v>3765.0868982792026</c:v>
                      </c:pt>
                      <c:pt idx="23">
                        <c:v>4104.5553377923507</c:v>
                      </c:pt>
                      <c:pt idx="24">
                        <c:v>4442.8270168779882</c:v>
                      </c:pt>
                      <c:pt idx="25">
                        <c:v>4771.995880002105</c:v>
                      </c:pt>
                      <c:pt idx="26">
                        <c:v>5083.2351500132945</c:v>
                      </c:pt>
                      <c:pt idx="27">
                        <c:v>5367.1719669993972</c:v>
                      </c:pt>
                      <c:pt idx="28">
                        <c:v>5614.3862112340112</c:v>
                      </c:pt>
                      <c:pt idx="29">
                        <c:v>5816.0013450761107</c:v>
                      </c:pt>
                      <c:pt idx="30">
                        <c:v>5964.3136093834419</c:v>
                      </c:pt>
                      <c:pt idx="31">
                        <c:v>6053.389779617045</c:v>
                      </c:pt>
                      <c:pt idx="32">
                        <c:v>6079.5579839989123</c:v>
                      </c:pt>
                      <c:pt idx="33">
                        <c:v>6041.724072898458</c:v>
                      </c:pt>
                      <c:pt idx="34">
                        <c:v>5941.4677034404349</c:v>
                      </c:pt>
                      <c:pt idx="35">
                        <c:v>5782.9038835635893</c:v>
                      </c:pt>
                      <c:pt idx="36">
                        <c:v>5572.3304692391685</c:v>
                      </c:pt>
                      <c:pt idx="37">
                        <c:v>5317.7123147462135</c:v>
                      </c:pt>
                      <c:pt idx="38">
                        <c:v>5028.0721214658206</c:v>
                      </c:pt>
                      <c:pt idx="39">
                        <c:v>4712.8634035436762</c:v>
                      </c:pt>
                      <c:pt idx="40">
                        <c:v>4381.3930590311393</c:v>
                      </c:pt>
                      <c:pt idx="41">
                        <c:v>4042.3435202572646</c:v>
                      </c:pt>
                      <c:pt idx="42">
                        <c:v>3703.4225547976675</c:v>
                      </c:pt>
                      <c:pt idx="43">
                        <c:v>3371.1474963617125</c:v>
                      </c:pt>
                      <c:pt idx="44">
                        <c:v>3050.7536024826386</c:v>
                      </c:pt>
                      <c:pt idx="45">
                        <c:v>2746.2050976148244</c:v>
                      </c:pt>
                      <c:pt idx="46">
                        <c:v>2460.2823165237037</c:v>
                      </c:pt>
                      <c:pt idx="47">
                        <c:v>2194.7181316160772</c:v>
                      </c:pt>
                      <c:pt idx="48">
                        <c:v>1950.3599439894474</c:v>
                      </c:pt>
                      <c:pt idx="49">
                        <c:v>1727.3383596111594</c:v>
                      </c:pt>
                      <c:pt idx="50">
                        <c:v>1525.228983265416</c:v>
                      </c:pt>
                      <c:pt idx="51">
                        <c:v>1343.1986851929332</c:v>
                      </c:pt>
                      <c:pt idx="52">
                        <c:v>1180.1317659213273</c:v>
                      </c:pt>
                      <c:pt idx="53">
                        <c:v>1034.7345072833637</c:v>
                      </c:pt>
                      <c:pt idx="54">
                        <c:v>905.61869565931215</c:v>
                      </c:pt>
                      <c:pt idx="55">
                        <c:v>791.36598704375547</c:v>
                      </c:pt>
                      <c:pt idx="56">
                        <c:v>690.57564040068507</c:v>
                      </c:pt>
                      <c:pt idx="57">
                        <c:v>601.89835865253872</c:v>
                      </c:pt>
                      <c:pt idx="58">
                        <c:v>524.05890119256662</c:v>
                      </c:pt>
                      <c:pt idx="59">
                        <c:v>455.86988892336512</c:v>
                      </c:pt>
                      <c:pt idx="60">
                        <c:v>396.23889954456348</c:v>
                      </c:pt>
                      <c:pt idx="61">
                        <c:v>344.17060535586262</c:v>
                      </c:pt>
                      <c:pt idx="62">
                        <c:v>298.76537400768086</c:v>
                      </c:pt>
                      <c:pt idx="63">
                        <c:v>259.21545398173367</c:v>
                      </c:pt>
                      <c:pt idx="64">
                        <c:v>224.79960965208525</c:v>
                      </c:pt>
                      <c:pt idx="65">
                        <c:v>194.8768571067416</c:v>
                      </c:pt>
                      <c:pt idx="66">
                        <c:v>168.87977897863263</c:v>
                      </c:pt>
                      <c:pt idx="67">
                        <c:v>146.30775975509502</c:v>
                      </c:pt>
                      <c:pt idx="68">
                        <c:v>126.7203770446861</c:v>
                      </c:pt>
                      <c:pt idx="69">
                        <c:v>109.73110372082829</c:v>
                      </c:pt>
                      <c:pt idx="70">
                        <c:v>95.001415801386855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158.36016036351296</c:v>
                      </c:pt>
                      <c:pt idx="1">
                        <c:v>185.91719522734954</c:v>
                      </c:pt>
                      <c:pt idx="2">
                        <c:v>217.8413737422355</c:v>
                      </c:pt>
                      <c:pt idx="3">
                        <c:v>254.75881295076047</c:v>
                      </c:pt>
                      <c:pt idx="4">
                        <c:v>297.36908629124167</c:v>
                      </c:pt>
                      <c:pt idx="5">
                        <c:v>346.44870703077117</c:v>
                      </c:pt>
                      <c:pt idx="6">
                        <c:v>402.85282177502881</c:v>
                      </c:pt>
                      <c:pt idx="7">
                        <c:v>467.51424337487151</c:v>
                      </c:pt>
                      <c:pt idx="8">
                        <c:v>541.43871057781394</c:v>
                      </c:pt>
                      <c:pt idx="9">
                        <c:v>625.69498709650497</c:v>
                      </c:pt>
                      <c:pt idx="10">
                        <c:v>721.3981175166906</c:v>
                      </c:pt>
                      <c:pt idx="11">
                        <c:v>829.68386568904441</c:v>
                      </c:pt>
                      <c:pt idx="12">
                        <c:v>951.67211399139399</c:v>
                      </c:pt>
                      <c:pt idx="13">
                        <c:v>1088.4168628875987</c:v>
                      </c:pt>
                      <c:pt idx="14">
                        <c:v>1240.8405314479305</c:v>
                      </c:pt>
                      <c:pt idx="15">
                        <c:v>1409.6506441301474</c:v>
                      </c:pt>
                      <c:pt idx="16">
                        <c:v>1595.2378494241493</c:v>
                      </c:pt>
                      <c:pt idx="17">
                        <c:v>1797.5557210450879</c:v>
                      </c:pt>
                      <c:pt idx="18">
                        <c:v>2015.985100076558</c:v>
                      </c:pt>
                      <c:pt idx="19">
                        <c:v>2249.1889436843771</c:v>
                      </c:pt>
                      <c:pt idx="20">
                        <c:v>2494.9677141882148</c:v>
                      </c:pt>
                      <c:pt idx="21">
                        <c:v>2750.1300026225613</c:v>
                      </c:pt>
                      <c:pt idx="22">
                        <c:v>3010.3977371377673</c:v>
                      </c:pt>
                      <c:pt idx="23">
                        <c:v>3270.3689919253275</c:v>
                      </c:pt>
                      <c:pt idx="24">
                        <c:v>3523.5627375804502</c:v>
                      </c:pt>
                      <c:pt idx="25">
                        <c:v>3762.5673313379411</c:v>
                      </c:pt>
                      <c:pt idx="26">
                        <c:v>3979.3068148643151</c:v>
                      </c:pt>
                      <c:pt idx="27">
                        <c:v>4165.4256218232485</c:v>
                      </c:pt>
                      <c:pt idx="28">
                        <c:v>4312.7739431790105</c:v>
                      </c:pt>
                      <c:pt idx="29">
                        <c:v>4413.9554081363558</c:v>
                      </c:pt>
                      <c:pt idx="30">
                        <c:v>4462.8802655942382</c:v>
                      </c:pt>
                      <c:pt idx="31">
                        <c:v>4455.2560883108599</c:v>
                      </c:pt>
                      <c:pt idx="32">
                        <c:v>4388.9486460142025</c:v>
                      </c:pt>
                      <c:pt idx="33">
                        <c:v>4264.1599700214319</c:v>
                      </c:pt>
                      <c:pt idx="34">
                        <c:v>4083.3969603305609</c:v>
                      </c:pt>
                      <c:pt idx="35">
                        <c:v>3851.2366225192018</c:v>
                      </c:pt>
                      <c:pt idx="36">
                        <c:v>3573.9254193137658</c:v>
                      </c:pt>
                      <c:pt idx="37">
                        <c:v>3258.872876778049</c:v>
                      </c:pt>
                      <c:pt idx="38">
                        <c:v>2914.1088985379702</c:v>
                      </c:pt>
                      <c:pt idx="39">
                        <c:v>2547.769707716322</c:v>
                      </c:pt>
                      <c:pt idx="40">
                        <c:v>2167.6621842829877</c:v>
                      </c:pt>
                      <c:pt idx="41">
                        <c:v>1780.9359113429769</c:v>
                      </c:pt>
                      <c:pt idx="42">
                        <c:v>1393.8718573410129</c:v>
                      </c:pt>
                      <c:pt idx="43">
                        <c:v>1011.7801918917193</c:v>
                      </c:pt>
                      <c:pt idx="44">
                        <c:v>638.98906982351934</c:v>
                      </c:pt>
                      <c:pt idx="45">
                        <c:v>278.90129199643644</c:v>
                      </c:pt>
                      <c:pt idx="46">
                        <c:v>-65.904612772771031</c:v>
                      </c:pt>
                      <c:pt idx="47">
                        <c:v>-393.54973285953281</c:v>
                      </c:pt>
                      <c:pt idx="48">
                        <c:v>-702.72329514713965</c:v>
                      </c:pt>
                      <c:pt idx="49">
                        <c:v>-992.5566330755147</c:v>
                      </c:pt>
                      <c:pt idx="50">
                        <c:v>-1262.5107096387194</c:v>
                      </c:pt>
                      <c:pt idx="51">
                        <c:v>-1512.2818040382049</c:v>
                      </c:pt>
                      <c:pt idx="52">
                        <c:v>-1741.7272381631578</c:v>
                      </c:pt>
                      <c:pt idx="53">
                        <c:v>-1950.8110149606039</c:v>
                      </c:pt>
                      <c:pt idx="54">
                        <c:v>-2139.5678590938605</c:v>
                      </c:pt>
                      <c:pt idx="55">
                        <c:v>-2308.0832663875899</c:v>
                      </c:pt>
                      <c:pt idx="56">
                        <c:v>-2456.48666625242</c:v>
                      </c:pt>
                      <c:pt idx="57">
                        <c:v>-2584.9545849917276</c:v>
                      </c:pt>
                      <c:pt idx="58">
                        <c:v>-2693.7206951215544</c:v>
                      </c:pt>
                      <c:pt idx="59">
                        <c:v>-2783.0897942386168</c:v>
                      </c:pt>
                      <c:pt idx="60">
                        <c:v>-2853.4530389398492</c:v>
                      </c:pt>
                      <c:pt idx="61">
                        <c:v>-2905.302136022508</c:v>
                      </c:pt>
                      <c:pt idx="62">
                        <c:v>-2939.2406395519138</c:v>
                      </c:pt>
                      <c:pt idx="63">
                        <c:v>-2955.9909933712888</c:v>
                      </c:pt>
                      <c:pt idx="64">
                        <c:v>-2956.3964676808341</c:v>
                      </c:pt>
                      <c:pt idx="65">
                        <c:v>-2941.417637425553</c:v>
                      </c:pt>
                      <c:pt idx="66">
                        <c:v>-2912.123511501567</c:v>
                      </c:pt>
                      <c:pt idx="67">
                        <c:v>-2869.67781981084</c:v>
                      </c:pt>
                      <c:pt idx="68">
                        <c:v>-2815.3212796199787</c:v>
                      </c:pt>
                      <c:pt idx="69">
                        <c:v>-2750.3508803658005</c:v>
                      </c:pt>
                      <c:pt idx="70">
                        <c:v>-2676.0973423059531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58.010052527517558</c:v>
                      </c:pt>
                      <c:pt idx="1">
                        <c:v>63.299679524545795</c:v>
                      </c:pt>
                      <c:pt idx="2">
                        <c:v>69.066333580318044</c:v>
                      </c:pt>
                      <c:pt idx="3">
                        <c:v>75.352018644144962</c:v>
                      </c:pt>
                      <c:pt idx="4">
                        <c:v>82.202242783269114</c:v>
                      </c:pt>
                      <c:pt idx="5">
                        <c:v>89.666272916612243</c:v>
                      </c:pt>
                      <c:pt idx="6">
                        <c:v>97.797400567047831</c:v>
                      </c:pt>
                      <c:pt idx="7">
                        <c:v>106.65321744292925</c:v>
                      </c:pt>
                      <c:pt idx="8">
                        <c:v>116.29589918140492</c:v>
                      </c:pt>
                      <c:pt idx="9">
                        <c:v>126.79249500869773</c:v>
                      </c:pt>
                      <c:pt idx="10">
                        <c:v>138.21522038068997</c:v>
                      </c:pt>
                      <c:pt idx="11">
                        <c:v>150.64174884403903</c:v>
                      </c:pt>
                      <c:pt idx="12">
                        <c:v>164.15549838560005</c:v>
                      </c:pt>
                      <c:pt idx="13">
                        <c:v>178.84590639705365</c:v>
                      </c:pt>
                      <c:pt idx="14">
                        <c:v>194.80868605271803</c:v>
                      </c:pt>
                      <c:pt idx="15">
                        <c:v>212.14605536208393</c:v>
                      </c:pt>
                      <c:pt idx="16">
                        <c:v>230.96692839628832</c:v>
                      </c:pt>
                      <c:pt idx="17">
                        <c:v>251.38705618370113</c:v>
                      </c:pt>
                      <c:pt idx="18">
                        <c:v>273.52910251249631</c:v>
                      </c:pt>
                      <c:pt idx="19">
                        <c:v>297.52263736274625</c:v>
                      </c:pt>
                      <c:pt idx="20">
                        <c:v>323.50402792218529</c:v>
                      </c:pt>
                      <c:pt idx="21">
                        <c:v>351.61620413706265</c:v>
                      </c:pt>
                      <c:pt idx="22">
                        <c:v>382.00827254948797</c:v>
                      </c:pt>
                      <c:pt idx="23">
                        <c:v>414.8349488366303</c:v>
                      </c:pt>
                      <c:pt idx="24">
                        <c:v>450.25577608708812</c:v>
                      </c:pt>
                      <c:pt idx="25">
                        <c:v>488.43409255623203</c:v>
                      </c:pt>
                      <c:pt idx="26">
                        <c:v>529.53570961277569</c:v>
                      </c:pt>
                      <c:pt idx="27">
                        <c:v>573.72725805638493</c:v>
                      </c:pt>
                      <c:pt idx="28">
                        <c:v>621.17415924849831</c:v>
                      </c:pt>
                      <c:pt idx="29">
                        <c:v>672.03817692548398</c:v>
                      </c:pt>
                      <c:pt idx="30">
                        <c:v>726.47450660237712</c:v>
                      </c:pt>
                      <c:pt idx="31">
                        <c:v>784.62836265333249</c:v>
                      </c:pt>
                      <c:pt idx="32">
                        <c:v>846.63102907274163</c:v>
                      </c:pt>
                      <c:pt idx="33">
                        <c:v>912.59534924076365</c:v>
                      </c:pt>
                      <c:pt idx="34">
                        <c:v>982.61064343609257</c:v>
                      </c:pt>
                      <c:pt idx="35">
                        <c:v>1056.7370610487144</c:v>
                      </c:pt>
                      <c:pt idx="36">
                        <c:v>1134.9993980719921</c:v>
                      </c:pt>
                      <c:pt idx="37">
                        <c:v>1217.3804399752346</c:v>
                      </c:pt>
                      <c:pt idx="38">
                        <c:v>1303.813925701998</c:v>
                      </c:pt>
                      <c:pt idx="39">
                        <c:v>1394.1772701546311</c:v>
                      </c:pt>
                      <c:pt idx="40">
                        <c:v>1488.2842294398579</c:v>
                      </c:pt>
                      <c:pt idx="41">
                        <c:v>1585.8777440189833</c:v>
                      </c:pt>
                      <c:pt idx="42">
                        <c:v>1686.6232475710904</c:v>
                      </c:pt>
                      <c:pt idx="43">
                        <c:v>1790.1027807550145</c:v>
                      </c:pt>
                      <c:pt idx="44">
                        <c:v>1895.8102950889177</c:v>
                      </c:pt>
                      <c:pt idx="45">
                        <c:v>2003.1485678713905</c:v>
                      </c:pt>
                      <c:pt idx="46">
                        <c:v>2111.4281687155403</c:v>
                      </c:pt>
                      <c:pt idx="47">
                        <c:v>2219.8689157267363</c:v>
                      </c:pt>
                      <c:pt idx="48">
                        <c:v>2327.6042286227171</c:v>
                      </c:pt>
                      <c:pt idx="49">
                        <c:v>2433.6887220058247</c:v>
                      </c:pt>
                      <c:pt idx="50">
                        <c:v>2537.1092810750279</c:v>
                      </c:pt>
                      <c:pt idx="51">
                        <c:v>2636.7997234420304</c:v>
                      </c:pt>
                      <c:pt idx="52">
                        <c:v>2731.6589769969851</c:v>
                      </c:pt>
                      <c:pt idx="53">
                        <c:v>2820.5725016910978</c:v>
                      </c:pt>
                      <c:pt idx="54">
                        <c:v>2902.4364638083812</c:v>
                      </c:pt>
                      <c:pt idx="55">
                        <c:v>2976.1839500704714</c:v>
                      </c:pt>
                      <c:pt idx="56">
                        <c:v>3040.812304265829</c:v>
                      </c:pt>
                      <c:pt idx="57">
                        <c:v>3095.410501164853</c:v>
                      </c:pt>
                      <c:pt idx="58">
                        <c:v>3139.185360904808</c:v>
                      </c:pt>
                      <c:pt idx="59">
                        <c:v>3171.4853684203563</c:v>
                      </c:pt>
                      <c:pt idx="60">
                        <c:v>3191.8209079802664</c:v>
                      </c:pt>
                      <c:pt idx="61">
                        <c:v>3199.8798560375699</c:v>
                      </c:pt>
                      <c:pt idx="62">
                        <c:v>3195.5376911901567</c:v>
                      </c:pt>
                      <c:pt idx="63">
                        <c:v>3178.861563968002</c:v>
                      </c:pt>
                      <c:pt idx="64">
                        <c:v>3150.108099554473</c:v>
                      </c:pt>
                      <c:pt idx="65">
                        <c:v>3109.7150561211402</c:v>
                      </c:pt>
                      <c:pt idx="66">
                        <c:v>3058.2873006383174</c:v>
                      </c:pt>
                      <c:pt idx="67">
                        <c:v>2996.5778644839438</c:v>
                      </c:pt>
                      <c:pt idx="68">
                        <c:v>2925.4650791343911</c:v>
                      </c:pt>
                      <c:pt idx="69">
                        <c:v>2845.9269510677941</c:v>
                      </c:pt>
                      <c:pt idx="70">
                        <c:v>2759.014006810004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Boltzmann'!$U$7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3011.5364702683573</c:v>
                      </c:pt>
                      <c:pt idx="1">
                        <c:v>3072.1532463435706</c:v>
                      </c:pt>
                      <c:pt idx="2">
                        <c:v>3138.2948021177949</c:v>
                      </c:pt>
                      <c:pt idx="3">
                        <c:v>3210.4588849212732</c:v>
                      </c:pt>
                      <c:pt idx="4">
                        <c:v>3289.1869773474864</c:v>
                      </c:pt>
                      <c:pt idx="5">
                        <c:v>3375.0679277811605</c:v>
                      </c:pt>
                      <c:pt idx="6">
                        <c:v>3468.7418412508159</c:v>
                      </c:pt>
                      <c:pt idx="7">
                        <c:v>3570.9042410658299</c:v>
                      </c:pt>
                      <c:pt idx="8">
                        <c:v>3682.3105102773252</c:v>
                      </c:pt>
                      <c:pt idx="9">
                        <c:v>3803.7806200548584</c:v>
                      </c:pt>
                      <c:pt idx="10">
                        <c:v>3936.2041494904397</c:v>
                      </c:pt>
                      <c:pt idx="11">
                        <c:v>4080.5455980047877</c:v>
                      </c:pt>
                      <c:pt idx="12">
                        <c:v>4237.8499872980374</c:v>
                      </c:pt>
                      <c:pt idx="13">
                        <c:v>4409.2487444992457</c:v>
                      </c:pt>
                      <c:pt idx="14">
                        <c:v>4595.965851647974</c:v>
                      </c:pt>
                      <c:pt idx="15">
                        <c:v>4799.3242386891143</c:v>
                      </c:pt>
                      <c:pt idx="16">
                        <c:v>5020.7523875619718</c:v>
                      </c:pt>
                      <c:pt idx="17">
                        <c:v>5261.7911034825902</c:v>
                      </c:pt>
                      <c:pt idx="18">
                        <c:v>5524.1003959061745</c:v>
                      </c:pt>
                      <c:pt idx="19">
                        <c:v>5809.4663956582317</c:v>
                      </c:pt>
                      <c:pt idx="20">
                        <c:v>6119.8082160818585</c:v>
                      </c:pt>
                      <c:pt idx="21">
                        <c:v>6457.1846445197807</c:v>
                      </c:pt>
                      <c:pt idx="22">
                        <c:v>6823.800525815368</c:v>
                      </c:pt>
                      <c:pt idx="23">
                        <c:v>7222.0126716083369</c:v>
                      </c:pt>
                      <c:pt idx="24">
                        <c:v>7654.3350979250608</c:v>
                      </c:pt>
                      <c:pt idx="25">
                        <c:v>8123.4433589380742</c:v>
                      </c:pt>
                      <c:pt idx="26">
                        <c:v>8632.1777069657237</c:v>
                      </c:pt>
                      <c:pt idx="27">
                        <c:v>9183.5447681760052</c:v>
                      </c:pt>
                      <c:pt idx="28">
                        <c:v>9780.7173806893279</c:v>
                      </c:pt>
                      <c:pt idx="29">
                        <c:v>10427.032197815905</c:v>
                      </c:pt>
                      <c:pt idx="30">
                        <c:v>11125.984615397214</c:v>
                      </c:pt>
                      <c:pt idx="31">
                        <c:v>11881.220540515922</c:v>
                      </c:pt>
                      <c:pt idx="32">
                        <c:v>12696.524481628461</c:v>
                      </c:pt>
                      <c:pt idx="33">
                        <c:v>13575.803410526209</c:v>
                      </c:pt>
                      <c:pt idx="34">
                        <c:v>14523.065828193463</c:v>
                      </c:pt>
                      <c:pt idx="35">
                        <c:v>15542.395464051307</c:v>
                      </c:pt>
                      <c:pt idx="36">
                        <c:v>16637.919056368424</c:v>
                      </c:pt>
                      <c:pt idx="37">
                        <c:v>17813.76770645432</c:v>
                      </c:pt>
                      <c:pt idx="38">
                        <c:v>19074.031376663304</c:v>
                      </c:pt>
                      <c:pt idx="39">
                        <c:v>20422.706218311425</c:v>
                      </c:pt>
                      <c:pt idx="40">
                        <c:v>21863.634576029403</c:v>
                      </c:pt>
                      <c:pt idx="41">
                        <c:v>23400.437724530744</c:v>
                      </c:pt>
                      <c:pt idx="42">
                        <c:v>25036.441655214254</c:v>
                      </c:pt>
                      <c:pt idx="43">
                        <c:v>26774.596543778564</c:v>
                      </c:pt>
                      <c:pt idx="44">
                        <c:v>28617.390892868571</c:v>
                      </c:pt>
                      <c:pt idx="45">
                        <c:v>30566.76174793499</c:v>
                      </c:pt>
                      <c:pt idx="46">
                        <c:v>32624.0028168268</c:v>
                      </c:pt>
                      <c:pt idx="47">
                        <c:v>34789.672765043506</c:v>
                      </c:pt>
                      <c:pt idx="48">
                        <c:v>37063.506383822198</c:v>
                      </c:pt>
                      <c:pt idx="49">
                        <c:v>39444.331706445912</c:v>
                      </c:pt>
                      <c:pt idx="50">
                        <c:v>41929.996444061311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Boltzmann'!$V$7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99.152200671998798</c:v>
                      </c:pt>
                      <c:pt idx="16">
                        <c:v>320.58034954485584</c:v>
                      </c:pt>
                      <c:pt idx="17">
                        <c:v>561.61906546547516</c:v>
                      </c:pt>
                      <c:pt idx="18">
                        <c:v>823.92835788905904</c:v>
                      </c:pt>
                      <c:pt idx="19">
                        <c:v>1109.2943576411158</c:v>
                      </c:pt>
                      <c:pt idx="20">
                        <c:v>1419.636178064743</c:v>
                      </c:pt>
                      <c:pt idx="21">
                        <c:v>1757.0126065026652</c:v>
                      </c:pt>
                      <c:pt idx="22">
                        <c:v>2123.6284877982525</c:v>
                      </c:pt>
                      <c:pt idx="23">
                        <c:v>2521.8406335912214</c:v>
                      </c:pt>
                      <c:pt idx="24">
                        <c:v>2954.1630599079454</c:v>
                      </c:pt>
                      <c:pt idx="25">
                        <c:v>3423.2713209209587</c:v>
                      </c:pt>
                      <c:pt idx="26">
                        <c:v>3932.0056689486082</c:v>
                      </c:pt>
                      <c:pt idx="27">
                        <c:v>4483.3727301588897</c:v>
                      </c:pt>
                      <c:pt idx="28">
                        <c:v>5080.5453426722124</c:v>
                      </c:pt>
                      <c:pt idx="29">
                        <c:v>5726.860159798789</c:v>
                      </c:pt>
                      <c:pt idx="30">
                        <c:v>6425.8125773800994</c:v>
                      </c:pt>
                      <c:pt idx="31">
                        <c:v>7181.0485024988075</c:v>
                      </c:pt>
                      <c:pt idx="32">
                        <c:v>7996.3524436113448</c:v>
                      </c:pt>
                      <c:pt idx="33">
                        <c:v>8875.6313725090949</c:v>
                      </c:pt>
                      <c:pt idx="34">
                        <c:v>9822.8937901763456</c:v>
                      </c:pt>
                      <c:pt idx="35">
                        <c:v>10842.22342603419</c:v>
                      </c:pt>
                      <c:pt idx="36">
                        <c:v>11937.747018351311</c:v>
                      </c:pt>
                      <c:pt idx="37">
                        <c:v>13113.595668437203</c:v>
                      </c:pt>
                      <c:pt idx="38">
                        <c:v>14373.859338646187</c:v>
                      </c:pt>
                      <c:pt idx="39">
                        <c:v>15722.534180294308</c:v>
                      </c:pt>
                      <c:pt idx="40">
                        <c:v>17163.462538012285</c:v>
                      </c:pt>
                      <c:pt idx="41">
                        <c:v>18700.265686513627</c:v>
                      </c:pt>
                      <c:pt idx="42">
                        <c:v>20336.269617197137</c:v>
                      </c:pt>
                      <c:pt idx="43">
                        <c:v>22074.424505761446</c:v>
                      </c:pt>
                      <c:pt idx="44">
                        <c:v>23917.218854851453</c:v>
                      </c:pt>
                      <c:pt idx="45">
                        <c:v>25866.589709917873</c:v>
                      </c:pt>
                      <c:pt idx="46">
                        <c:v>27923.830778809683</c:v>
                      </c:pt>
                      <c:pt idx="47">
                        <c:v>30089.500727026392</c:v>
                      </c:pt>
                      <c:pt idx="48">
                        <c:v>32363.33434580508</c:v>
                      </c:pt>
                      <c:pt idx="49">
                        <c:v>34744.159668428794</c:v>
                      </c:pt>
                      <c:pt idx="50">
                        <c:v>37229.824406044194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14.370181588831207</c:v>
                      </c:pt>
                      <c:pt idx="1">
                        <c:v>16.828172858258387</c:v>
                      </c:pt>
                      <c:pt idx="2">
                        <c:v>19.701788100390363</c:v>
                      </c:pt>
                      <c:pt idx="3">
                        <c:v>23.059516114898276</c:v>
                      </c:pt>
                      <c:pt idx="4">
                        <c:v>26.980466119216569</c:v>
                      </c:pt>
                      <c:pt idx="5">
                        <c:v>31.55576534624889</c:v>
                      </c:pt>
                      <c:pt idx="6">
                        <c:v>36.890044176965162</c:v>
                      </c:pt>
                      <c:pt idx="7">
                        <c:v>43.102972091705425</c:v>
                      </c:pt>
                      <c:pt idx="8">
                        <c:v>50.330785336314577</c:v>
                      </c:pt>
                      <c:pt idx="9">
                        <c:v>58.727716831939659</c:v>
                      </c:pt>
                      <c:pt idx="10">
                        <c:v>68.467198609750284</c:v>
                      </c:pt>
                      <c:pt idx="11">
                        <c:v>79.742655003665874</c:v>
                      </c:pt>
                      <c:pt idx="12">
                        <c:v>92.767639372320147</c:v>
                      </c:pt>
                      <c:pt idx="13">
                        <c:v>107.77498750876966</c:v>
                      </c:pt>
                      <c:pt idx="14">
                        <c:v>125.01456818331728</c:v>
                      </c:pt>
                      <c:pt idx="15">
                        <c:v>144.74910965280787</c:v>
                      </c:pt>
                      <c:pt idx="16">
                        <c:v>167.24747970950818</c:v>
                      </c:pt>
                      <c:pt idx="17">
                        <c:v>192.77471265787105</c:v>
                      </c:pt>
                      <c:pt idx="18">
                        <c:v>221.57803642935312</c:v>
                      </c:pt>
                      <c:pt idx="19">
                        <c:v>253.86819646233428</c:v>
                      </c:pt>
                      <c:pt idx="20">
                        <c:v>289.79555319913908</c:v>
                      </c:pt>
                      <c:pt idx="21">
                        <c:v>329.42081140598975</c:v>
                      </c:pt>
                      <c:pt idx="22">
                        <c:v>372.68088859194711</c:v>
                      </c:pt>
                      <c:pt idx="23">
                        <c:v>419.35139703039295</c:v>
                      </c:pt>
                      <c:pt idx="24">
                        <c:v>469.00850321044976</c:v>
                      </c:pt>
                      <c:pt idx="25">
                        <c:v>520.99445610793168</c:v>
                      </c:pt>
                      <c:pt idx="26">
                        <c:v>574.39262553620392</c:v>
                      </c:pt>
                      <c:pt idx="27">
                        <c:v>628.01908711976409</c:v>
                      </c:pt>
                      <c:pt idx="28">
                        <c:v>680.43810880650244</c:v>
                      </c:pt>
                      <c:pt idx="29">
                        <c:v>730.00776001427096</c:v>
                      </c:pt>
                      <c:pt idx="30">
                        <c:v>774.95883718682717</c:v>
                      </c:pt>
                      <c:pt idx="31">
                        <c:v>813.50532865285288</c:v>
                      </c:pt>
                      <c:pt idx="32">
                        <c:v>843.97830891196861</c:v>
                      </c:pt>
                      <c:pt idx="33">
                        <c:v>864.96875363626305</c:v>
                      </c:pt>
                      <c:pt idx="34">
                        <c:v>875.4600996737812</c:v>
                      </c:pt>
                      <c:pt idx="35">
                        <c:v>874.93019999567343</c:v>
                      </c:pt>
                      <c:pt idx="36">
                        <c:v>863.40565185341075</c:v>
                      </c:pt>
                      <c:pt idx="37">
                        <c:v>841.45899799292999</c:v>
                      </c:pt>
                      <c:pt idx="38">
                        <c:v>810.14929722585225</c:v>
                      </c:pt>
                      <c:pt idx="39">
                        <c:v>770.91642567272322</c:v>
                      </c:pt>
                      <c:pt idx="40">
                        <c:v>725.44664530829368</c:v>
                      </c:pt>
                      <c:pt idx="41">
                        <c:v>675.52986489530451</c:v>
                      </c:pt>
                      <c:pt idx="42">
                        <c:v>622.92744988556433</c:v>
                      </c:pt>
                      <c:pt idx="43">
                        <c:v>569.26452371497874</c:v>
                      </c:pt>
                      <c:pt idx="44">
                        <c:v>515.9542375702016</c:v>
                      </c:pt>
                      <c:pt idx="45">
                        <c:v>464.15523774699744</c:v>
                      </c:pt>
                      <c:pt idx="46">
                        <c:v>414.75876058093439</c:v>
                      </c:pt>
                      <c:pt idx="47">
                        <c:v>368.39894874887375</c:v>
                      </c:pt>
                      <c:pt idx="48">
                        <c:v>325.47901051387004</c:v>
                      </c:pt>
                      <c:pt idx="49">
                        <c:v>286.20627068084934</c:v>
                      </c:pt>
                      <c:pt idx="50">
                        <c:v>250.63041182910746</c:v>
                      </c:pt>
                      <c:pt idx="51">
                        <c:v>218.6807657891076</c:v>
                      </c:pt>
                      <c:pt idx="52">
                        <c:v>190.2000270875001</c:v>
                      </c:pt>
                      <c:pt idx="53">
                        <c:v>164.97302055286968</c:v>
                      </c:pt>
                      <c:pt idx="54">
                        <c:v>142.75009094479131</c:v>
                      </c:pt>
                      <c:pt idx="55">
                        <c:v>123.26530336087383</c:v>
                      </c:pt>
                      <c:pt idx="56">
                        <c:v>106.25000238727604</c:v>
                      </c:pt>
                      <c:pt idx="57">
                        <c:v>91.442442479413131</c:v>
                      </c:pt>
                      <c:pt idx="58">
                        <c:v>78.594235409312972</c:v>
                      </c:pt>
                      <c:pt idx="59">
                        <c:v>67.474314741625818</c:v>
                      </c:pt>
                      <c:pt idx="60">
                        <c:v>57.871030504146539</c:v>
                      </c:pt>
                      <c:pt idx="61">
                        <c:v>49.59288534080067</c:v>
                      </c:pt>
                      <c:pt idx="62">
                        <c:v>42.468322369437985</c:v>
                      </c:pt>
                      <c:pt idx="63">
                        <c:v>36.344883385020601</c:v>
                      </c:pt>
                      <c:pt idx="64">
                        <c:v>31.08797777844616</c:v>
                      </c:pt>
                      <c:pt idx="65">
                        <c:v>26.579438411154673</c:v>
                      </c:pt>
                      <c:pt idx="66">
                        <c:v>22.715989841882049</c:v>
                      </c:pt>
                      <c:pt idx="67">
                        <c:v>19.407715081991412</c:v>
                      </c:pt>
                      <c:pt idx="68">
                        <c:v>16.576577530273738</c:v>
                      </c:pt>
                      <c:pt idx="69">
                        <c:v>14.155033018834931</c:v>
                      </c:pt>
                      <c:pt idx="70">
                        <c:v>12.08475129733603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640.34677261860975</c:v>
                      </c:pt>
                      <c:pt idx="1">
                        <c:v>655.91391264693425</c:v>
                      </c:pt>
                      <c:pt idx="2">
                        <c:v>674.14155613897924</c:v>
                      </c:pt>
                      <c:pt idx="3">
                        <c:v>695.47874191247956</c:v>
                      </c:pt>
                      <c:pt idx="4">
                        <c:v>720.44819561754605</c:v>
                      </c:pt>
                      <c:pt idx="5">
                        <c:v>749.65764059520632</c:v>
                      </c:pt>
                      <c:pt idx="6">
                        <c:v>783.81255240530004</c:v>
                      </c:pt>
                      <c:pt idx="7">
                        <c:v>823.73042778075853</c:v>
                      </c:pt>
                      <c:pt idx="8">
                        <c:v>870.35659144521139</c:v>
                      </c:pt>
                      <c:pt idx="9">
                        <c:v>924.78149068553489</c:v>
                      </c:pt>
                      <c:pt idx="10">
                        <c:v>988.25931888094976</c:v>
                      </c:pt>
                      <c:pt idx="11">
                        <c:v>1062.2276545061691</c:v>
                      </c:pt>
                      <c:pt idx="12">
                        <c:v>1148.3275887958639</c:v>
                      </c:pt>
                      <c:pt idx="13">
                        <c:v>1248.4235293941938</c:v>
                      </c:pt>
                      <c:pt idx="14">
                        <c:v>1364.6214950925882</c:v>
                      </c:pt>
                      <c:pt idx="15">
                        <c:v>1499.2842468486083</c:v>
                      </c:pt>
                      <c:pt idx="16">
                        <c:v>1655.0410278905038</c:v>
                      </c:pt>
                      <c:pt idx="17">
                        <c:v>1834.7890188246506</c:v>
                      </c:pt>
                      <c:pt idx="18">
                        <c:v>2041.6828818535582</c:v>
                      </c:pt>
                      <c:pt idx="19">
                        <c:v>2279.1080341511533</c:v>
                      </c:pt>
                      <c:pt idx="20">
                        <c:v>2550.6326632281593</c:v>
                      </c:pt>
                      <c:pt idx="21">
                        <c:v>2859.9331450432501</c:v>
                      </c:pt>
                      <c:pt idx="22">
                        <c:v>3210.6876835062162</c:v>
                      </c:pt>
                      <c:pt idx="23">
                        <c:v>3606.4339532341987</c:v>
                      </c:pt>
                      <c:pt idx="24">
                        <c:v>4050.388621549132</c:v>
                      </c:pt>
                      <c:pt idx="25">
                        <c:v>4545.2301401304094</c:v>
                      </c:pt>
                      <c:pt idx="26">
                        <c:v>5092.8512743724759</c:v>
                      </c:pt>
                      <c:pt idx="27">
                        <c:v>5694.0943269062172</c:v>
                      </c:pt>
                      <c:pt idx="28">
                        <c:v>6348.4893048383992</c:v>
                      </c:pt>
                      <c:pt idx="29">
                        <c:v>7054.0222115536562</c:v>
                      </c:pt>
                      <c:pt idx="30">
                        <c:v>7806.965519301405</c:v>
                      </c:pt>
                      <c:pt idx="31">
                        <c:v>8601.8037358811398</c:v>
                      </c:pt>
                      <c:pt idx="32">
                        <c:v>9431.2821051270821</c:v>
                      </c:pt>
                      <c:pt idx="33">
                        <c:v>10286.595106679057</c:v>
                      </c:pt>
                      <c:pt idx="34">
                        <c:v>11157.714354736858</c:v>
                      </c:pt>
                      <c:pt idx="35">
                        <c:v>12033.835382605481</c:v>
                      </c:pt>
                      <c:pt idx="36">
                        <c:v>12903.90372884018</c:v>
                      </c:pt>
                      <c:pt idx="37">
                        <c:v>13757.167182621304</c:v>
                      </c:pt>
                      <c:pt idx="38">
                        <c:v>14583.696439290245</c:v>
                      </c:pt>
                      <c:pt idx="39">
                        <c:v>15374.821971896419</c:v>
                      </c:pt>
                      <c:pt idx="40">
                        <c:v>16123.449184419436</c:v>
                      </c:pt>
                      <c:pt idx="41">
                        <c:v>16824.233280084391</c:v>
                      </c:pt>
                      <c:pt idx="42">
                        <c:v>17473.615260075898</c:v>
                      </c:pt>
                      <c:pt idx="43">
                        <c:v>18069.737076285157</c:v>
                      </c:pt>
                      <c:pt idx="44">
                        <c:v>18612.264721773106</c:v>
                      </c:pt>
                      <c:pt idx="45">
                        <c:v>19102.152315649735</c:v>
                      </c:pt>
                      <c:pt idx="46">
                        <c:v>19541.378915597197</c:v>
                      </c:pt>
                      <c:pt idx="47">
                        <c:v>19932.684636017097</c:v>
                      </c:pt>
                      <c:pt idx="48">
                        <c:v>20279.325618000708</c:v>
                      </c:pt>
                      <c:pt idx="49">
                        <c:v>20584.860139856031</c:v>
                      </c:pt>
                      <c:pt idx="50">
                        <c:v>20852.971785262613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48.773299312722088</c:v>
                      </c:pt>
                      <c:pt idx="13">
                        <c:v>148.86923991105198</c:v>
                      </c:pt>
                      <c:pt idx="14">
                        <c:v>265.06720560944655</c:v>
                      </c:pt>
                      <c:pt idx="15">
                        <c:v>399.72995736546648</c:v>
                      </c:pt>
                      <c:pt idx="16">
                        <c:v>555.48673840736217</c:v>
                      </c:pt>
                      <c:pt idx="17">
                        <c:v>735.23472934150902</c:v>
                      </c:pt>
                      <c:pt idx="18">
                        <c:v>942.12859237041641</c:v>
                      </c:pt>
                      <c:pt idx="19">
                        <c:v>1179.5537446680114</c:v>
                      </c:pt>
                      <c:pt idx="20">
                        <c:v>1451.0783737450179</c:v>
                      </c:pt>
                      <c:pt idx="21">
                        <c:v>1760.3788555601086</c:v>
                      </c:pt>
                      <c:pt idx="22">
                        <c:v>2111.1333940230747</c:v>
                      </c:pt>
                      <c:pt idx="23">
                        <c:v>2506.8796637510573</c:v>
                      </c:pt>
                      <c:pt idx="24">
                        <c:v>2950.8343320659906</c:v>
                      </c:pt>
                      <c:pt idx="25">
                        <c:v>3445.6758506472675</c:v>
                      </c:pt>
                      <c:pt idx="26">
                        <c:v>3993.2969848893345</c:v>
                      </c:pt>
                      <c:pt idx="27">
                        <c:v>4594.5400374230758</c:v>
                      </c:pt>
                      <c:pt idx="28">
                        <c:v>5248.9350153552577</c:v>
                      </c:pt>
                      <c:pt idx="29">
                        <c:v>5954.4679220705148</c:v>
                      </c:pt>
                      <c:pt idx="30">
                        <c:v>6707.4112298182636</c:v>
                      </c:pt>
                      <c:pt idx="31">
                        <c:v>7502.2494463979974</c:v>
                      </c:pt>
                      <c:pt idx="32">
                        <c:v>8331.7278156439406</c:v>
                      </c:pt>
                      <c:pt idx="33">
                        <c:v>9187.0408171959152</c:v>
                      </c:pt>
                      <c:pt idx="34">
                        <c:v>10058.160065253716</c:v>
                      </c:pt>
                      <c:pt idx="35">
                        <c:v>10934.281093122339</c:v>
                      </c:pt>
                      <c:pt idx="36">
                        <c:v>11804.349439357038</c:v>
                      </c:pt>
                      <c:pt idx="37">
                        <c:v>12657.612893138163</c:v>
                      </c:pt>
                      <c:pt idx="38">
                        <c:v>13484.142149807103</c:v>
                      </c:pt>
                      <c:pt idx="39">
                        <c:v>14275.267682413278</c:v>
                      </c:pt>
                      <c:pt idx="40">
                        <c:v>15023.894894936295</c:v>
                      </c:pt>
                      <c:pt idx="41">
                        <c:v>15724.678990601249</c:v>
                      </c:pt>
                      <c:pt idx="42">
                        <c:v>16374.060970592755</c:v>
                      </c:pt>
                      <c:pt idx="43">
                        <c:v>16970.182786802012</c:v>
                      </c:pt>
                      <c:pt idx="44">
                        <c:v>17512.710432289961</c:v>
                      </c:pt>
                      <c:pt idx="45">
                        <c:v>18002.59802616659</c:v>
                      </c:pt>
                      <c:pt idx="46">
                        <c:v>18441.824626114052</c:v>
                      </c:pt>
                      <c:pt idx="47">
                        <c:v>18833.130346533952</c:v>
                      </c:pt>
                      <c:pt idx="48">
                        <c:v>19179.771328517563</c:v>
                      </c:pt>
                      <c:pt idx="49">
                        <c:v>19485.305850372886</c:v>
                      </c:pt>
                      <c:pt idx="50">
                        <c:v>19753.417495779468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  <c15:filteredScatterSeries>
              <c15:ser>
                <c:idx val="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7161.3427538717069</c:v>
                      </c:pt>
                      <c:pt idx="1">
                        <c:v>7409.3256518404623</c:v>
                      </c:pt>
                      <c:pt idx="2">
                        <c:v>7695.1852084583716</c:v>
                      </c:pt>
                      <c:pt idx="3">
                        <c:v>8024.5424697642147</c:v>
                      </c:pt>
                      <c:pt idx="4">
                        <c:v>8403.7984032324021</c:v>
                      </c:pt>
                      <c:pt idx="5">
                        <c:v>8840.2241558484584</c:v>
                      </c:pt>
                      <c:pt idx="6">
                        <c:v>9342.0556680933551</c:v>
                      </c:pt>
                      <c:pt idx="7">
                        <c:v>9918.5905184340518</c:v>
                      </c:pt>
                      <c:pt idx="8">
                        <c:v>10580.283835508611</c:v>
                      </c:pt>
                      <c:pt idx="9">
                        <c:v>11338.838792079116</c:v>
                      </c:pt>
                      <c:pt idx="10">
                        <c:v>12207.28554953295</c:v>
                      </c:pt>
                      <c:pt idx="11">
                        <c:v>13200.0405335287</c:v>
                      </c:pt>
                      <c:pt idx="12">
                        <c:v>14332.935599859637</c:v>
                      </c:pt>
                      <c:pt idx="13">
                        <c:v>15623.204054973772</c:v>
                      </c:pt>
                      <c:pt idx="14">
                        <c:v>17089.40776556142</c:v>
                      </c:pt>
                      <c:pt idx="15">
                        <c:v>18751.286973837312</c:v>
                      </c:pt>
                      <c:pt idx="16">
                        <c:v>20629.512322024264</c:v>
                      </c:pt>
                      <c:pt idx="17">
                        <c:v>22745.317548535368</c:v>
                      </c:pt>
                      <c:pt idx="18">
                        <c:v>25119.992105128917</c:v>
                      </c:pt>
                      <c:pt idx="19">
                        <c:v>27774.216480164432</c:v>
                      </c:pt>
                      <c:pt idx="20">
                        <c:v>30727.230302093871</c:v>
                      </c:pt>
                      <c:pt idx="21">
                        <c:v>33995.835257502891</c:v>
                      </c:pt>
                      <c:pt idx="22">
                        <c:v>37593.252048830596</c:v>
                      </c:pt>
                      <c:pt idx="23">
                        <c:v>41527.872869288447</c:v>
                      </c:pt>
                      <c:pt idx="24">
                        <c:v>45801.976871859246</c:v>
                      </c:pt>
                      <c:pt idx="25">
                        <c:v>50410.503043103068</c:v>
                      </c:pt>
                      <c:pt idx="26">
                        <c:v>55339.998337224235</c:v>
                      </c:pt>
                      <c:pt idx="27">
                        <c:v>60567.873176832189</c:v>
                      </c:pt>
                      <c:pt idx="28">
                        <c:v>66062.095428033179</c:v>
                      </c:pt>
                      <c:pt idx="29">
                        <c:v>71781.432824658026</c:v>
                      </c:pt>
                      <c:pt idx="30">
                        <c:v>77676.310679332179</c:v>
                      </c:pt>
                      <c:pt idx="31">
                        <c:v>83690.289317304821</c:v>
                      </c:pt>
                      <c:pt idx="32">
                        <c:v>89762.091977220611</c:v>
                      </c:pt>
                      <c:pt idx="33">
                        <c:v>95828.041220269894</c:v>
                      </c:pt>
                      <c:pt idx="34">
                        <c:v>101824.70417684174</c:v>
                      </c:pt>
                      <c:pt idx="35">
                        <c:v>107691.51633637316</c:v>
                      </c:pt>
                      <c:pt idx="36">
                        <c:v>113373.15676580764</c:v>
                      </c:pt>
                      <c:pt idx="37">
                        <c:v>118821.48391903394</c:v>
                      </c:pt>
                      <c:pt idx="38">
                        <c:v>123996.90266492499</c:v>
                      </c:pt>
                      <c:pt idx="39">
                        <c:v>128869.10708583068</c:v>
                      </c:pt>
                      <c:pt idx="40">
                        <c:v>133417.2160416214</c:v>
                      </c:pt>
                      <c:pt idx="41">
                        <c:v>137629.37781675564</c:v>
                      </c:pt>
                      <c:pt idx="42">
                        <c:v>141501.95933339608</c:v>
                      </c:pt>
                      <c:pt idx="43">
                        <c:v>145038.45261081116</c:v>
                      </c:pt>
                      <c:pt idx="44">
                        <c:v>148248.22893754442</c:v>
                      </c:pt>
                      <c:pt idx="45">
                        <c:v>151145.25483094825</c:v>
                      </c:pt>
                      <c:pt idx="46">
                        <c:v>153746.85937862395</c:v>
                      </c:pt>
                      <c:pt idx="47">
                        <c:v>156072.61550902919</c:v>
                      </c:pt>
                      <c:pt idx="48">
                        <c:v>158143.37226188931</c:v>
                      </c:pt>
                      <c:pt idx="49">
                        <c:v>159980.45374340157</c:v>
                      </c:pt>
                      <c:pt idx="50">
                        <c:v>161605.02423140875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80-4003-A92A-241054E60060}"/>
                  </c:ext>
                </c:extLst>
              </c15:ser>
            </c15:filteredScatterSeries>
            <c15:filteredScatterSeries>
              <c15:ser>
                <c:idx val="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Boltzmann'!$K$8:$K$78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221.42955848819111</c:v>
                      </c:pt>
                      <c:pt idx="10">
                        <c:v>1089.8763159420259</c:v>
                      </c:pt>
                      <c:pt idx="11">
                        <c:v>2082.6312999377751</c:v>
                      </c:pt>
                      <c:pt idx="12">
                        <c:v>3215.5263662687112</c:v>
                      </c:pt>
                      <c:pt idx="13">
                        <c:v>4505.7948213828486</c:v>
                      </c:pt>
                      <c:pt idx="14">
                        <c:v>5971.9985319704965</c:v>
                      </c:pt>
                      <c:pt idx="15">
                        <c:v>7633.8777402463866</c:v>
                      </c:pt>
                      <c:pt idx="16">
                        <c:v>9512.1030884333377</c:v>
                      </c:pt>
                      <c:pt idx="17">
                        <c:v>11627.908314944445</c:v>
                      </c:pt>
                      <c:pt idx="18">
                        <c:v>14002.582871537994</c:v>
                      </c:pt>
                      <c:pt idx="19">
                        <c:v>16656.807246573509</c:v>
                      </c:pt>
                      <c:pt idx="20">
                        <c:v>19609.821068502948</c:v>
                      </c:pt>
                      <c:pt idx="21">
                        <c:v>22878.426023911969</c:v>
                      </c:pt>
                      <c:pt idx="22">
                        <c:v>26475.842815239674</c:v>
                      </c:pt>
                      <c:pt idx="23">
                        <c:v>30410.463635697524</c:v>
                      </c:pt>
                      <c:pt idx="24">
                        <c:v>34684.567638268323</c:v>
                      </c:pt>
                      <c:pt idx="25">
                        <c:v>39293.093809512146</c:v>
                      </c:pt>
                      <c:pt idx="26">
                        <c:v>44222.589103633312</c:v>
                      </c:pt>
                      <c:pt idx="27">
                        <c:v>49450.463943241266</c:v>
                      </c:pt>
                      <c:pt idx="28">
                        <c:v>54944.686194442256</c:v>
                      </c:pt>
                      <c:pt idx="29">
                        <c:v>60664.023591067096</c:v>
                      </c:pt>
                      <c:pt idx="30">
                        <c:v>66558.901445741241</c:v>
                      </c:pt>
                      <c:pt idx="31">
                        <c:v>72572.880083713884</c:v>
                      </c:pt>
                      <c:pt idx="32">
                        <c:v>78644.682743629673</c:v>
                      </c:pt>
                      <c:pt idx="33">
                        <c:v>84710.631986678956</c:v>
                      </c:pt>
                      <c:pt idx="34">
                        <c:v>90707.294943250803</c:v>
                      </c:pt>
                      <c:pt idx="35">
                        <c:v>96574.107102782218</c:v>
                      </c:pt>
                      <c:pt idx="36">
                        <c:v>102255.7475322167</c:v>
                      </c:pt>
                      <c:pt idx="37">
                        <c:v>107704.074685443</c:v>
                      </c:pt>
                      <c:pt idx="38">
                        <c:v>112879.49343133405</c:v>
                      </c:pt>
                      <c:pt idx="39">
                        <c:v>117751.69785223974</c:v>
                      </c:pt>
                      <c:pt idx="40">
                        <c:v>122299.80680803048</c:v>
                      </c:pt>
                      <c:pt idx="41">
                        <c:v>126511.96858316471</c:v>
                      </c:pt>
                      <c:pt idx="42">
                        <c:v>130384.55009980514</c:v>
                      </c:pt>
                      <c:pt idx="43">
                        <c:v>133921.04337722022</c:v>
                      </c:pt>
                      <c:pt idx="44">
                        <c:v>137130.81970395349</c:v>
                      </c:pt>
                      <c:pt idx="45">
                        <c:v>140027.84559735731</c:v>
                      </c:pt>
                      <c:pt idx="46">
                        <c:v>142629.45014503301</c:v>
                      </c:pt>
                      <c:pt idx="47">
                        <c:v>144955.20627543825</c:v>
                      </c:pt>
                      <c:pt idx="48">
                        <c:v>147025.96302829837</c:v>
                      </c:pt>
                      <c:pt idx="49">
                        <c:v>148863.04450981063</c:v>
                      </c:pt>
                      <c:pt idx="50">
                        <c:v>150487.61499781781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Boltzmann'!$AF$38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Boltzmann'!$AF$31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Boltzmann'!$AG$38</c:f>
              <c:numCache>
                <c:formatCode>00,000</c:formatCode>
                <c:ptCount val="1"/>
                <c:pt idx="0">
                  <c:v>0.99901562777988129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Boltzmann'!$AF$40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Boltzmann'!$AG$40</c:f>
              <c:numCache>
                <c:formatCode>0</c:formatCode>
                <c:ptCount val="1"/>
                <c:pt idx="0">
                  <c:v>549.77714474157085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Boltzmann'!$AF$41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Boltzmann'!$AG$41</c:f>
              <c:numCache>
                <c:formatCode>0</c:formatCode>
                <c:ptCount val="1"/>
                <c:pt idx="0">
                  <c:v>22008.445086268261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Boltzmann'!$AF$26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Boltzmann'!$AF$19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Boltzmann'!$AG$26</c:f>
              <c:numCache>
                <c:formatCode>00,000</c:formatCode>
                <c:ptCount val="1"/>
                <c:pt idx="0">
                  <c:v>0.99234342229382677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Boltzmann'!$AF$28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Boltzmann'!$AG$28</c:f>
              <c:numCache>
                <c:formatCode>0</c:formatCode>
                <c:ptCount val="1"/>
                <c:pt idx="0">
                  <c:v>2350.0860190085577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Boltzmann'!$AF$29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Boltzmann'!$AG$29</c:f>
              <c:numCache>
                <c:formatCode>0</c:formatCode>
                <c:ptCount val="1"/>
                <c:pt idx="0">
                  <c:v>145286.39577951675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Boltzmann'!$AF$14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Boltzmann'!$AF$7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Boltzmann'!$AG$14</c:f>
              <c:numCache>
                <c:formatCode>00,000</c:formatCode>
                <c:ptCount val="1"/>
                <c:pt idx="0">
                  <c:v>0.99843926848895714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Boltzmann'!$AF$16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Boltzmann'!$AG$16</c:f>
              <c:numCache>
                <c:formatCode>0</c:formatCode>
                <c:ptCount val="1"/>
                <c:pt idx="0">
                  <c:v>5558.7046167954622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Boltzmann'!$AF$17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Boltzmann'!$AG$17</c:f>
              <c:numCache>
                <c:formatCode>0</c:formatCode>
                <c:ptCount val="1"/>
                <c:pt idx="0">
                  <c:v>167294.84086578502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Boltzmann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Boltzmann'!$H$7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Boltzmann'!$H$8:$H$78</c:f>
              <c:numCache>
                <c:formatCode>0</c:formatCode>
                <c:ptCount val="71"/>
                <c:pt idx="0">
                  <c:v>230.74039447986172</c:v>
                </c:pt>
                <c:pt idx="1">
                  <c:v>266.04504761015374</c:v>
                </c:pt>
                <c:pt idx="2">
                  <c:v>306.60949542294389</c:v>
                </c:pt>
                <c:pt idx="3">
                  <c:v>353.17034770980371</c:v>
                </c:pt>
                <c:pt idx="4">
                  <c:v>406.55179519372734</c:v>
                </c:pt>
                <c:pt idx="5">
                  <c:v>467.67074529363231</c:v>
                </c:pt>
                <c:pt idx="6">
                  <c:v>537.54026651904178</c:v>
                </c:pt>
                <c:pt idx="7">
                  <c:v>617.27043290950621</c:v>
                </c:pt>
                <c:pt idx="8">
                  <c:v>708.0653950955334</c:v>
                </c:pt>
                <c:pt idx="9">
                  <c:v>811.21519893714242</c:v>
                </c:pt>
                <c:pt idx="10">
                  <c:v>928.08053650713089</c:v>
                </c:pt>
                <c:pt idx="11">
                  <c:v>1060.0682695367493</c:v>
                </c:pt>
                <c:pt idx="12">
                  <c:v>1208.5952517493142</c:v>
                </c:pt>
                <c:pt idx="13">
                  <c:v>1375.037756793422</c:v>
                </c:pt>
                <c:pt idx="14">
                  <c:v>1560.6637856839659</c:v>
                </c:pt>
                <c:pt idx="15">
                  <c:v>1766.5458091450391</c:v>
                </c:pt>
                <c:pt idx="16">
                  <c:v>1993.4522575299459</c:v>
                </c:pt>
                <c:pt idx="17">
                  <c:v>2241.7174898866601</c:v>
                </c:pt>
                <c:pt idx="18">
                  <c:v>2511.0922390184073</c:v>
                </c:pt>
                <c:pt idx="19">
                  <c:v>2800.5797775094575</c:v>
                </c:pt>
                <c:pt idx="20">
                  <c:v>3108.2672953095393</c:v>
                </c:pt>
                <c:pt idx="21">
                  <c:v>3431.1670181656136</c:v>
                </c:pt>
                <c:pt idx="22">
                  <c:v>3765.0868982792026</c:v>
                </c:pt>
                <c:pt idx="23">
                  <c:v>4104.5553377923507</c:v>
                </c:pt>
                <c:pt idx="24">
                  <c:v>4442.8270168779882</c:v>
                </c:pt>
                <c:pt idx="25">
                  <c:v>4771.995880002105</c:v>
                </c:pt>
                <c:pt idx="26">
                  <c:v>5083.2351500132945</c:v>
                </c:pt>
                <c:pt idx="27">
                  <c:v>5367.1719669993972</c:v>
                </c:pt>
                <c:pt idx="28">
                  <c:v>5614.3862112340112</c:v>
                </c:pt>
                <c:pt idx="29">
                  <c:v>5816.0013450761107</c:v>
                </c:pt>
                <c:pt idx="30">
                  <c:v>5964.3136093834419</c:v>
                </c:pt>
                <c:pt idx="31">
                  <c:v>6053.389779617045</c:v>
                </c:pt>
                <c:pt idx="32">
                  <c:v>6079.5579839989123</c:v>
                </c:pt>
                <c:pt idx="33">
                  <c:v>6041.724072898458</c:v>
                </c:pt>
                <c:pt idx="34">
                  <c:v>5941.4677034404349</c:v>
                </c:pt>
                <c:pt idx="35">
                  <c:v>5782.9038835635893</c:v>
                </c:pt>
                <c:pt idx="36">
                  <c:v>5572.3304692391685</c:v>
                </c:pt>
                <c:pt idx="37">
                  <c:v>5317.7123147462135</c:v>
                </c:pt>
                <c:pt idx="38">
                  <c:v>5028.0721214658206</c:v>
                </c:pt>
                <c:pt idx="39">
                  <c:v>4712.8634035436762</c:v>
                </c:pt>
                <c:pt idx="40">
                  <c:v>4381.3930590311393</c:v>
                </c:pt>
                <c:pt idx="41">
                  <c:v>4042.3435202572646</c:v>
                </c:pt>
                <c:pt idx="42">
                  <c:v>3703.4225547976675</c:v>
                </c:pt>
                <c:pt idx="43">
                  <c:v>3371.1474963617125</c:v>
                </c:pt>
                <c:pt idx="44">
                  <c:v>3050.7536024826386</c:v>
                </c:pt>
                <c:pt idx="45">
                  <c:v>2746.2050976148244</c:v>
                </c:pt>
                <c:pt idx="46">
                  <c:v>2460.2823165237037</c:v>
                </c:pt>
                <c:pt idx="47">
                  <c:v>2194.7181316160772</c:v>
                </c:pt>
                <c:pt idx="48">
                  <c:v>1950.3599439894474</c:v>
                </c:pt>
                <c:pt idx="49">
                  <c:v>1727.3383596111594</c:v>
                </c:pt>
                <c:pt idx="50">
                  <c:v>1525.228983265416</c:v>
                </c:pt>
                <c:pt idx="51">
                  <c:v>1343.1986851929332</c:v>
                </c:pt>
                <c:pt idx="52">
                  <c:v>1180.1317659213273</c:v>
                </c:pt>
                <c:pt idx="53">
                  <c:v>1034.7345072833637</c:v>
                </c:pt>
                <c:pt idx="54">
                  <c:v>905.61869565931215</c:v>
                </c:pt>
                <c:pt idx="55">
                  <c:v>791.36598704375547</c:v>
                </c:pt>
                <c:pt idx="56">
                  <c:v>690.57564040068507</c:v>
                </c:pt>
                <c:pt idx="57">
                  <c:v>601.89835865253872</c:v>
                </c:pt>
                <c:pt idx="58">
                  <c:v>524.05890119256662</c:v>
                </c:pt>
                <c:pt idx="59">
                  <c:v>455.86988892336512</c:v>
                </c:pt>
                <c:pt idx="60">
                  <c:v>396.23889954456348</c:v>
                </c:pt>
                <c:pt idx="61">
                  <c:v>344.17060535586262</c:v>
                </c:pt>
                <c:pt idx="62">
                  <c:v>298.76537400768086</c:v>
                </c:pt>
                <c:pt idx="63">
                  <c:v>259.21545398173367</c:v>
                </c:pt>
                <c:pt idx="64">
                  <c:v>224.79960965208525</c:v>
                </c:pt>
                <c:pt idx="65">
                  <c:v>194.8768571067416</c:v>
                </c:pt>
                <c:pt idx="66">
                  <c:v>168.87977897863263</c:v>
                </c:pt>
                <c:pt idx="67">
                  <c:v>146.30775975509502</c:v>
                </c:pt>
                <c:pt idx="68">
                  <c:v>126.7203770446861</c:v>
                </c:pt>
                <c:pt idx="69">
                  <c:v>109.73110372082829</c:v>
                </c:pt>
                <c:pt idx="70">
                  <c:v>95.001415801386855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Boltzmann'!$N$7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Boltzmann'!$N$8:$N$78</c:f>
              <c:numCache>
                <c:formatCode>0</c:formatCode>
                <c:ptCount val="71"/>
                <c:pt idx="0">
                  <c:v>158.36016036351296</c:v>
                </c:pt>
                <c:pt idx="1">
                  <c:v>185.91719522734954</c:v>
                </c:pt>
                <c:pt idx="2">
                  <c:v>217.8413737422355</c:v>
                </c:pt>
                <c:pt idx="3">
                  <c:v>254.75881295076047</c:v>
                </c:pt>
                <c:pt idx="4">
                  <c:v>297.36908629124167</c:v>
                </c:pt>
                <c:pt idx="5">
                  <c:v>346.44870703077117</c:v>
                </c:pt>
                <c:pt idx="6">
                  <c:v>402.85282177502881</c:v>
                </c:pt>
                <c:pt idx="7">
                  <c:v>467.51424337487151</c:v>
                </c:pt>
                <c:pt idx="8">
                  <c:v>541.43871057781394</c:v>
                </c:pt>
                <c:pt idx="9">
                  <c:v>625.69498709650497</c:v>
                </c:pt>
                <c:pt idx="10">
                  <c:v>721.3981175166906</c:v>
                </c:pt>
                <c:pt idx="11">
                  <c:v>829.68386568904441</c:v>
                </c:pt>
                <c:pt idx="12">
                  <c:v>951.67211399139399</c:v>
                </c:pt>
                <c:pt idx="13">
                  <c:v>1088.4168628875987</c:v>
                </c:pt>
                <c:pt idx="14">
                  <c:v>1240.8405314479305</c:v>
                </c:pt>
                <c:pt idx="15">
                  <c:v>1409.6506441301474</c:v>
                </c:pt>
                <c:pt idx="16">
                  <c:v>1595.2378494241493</c:v>
                </c:pt>
                <c:pt idx="17">
                  <c:v>1797.5557210450879</c:v>
                </c:pt>
                <c:pt idx="18">
                  <c:v>2015.985100076558</c:v>
                </c:pt>
                <c:pt idx="19">
                  <c:v>2249.1889436843771</c:v>
                </c:pt>
                <c:pt idx="20">
                  <c:v>2494.9677141882148</c:v>
                </c:pt>
                <c:pt idx="21">
                  <c:v>2750.1300026225613</c:v>
                </c:pt>
                <c:pt idx="22">
                  <c:v>3010.3977371377673</c:v>
                </c:pt>
                <c:pt idx="23">
                  <c:v>3270.3689919253275</c:v>
                </c:pt>
                <c:pt idx="24">
                  <c:v>3523.5627375804502</c:v>
                </c:pt>
                <c:pt idx="25">
                  <c:v>3762.5673313379411</c:v>
                </c:pt>
                <c:pt idx="26">
                  <c:v>3979.3068148643151</c:v>
                </c:pt>
                <c:pt idx="27">
                  <c:v>4165.4256218232485</c:v>
                </c:pt>
                <c:pt idx="28">
                  <c:v>4312.7739431790105</c:v>
                </c:pt>
                <c:pt idx="29">
                  <c:v>4413.9554081363558</c:v>
                </c:pt>
                <c:pt idx="30">
                  <c:v>4462.8802655942382</c:v>
                </c:pt>
                <c:pt idx="31">
                  <c:v>4455.2560883108599</c:v>
                </c:pt>
                <c:pt idx="32">
                  <c:v>4388.9486460142025</c:v>
                </c:pt>
                <c:pt idx="33">
                  <c:v>4264.1599700214319</c:v>
                </c:pt>
                <c:pt idx="34">
                  <c:v>4083.3969603305609</c:v>
                </c:pt>
                <c:pt idx="35">
                  <c:v>3851.2366225192018</c:v>
                </c:pt>
                <c:pt idx="36">
                  <c:v>3573.9254193137658</c:v>
                </c:pt>
                <c:pt idx="37">
                  <c:v>3258.872876778049</c:v>
                </c:pt>
                <c:pt idx="38">
                  <c:v>2914.1088985379702</c:v>
                </c:pt>
                <c:pt idx="39">
                  <c:v>2547.769707716322</c:v>
                </c:pt>
                <c:pt idx="40">
                  <c:v>2167.6621842829877</c:v>
                </c:pt>
                <c:pt idx="41">
                  <c:v>1780.9359113429769</c:v>
                </c:pt>
                <c:pt idx="42">
                  <c:v>1393.8718573410129</c:v>
                </c:pt>
                <c:pt idx="43">
                  <c:v>1011.7801918917193</c:v>
                </c:pt>
                <c:pt idx="44">
                  <c:v>638.98906982351934</c:v>
                </c:pt>
                <c:pt idx="45">
                  <c:v>278.90129199643644</c:v>
                </c:pt>
                <c:pt idx="46">
                  <c:v>-65.904612772771031</c:v>
                </c:pt>
                <c:pt idx="47">
                  <c:v>-393.54973285953281</c:v>
                </c:pt>
                <c:pt idx="48">
                  <c:v>-702.72329514713965</c:v>
                </c:pt>
                <c:pt idx="49">
                  <c:v>-992.5566330755147</c:v>
                </c:pt>
                <c:pt idx="50">
                  <c:v>-1262.5107096387194</c:v>
                </c:pt>
                <c:pt idx="51">
                  <c:v>-1512.2818040382049</c:v>
                </c:pt>
                <c:pt idx="52">
                  <c:v>-1741.7272381631578</c:v>
                </c:pt>
                <c:pt idx="53">
                  <c:v>-1950.8110149606039</c:v>
                </c:pt>
                <c:pt idx="54">
                  <c:v>-2139.5678590938605</c:v>
                </c:pt>
                <c:pt idx="55">
                  <c:v>-2308.0832663875899</c:v>
                </c:pt>
                <c:pt idx="56">
                  <c:v>-2456.48666625242</c:v>
                </c:pt>
                <c:pt idx="57">
                  <c:v>-2584.9545849917276</c:v>
                </c:pt>
                <c:pt idx="58">
                  <c:v>-2693.7206951215544</c:v>
                </c:pt>
                <c:pt idx="59">
                  <c:v>-2783.0897942386168</c:v>
                </c:pt>
                <c:pt idx="60">
                  <c:v>-2853.4530389398492</c:v>
                </c:pt>
                <c:pt idx="61">
                  <c:v>-2905.302136022508</c:v>
                </c:pt>
                <c:pt idx="62">
                  <c:v>-2939.2406395519138</c:v>
                </c:pt>
                <c:pt idx="63">
                  <c:v>-2955.9909933712888</c:v>
                </c:pt>
                <c:pt idx="64">
                  <c:v>-2956.3964676808341</c:v>
                </c:pt>
                <c:pt idx="65">
                  <c:v>-2941.417637425553</c:v>
                </c:pt>
                <c:pt idx="66">
                  <c:v>-2912.123511501567</c:v>
                </c:pt>
                <c:pt idx="67">
                  <c:v>-2869.67781981084</c:v>
                </c:pt>
                <c:pt idx="68">
                  <c:v>-2815.3212796199787</c:v>
                </c:pt>
                <c:pt idx="69">
                  <c:v>-2750.3508803658005</c:v>
                </c:pt>
                <c:pt idx="70">
                  <c:v>-2676.0973423059531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Boltzmann'!$S$7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Boltzmann'!$S$8:$S$78</c:f>
              <c:numCache>
                <c:formatCode>0</c:formatCode>
                <c:ptCount val="71"/>
                <c:pt idx="0">
                  <c:v>58.010052527517558</c:v>
                </c:pt>
                <c:pt idx="1">
                  <c:v>63.299679524545795</c:v>
                </c:pt>
                <c:pt idx="2">
                  <c:v>69.066333580318044</c:v>
                </c:pt>
                <c:pt idx="3">
                  <c:v>75.352018644144962</c:v>
                </c:pt>
                <c:pt idx="4">
                  <c:v>82.202242783269114</c:v>
                </c:pt>
                <c:pt idx="5">
                  <c:v>89.666272916612243</c:v>
                </c:pt>
                <c:pt idx="6">
                  <c:v>97.797400567047831</c:v>
                </c:pt>
                <c:pt idx="7">
                  <c:v>106.65321744292925</c:v>
                </c:pt>
                <c:pt idx="8">
                  <c:v>116.29589918140492</c:v>
                </c:pt>
                <c:pt idx="9">
                  <c:v>126.79249500869773</c:v>
                </c:pt>
                <c:pt idx="10">
                  <c:v>138.21522038068997</c:v>
                </c:pt>
                <c:pt idx="11">
                  <c:v>150.64174884403903</c:v>
                </c:pt>
                <c:pt idx="12">
                  <c:v>164.15549838560005</c:v>
                </c:pt>
                <c:pt idx="13">
                  <c:v>178.84590639705365</c:v>
                </c:pt>
                <c:pt idx="14">
                  <c:v>194.80868605271803</c:v>
                </c:pt>
                <c:pt idx="15">
                  <c:v>212.14605536208393</c:v>
                </c:pt>
                <c:pt idx="16">
                  <c:v>230.96692839628832</c:v>
                </c:pt>
                <c:pt idx="17">
                  <c:v>251.38705618370113</c:v>
                </c:pt>
                <c:pt idx="18">
                  <c:v>273.52910251249631</c:v>
                </c:pt>
                <c:pt idx="19">
                  <c:v>297.52263736274625</c:v>
                </c:pt>
                <c:pt idx="20">
                  <c:v>323.50402792218529</c:v>
                </c:pt>
                <c:pt idx="21">
                  <c:v>351.61620413706265</c:v>
                </c:pt>
                <c:pt idx="22">
                  <c:v>382.00827254948797</c:v>
                </c:pt>
                <c:pt idx="23">
                  <c:v>414.8349488366303</c:v>
                </c:pt>
                <c:pt idx="24">
                  <c:v>450.25577608708812</c:v>
                </c:pt>
                <c:pt idx="25">
                  <c:v>488.43409255623203</c:v>
                </c:pt>
                <c:pt idx="26">
                  <c:v>529.53570961277569</c:v>
                </c:pt>
                <c:pt idx="27">
                  <c:v>573.72725805638493</c:v>
                </c:pt>
                <c:pt idx="28">
                  <c:v>621.17415924849831</c:v>
                </c:pt>
                <c:pt idx="29">
                  <c:v>672.03817692548398</c:v>
                </c:pt>
                <c:pt idx="30">
                  <c:v>726.47450660237712</c:v>
                </c:pt>
                <c:pt idx="31">
                  <c:v>784.62836265333249</c:v>
                </c:pt>
                <c:pt idx="32">
                  <c:v>846.63102907274163</c:v>
                </c:pt>
                <c:pt idx="33">
                  <c:v>912.59534924076365</c:v>
                </c:pt>
                <c:pt idx="34">
                  <c:v>982.61064343609257</c:v>
                </c:pt>
                <c:pt idx="35">
                  <c:v>1056.7370610487144</c:v>
                </c:pt>
                <c:pt idx="36">
                  <c:v>1134.9993980719921</c:v>
                </c:pt>
                <c:pt idx="37">
                  <c:v>1217.3804399752346</c:v>
                </c:pt>
                <c:pt idx="38">
                  <c:v>1303.813925701998</c:v>
                </c:pt>
                <c:pt idx="39">
                  <c:v>1394.1772701546311</c:v>
                </c:pt>
                <c:pt idx="40">
                  <c:v>1488.2842294398579</c:v>
                </c:pt>
                <c:pt idx="41">
                  <c:v>1585.8777440189833</c:v>
                </c:pt>
                <c:pt idx="42">
                  <c:v>1686.6232475710904</c:v>
                </c:pt>
                <c:pt idx="43">
                  <c:v>1790.1027807550145</c:v>
                </c:pt>
                <c:pt idx="44">
                  <c:v>1895.8102950889177</c:v>
                </c:pt>
                <c:pt idx="45">
                  <c:v>2003.1485678713905</c:v>
                </c:pt>
                <c:pt idx="46">
                  <c:v>2111.4281687155403</c:v>
                </c:pt>
                <c:pt idx="47">
                  <c:v>2219.8689157267363</c:v>
                </c:pt>
                <c:pt idx="48">
                  <c:v>2327.6042286227171</c:v>
                </c:pt>
                <c:pt idx="49">
                  <c:v>2433.6887220058247</c:v>
                </c:pt>
                <c:pt idx="50">
                  <c:v>2537.1092810750279</c:v>
                </c:pt>
                <c:pt idx="51">
                  <c:v>2636.7997234420304</c:v>
                </c:pt>
                <c:pt idx="52">
                  <c:v>2731.6589769969851</c:v>
                </c:pt>
                <c:pt idx="53">
                  <c:v>2820.5725016910978</c:v>
                </c:pt>
                <c:pt idx="54">
                  <c:v>2902.4364638083812</c:v>
                </c:pt>
                <c:pt idx="55">
                  <c:v>2976.1839500704714</c:v>
                </c:pt>
                <c:pt idx="56">
                  <c:v>3040.812304265829</c:v>
                </c:pt>
                <c:pt idx="57">
                  <c:v>3095.410501164853</c:v>
                </c:pt>
                <c:pt idx="58">
                  <c:v>3139.185360904808</c:v>
                </c:pt>
                <c:pt idx="59">
                  <c:v>3171.4853684203563</c:v>
                </c:pt>
                <c:pt idx="60">
                  <c:v>3191.8209079802664</c:v>
                </c:pt>
                <c:pt idx="61">
                  <c:v>3199.8798560375699</c:v>
                </c:pt>
                <c:pt idx="62">
                  <c:v>3195.5376911901567</c:v>
                </c:pt>
                <c:pt idx="63">
                  <c:v>3178.861563968002</c:v>
                </c:pt>
                <c:pt idx="64">
                  <c:v>3150.108099554473</c:v>
                </c:pt>
                <c:pt idx="65">
                  <c:v>3109.7150561211402</c:v>
                </c:pt>
                <c:pt idx="66">
                  <c:v>3058.2873006383174</c:v>
                </c:pt>
                <c:pt idx="67">
                  <c:v>2996.5778644839438</c:v>
                </c:pt>
                <c:pt idx="68">
                  <c:v>2925.4650791343911</c:v>
                </c:pt>
                <c:pt idx="69">
                  <c:v>2845.9269510677941</c:v>
                </c:pt>
                <c:pt idx="70">
                  <c:v>2759.014006810004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Boltzmann'!$AA$7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Boltzmann'!$AA$8:$AA$78</c:f>
              <c:numCache>
                <c:formatCode>0</c:formatCode>
                <c:ptCount val="71"/>
                <c:pt idx="0">
                  <c:v>14.370181588831207</c:v>
                </c:pt>
                <c:pt idx="1">
                  <c:v>16.828172858258387</c:v>
                </c:pt>
                <c:pt idx="2">
                  <c:v>19.701788100390363</c:v>
                </c:pt>
                <c:pt idx="3">
                  <c:v>23.059516114898276</c:v>
                </c:pt>
                <c:pt idx="4">
                  <c:v>26.980466119216569</c:v>
                </c:pt>
                <c:pt idx="5">
                  <c:v>31.55576534624889</c:v>
                </c:pt>
                <c:pt idx="6">
                  <c:v>36.890044176965162</c:v>
                </c:pt>
                <c:pt idx="7">
                  <c:v>43.102972091705425</c:v>
                </c:pt>
                <c:pt idx="8">
                  <c:v>50.330785336314577</c:v>
                </c:pt>
                <c:pt idx="9">
                  <c:v>58.727716831939659</c:v>
                </c:pt>
                <c:pt idx="10">
                  <c:v>68.467198609750284</c:v>
                </c:pt>
                <c:pt idx="11">
                  <c:v>79.742655003665874</c:v>
                </c:pt>
                <c:pt idx="12">
                  <c:v>92.767639372320147</c:v>
                </c:pt>
                <c:pt idx="13">
                  <c:v>107.77498750876966</c:v>
                </c:pt>
                <c:pt idx="14">
                  <c:v>125.01456818331728</c:v>
                </c:pt>
                <c:pt idx="15">
                  <c:v>144.74910965280787</c:v>
                </c:pt>
                <c:pt idx="16">
                  <c:v>167.24747970950818</c:v>
                </c:pt>
                <c:pt idx="17">
                  <c:v>192.77471265787105</c:v>
                </c:pt>
                <c:pt idx="18">
                  <c:v>221.57803642935312</c:v>
                </c:pt>
                <c:pt idx="19">
                  <c:v>253.86819646233428</c:v>
                </c:pt>
                <c:pt idx="20">
                  <c:v>289.79555319913908</c:v>
                </c:pt>
                <c:pt idx="21">
                  <c:v>329.42081140598975</c:v>
                </c:pt>
                <c:pt idx="22">
                  <c:v>372.68088859194711</c:v>
                </c:pt>
                <c:pt idx="23">
                  <c:v>419.35139703039295</c:v>
                </c:pt>
                <c:pt idx="24">
                  <c:v>469.00850321044976</c:v>
                </c:pt>
                <c:pt idx="25">
                  <c:v>520.99445610793168</c:v>
                </c:pt>
                <c:pt idx="26">
                  <c:v>574.39262553620392</c:v>
                </c:pt>
                <c:pt idx="27">
                  <c:v>628.01908711976409</c:v>
                </c:pt>
                <c:pt idx="28">
                  <c:v>680.43810880650244</c:v>
                </c:pt>
                <c:pt idx="29">
                  <c:v>730.00776001427096</c:v>
                </c:pt>
                <c:pt idx="30">
                  <c:v>774.95883718682717</c:v>
                </c:pt>
                <c:pt idx="31">
                  <c:v>813.50532865285288</c:v>
                </c:pt>
                <c:pt idx="32">
                  <c:v>843.97830891196861</c:v>
                </c:pt>
                <c:pt idx="33">
                  <c:v>864.96875363626305</c:v>
                </c:pt>
                <c:pt idx="34">
                  <c:v>875.4600996737812</c:v>
                </c:pt>
                <c:pt idx="35">
                  <c:v>874.93019999567343</c:v>
                </c:pt>
                <c:pt idx="36">
                  <c:v>863.40565185341075</c:v>
                </c:pt>
                <c:pt idx="37">
                  <c:v>841.45899799292999</c:v>
                </c:pt>
                <c:pt idx="38">
                  <c:v>810.14929722585225</c:v>
                </c:pt>
                <c:pt idx="39">
                  <c:v>770.91642567272322</c:v>
                </c:pt>
                <c:pt idx="40">
                  <c:v>725.44664530829368</c:v>
                </c:pt>
                <c:pt idx="41">
                  <c:v>675.52986489530451</c:v>
                </c:pt>
                <c:pt idx="42">
                  <c:v>622.92744988556433</c:v>
                </c:pt>
                <c:pt idx="43">
                  <c:v>569.26452371497874</c:v>
                </c:pt>
                <c:pt idx="44">
                  <c:v>515.9542375702016</c:v>
                </c:pt>
                <c:pt idx="45">
                  <c:v>464.15523774699744</c:v>
                </c:pt>
                <c:pt idx="46">
                  <c:v>414.75876058093439</c:v>
                </c:pt>
                <c:pt idx="47">
                  <c:v>368.39894874887375</c:v>
                </c:pt>
                <c:pt idx="48">
                  <c:v>325.47901051387004</c:v>
                </c:pt>
                <c:pt idx="49">
                  <c:v>286.20627068084934</c:v>
                </c:pt>
                <c:pt idx="50">
                  <c:v>250.63041182910746</c:v>
                </c:pt>
                <c:pt idx="51">
                  <c:v>218.6807657891076</c:v>
                </c:pt>
                <c:pt idx="52">
                  <c:v>190.2000270875001</c:v>
                </c:pt>
                <c:pt idx="53">
                  <c:v>164.97302055286968</c:v>
                </c:pt>
                <c:pt idx="54">
                  <c:v>142.75009094479131</c:v>
                </c:pt>
                <c:pt idx="55">
                  <c:v>123.26530336087383</c:v>
                </c:pt>
                <c:pt idx="56">
                  <c:v>106.25000238727604</c:v>
                </c:pt>
                <c:pt idx="57">
                  <c:v>91.442442479413131</c:v>
                </c:pt>
                <c:pt idx="58">
                  <c:v>78.594235409312972</c:v>
                </c:pt>
                <c:pt idx="59">
                  <c:v>67.474314741625818</c:v>
                </c:pt>
                <c:pt idx="60">
                  <c:v>57.871030504146539</c:v>
                </c:pt>
                <c:pt idx="61">
                  <c:v>49.59288534080067</c:v>
                </c:pt>
                <c:pt idx="62">
                  <c:v>42.468322369437985</c:v>
                </c:pt>
                <c:pt idx="63">
                  <c:v>36.344883385020601</c:v>
                </c:pt>
                <c:pt idx="64">
                  <c:v>31.08797777844616</c:v>
                </c:pt>
                <c:pt idx="65">
                  <c:v>26.579438411154673</c:v>
                </c:pt>
                <c:pt idx="66">
                  <c:v>22.715989841882049</c:v>
                </c:pt>
                <c:pt idx="67">
                  <c:v>19.407715081991412</c:v>
                </c:pt>
                <c:pt idx="68">
                  <c:v>16.576577530273738</c:v>
                </c:pt>
                <c:pt idx="69">
                  <c:v>14.155033018834931</c:v>
                </c:pt>
                <c:pt idx="70">
                  <c:v>12.08475129733603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Boltzmann'!$J$7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Boltzmann'!$J$8:$J$78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1944.6256570800169</c:v>
                      </c:pt>
                      <c:pt idx="1">
                        <c:v>1979.9303102103088</c:v>
                      </c:pt>
                      <c:pt idx="2">
                        <c:v>2020.4947580230989</c:v>
                      </c:pt>
                      <c:pt idx="3">
                        <c:v>2067.0556103099589</c:v>
                      </c:pt>
                      <c:pt idx="4">
                        <c:v>2120.4370577938826</c:v>
                      </c:pt>
                      <c:pt idx="5">
                        <c:v>2181.5560078937874</c:v>
                      </c:pt>
                      <c:pt idx="6">
                        <c:v>2251.4255291191967</c:v>
                      </c:pt>
                      <c:pt idx="7">
                        <c:v>2331.1556955096612</c:v>
                      </c:pt>
                      <c:pt idx="8">
                        <c:v>2421.9506576956883</c:v>
                      </c:pt>
                      <c:pt idx="9">
                        <c:v>2525.1004615372976</c:v>
                      </c:pt>
                      <c:pt idx="10">
                        <c:v>2641.9657991072859</c:v>
                      </c:pt>
                      <c:pt idx="11">
                        <c:v>2773.9535321369044</c:v>
                      </c:pt>
                      <c:pt idx="12">
                        <c:v>2922.4805143494696</c:v>
                      </c:pt>
                      <c:pt idx="13">
                        <c:v>3088.9230193935773</c:v>
                      </c:pt>
                      <c:pt idx="14">
                        <c:v>3274.549048284121</c:v>
                      </c:pt>
                      <c:pt idx="15">
                        <c:v>3480.4310717451945</c:v>
                      </c:pt>
                      <c:pt idx="16">
                        <c:v>3707.337520130101</c:v>
                      </c:pt>
                      <c:pt idx="17">
                        <c:v>3955.602752486815</c:v>
                      </c:pt>
                      <c:pt idx="18">
                        <c:v>4224.9775016185622</c:v>
                      </c:pt>
                      <c:pt idx="19">
                        <c:v>4514.4650401096123</c:v>
                      </c:pt>
                      <c:pt idx="20">
                        <c:v>4822.1525579096942</c:v>
                      </c:pt>
                      <c:pt idx="21">
                        <c:v>5145.052280765769</c:v>
                      </c:pt>
                      <c:pt idx="22">
                        <c:v>5478.9721608793579</c:v>
                      </c:pt>
                      <c:pt idx="23">
                        <c:v>5818.440600392506</c:v>
                      </c:pt>
                      <c:pt idx="24">
                        <c:v>6156.7122794781435</c:v>
                      </c:pt>
                      <c:pt idx="25">
                        <c:v>6485.8811426022603</c:v>
                      </c:pt>
                      <c:pt idx="26">
                        <c:v>6797.1204126134498</c:v>
                      </c:pt>
                      <c:pt idx="27">
                        <c:v>7081.0572295995526</c:v>
                      </c:pt>
                      <c:pt idx="28">
                        <c:v>7328.2714738341665</c:v>
                      </c:pt>
                      <c:pt idx="29">
                        <c:v>7529.8866076762661</c:v>
                      </c:pt>
                      <c:pt idx="30">
                        <c:v>7678.1988719835972</c:v>
                      </c:pt>
                      <c:pt idx="31">
                        <c:v>7767.2750422172003</c:v>
                      </c:pt>
                      <c:pt idx="32">
                        <c:v>7793.4432465990676</c:v>
                      </c:pt>
                      <c:pt idx="33">
                        <c:v>7755.6093354986133</c:v>
                      </c:pt>
                      <c:pt idx="34">
                        <c:v>7655.3529660405902</c:v>
                      </c:pt>
                      <c:pt idx="35">
                        <c:v>7496.7891461637446</c:v>
                      </c:pt>
                      <c:pt idx="36">
                        <c:v>7286.2157318393238</c:v>
                      </c:pt>
                      <c:pt idx="37">
                        <c:v>7031.5975773463688</c:v>
                      </c:pt>
                      <c:pt idx="38">
                        <c:v>6741.9573840659759</c:v>
                      </c:pt>
                      <c:pt idx="39">
                        <c:v>6426.7486661438315</c:v>
                      </c:pt>
                      <c:pt idx="40">
                        <c:v>6095.2783216312946</c:v>
                      </c:pt>
                      <c:pt idx="41">
                        <c:v>5756.2287828574199</c:v>
                      </c:pt>
                      <c:pt idx="42">
                        <c:v>5417.3078173978229</c:v>
                      </c:pt>
                      <c:pt idx="43">
                        <c:v>5085.0327589618673</c:v>
                      </c:pt>
                      <c:pt idx="44">
                        <c:v>4764.6388650827939</c:v>
                      </c:pt>
                      <c:pt idx="45">
                        <c:v>4460.0903602149792</c:v>
                      </c:pt>
                      <c:pt idx="46">
                        <c:v>4174.1675791238586</c:v>
                      </c:pt>
                      <c:pt idx="47">
                        <c:v>3908.6033942162321</c:v>
                      </c:pt>
                      <c:pt idx="48">
                        <c:v>3664.2452065896023</c:v>
                      </c:pt>
                      <c:pt idx="49">
                        <c:v>3441.2236222113143</c:v>
                      </c:pt>
                      <c:pt idx="50">
                        <c:v>3239.1142458655713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52.660546544884028</c:v>
                      </c:pt>
                      <c:pt idx="16">
                        <c:v>279.56699492979078</c:v>
                      </c:pt>
                      <c:pt idx="17">
                        <c:v>527.83222728650503</c:v>
                      </c:pt>
                      <c:pt idx="18">
                        <c:v>797.20697641825222</c:v>
                      </c:pt>
                      <c:pt idx="19">
                        <c:v>1086.6945149093024</c:v>
                      </c:pt>
                      <c:pt idx="20">
                        <c:v>1394.3820327093842</c:v>
                      </c:pt>
                      <c:pt idx="21">
                        <c:v>1717.2817555654585</c:v>
                      </c:pt>
                      <c:pt idx="22">
                        <c:v>2051.2016356790473</c:v>
                      </c:pt>
                      <c:pt idx="23">
                        <c:v>2390.6700751921953</c:v>
                      </c:pt>
                      <c:pt idx="24">
                        <c:v>2728.9417542778328</c:v>
                      </c:pt>
                      <c:pt idx="25">
                        <c:v>3058.1106174019496</c:v>
                      </c:pt>
                      <c:pt idx="26">
                        <c:v>3369.3498874131392</c:v>
                      </c:pt>
                      <c:pt idx="27">
                        <c:v>3653.2867043992419</c:v>
                      </c:pt>
                      <c:pt idx="28">
                        <c:v>3900.5009486338558</c:v>
                      </c:pt>
                      <c:pt idx="29">
                        <c:v>4102.1160824759554</c:v>
                      </c:pt>
                      <c:pt idx="30">
                        <c:v>4250.4283467832865</c:v>
                      </c:pt>
                      <c:pt idx="31">
                        <c:v>4339.5045170168896</c:v>
                      </c:pt>
                      <c:pt idx="32">
                        <c:v>4365.6727213987569</c:v>
                      </c:pt>
                      <c:pt idx="33">
                        <c:v>4327.8388102983026</c:v>
                      </c:pt>
                      <c:pt idx="34">
                        <c:v>4227.5824408402796</c:v>
                      </c:pt>
                      <c:pt idx="35">
                        <c:v>4069.0186209634339</c:v>
                      </c:pt>
                      <c:pt idx="36">
                        <c:v>3858.4452066390131</c:v>
                      </c:pt>
                      <c:pt idx="37">
                        <c:v>3603.8270521460581</c:v>
                      </c:pt>
                      <c:pt idx="38">
                        <c:v>3314.1868588656653</c:v>
                      </c:pt>
                      <c:pt idx="39">
                        <c:v>2998.9781409435209</c:v>
                      </c:pt>
                      <c:pt idx="40">
                        <c:v>2667.5077964309839</c:v>
                      </c:pt>
                      <c:pt idx="41">
                        <c:v>2328.4582576571092</c:v>
                      </c:pt>
                      <c:pt idx="42">
                        <c:v>1989.5372921975124</c:v>
                      </c:pt>
                      <c:pt idx="43">
                        <c:v>1657.2622337615574</c:v>
                      </c:pt>
                      <c:pt idx="44">
                        <c:v>1336.8683398824835</c:v>
                      </c:pt>
                      <c:pt idx="45">
                        <c:v>1032.3198350146693</c:v>
                      </c:pt>
                      <c:pt idx="46">
                        <c:v>746.39705392354858</c:v>
                      </c:pt>
                      <c:pt idx="47">
                        <c:v>480.83286901592214</c:v>
                      </c:pt>
                      <c:pt idx="48">
                        <c:v>236.4746813892923</c:v>
                      </c:pt>
                      <c:pt idx="49">
                        <c:v>13.453097011004274</c:v>
                      </c:pt>
                      <c:pt idx="5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768.25619270052039</c:v>
                      </c:pt>
                      <c:pt idx="1">
                        <c:v>773.54581969754861</c:v>
                      </c:pt>
                      <c:pt idx="2">
                        <c:v>779.31247375332089</c:v>
                      </c:pt>
                      <c:pt idx="3">
                        <c:v>785.59815881714781</c:v>
                      </c:pt>
                      <c:pt idx="4">
                        <c:v>792.44838295627187</c:v>
                      </c:pt>
                      <c:pt idx="5">
                        <c:v>799.91241308961503</c:v>
                      </c:pt>
                      <c:pt idx="6">
                        <c:v>808.04354074005062</c:v>
                      </c:pt>
                      <c:pt idx="7">
                        <c:v>816.8993576159321</c:v>
                      </c:pt>
                      <c:pt idx="8">
                        <c:v>826.54203935440773</c:v>
                      </c:pt>
                      <c:pt idx="9">
                        <c:v>837.03863518170056</c:v>
                      </c:pt>
                      <c:pt idx="10">
                        <c:v>848.46136055369277</c:v>
                      </c:pt>
                      <c:pt idx="11">
                        <c:v>860.88788901704186</c:v>
                      </c:pt>
                      <c:pt idx="12">
                        <c:v>874.40163855860283</c:v>
                      </c:pt>
                      <c:pt idx="13">
                        <c:v>889.09204657005648</c:v>
                      </c:pt>
                      <c:pt idx="14">
                        <c:v>905.05482622572083</c:v>
                      </c:pt>
                      <c:pt idx="15">
                        <c:v>922.39219553508678</c:v>
                      </c:pt>
                      <c:pt idx="16">
                        <c:v>941.21306856929118</c:v>
                      </c:pt>
                      <c:pt idx="17">
                        <c:v>961.63319635670393</c:v>
                      </c:pt>
                      <c:pt idx="18">
                        <c:v>983.77524268549905</c:v>
                      </c:pt>
                      <c:pt idx="19">
                        <c:v>1007.768777535749</c:v>
                      </c:pt>
                      <c:pt idx="20">
                        <c:v>1033.7501680951882</c:v>
                      </c:pt>
                      <c:pt idx="21">
                        <c:v>1061.8623443100655</c:v>
                      </c:pt>
                      <c:pt idx="22">
                        <c:v>1092.2544127224908</c:v>
                      </c:pt>
                      <c:pt idx="23">
                        <c:v>1125.0810890096332</c:v>
                      </c:pt>
                      <c:pt idx="24">
                        <c:v>1160.5019162600909</c:v>
                      </c:pt>
                      <c:pt idx="25">
                        <c:v>1198.6802327292348</c:v>
                      </c:pt>
                      <c:pt idx="26">
                        <c:v>1239.7818497857784</c:v>
                      </c:pt>
                      <c:pt idx="27">
                        <c:v>1283.9733982293878</c:v>
                      </c:pt>
                      <c:pt idx="28">
                        <c:v>1331.4202994215011</c:v>
                      </c:pt>
                      <c:pt idx="29">
                        <c:v>1382.2843170984868</c:v>
                      </c:pt>
                      <c:pt idx="30">
                        <c:v>1436.7206467753799</c:v>
                      </c:pt>
                      <c:pt idx="31">
                        <c:v>1494.8745028263352</c:v>
                      </c:pt>
                      <c:pt idx="32">
                        <c:v>1556.8771692457444</c:v>
                      </c:pt>
                      <c:pt idx="33">
                        <c:v>1622.8414894137663</c:v>
                      </c:pt>
                      <c:pt idx="34">
                        <c:v>1692.8567836090954</c:v>
                      </c:pt>
                      <c:pt idx="35">
                        <c:v>1766.9832012217171</c:v>
                      </c:pt>
                      <c:pt idx="36">
                        <c:v>1845.2455382449948</c:v>
                      </c:pt>
                      <c:pt idx="37">
                        <c:v>1927.6265801482373</c:v>
                      </c:pt>
                      <c:pt idx="38">
                        <c:v>2014.0600658750009</c:v>
                      </c:pt>
                      <c:pt idx="39">
                        <c:v>2104.423410327634</c:v>
                      </c:pt>
                      <c:pt idx="40">
                        <c:v>2198.5303696128608</c:v>
                      </c:pt>
                      <c:pt idx="41">
                        <c:v>2296.1238841919862</c:v>
                      </c:pt>
                      <c:pt idx="42">
                        <c:v>2396.8693877440933</c:v>
                      </c:pt>
                      <c:pt idx="43">
                        <c:v>2500.3489209280174</c:v>
                      </c:pt>
                      <c:pt idx="44">
                        <c:v>2606.0564352619203</c:v>
                      </c:pt>
                      <c:pt idx="45">
                        <c:v>2713.3947080443932</c:v>
                      </c:pt>
                      <c:pt idx="46">
                        <c:v>2821.6743088885432</c:v>
                      </c:pt>
                      <c:pt idx="47">
                        <c:v>2930.1150558997392</c:v>
                      </c:pt>
                      <c:pt idx="48">
                        <c:v>3037.85036879572</c:v>
                      </c:pt>
                      <c:pt idx="49">
                        <c:v>3143.9348621788276</c:v>
                      </c:pt>
                      <c:pt idx="50">
                        <c:v>3247.3554212480308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16.228366429374319</c:v>
                      </c:pt>
                      <c:pt idx="31">
                        <c:v>74.382222480329688</c:v>
                      </c:pt>
                      <c:pt idx="32">
                        <c:v>136.38488889973883</c:v>
                      </c:pt>
                      <c:pt idx="33">
                        <c:v>202.34920906776085</c:v>
                      </c:pt>
                      <c:pt idx="34">
                        <c:v>272.36450326308977</c:v>
                      </c:pt>
                      <c:pt idx="35">
                        <c:v>346.49092087571159</c:v>
                      </c:pt>
                      <c:pt idx="36">
                        <c:v>424.75325789898932</c:v>
                      </c:pt>
                      <c:pt idx="37">
                        <c:v>507.13429980223179</c:v>
                      </c:pt>
                      <c:pt idx="38">
                        <c:v>593.56778552899516</c:v>
                      </c:pt>
                      <c:pt idx="39">
                        <c:v>683.93112998162826</c:v>
                      </c:pt>
                      <c:pt idx="40">
                        <c:v>778.03808926685508</c:v>
                      </c:pt>
                      <c:pt idx="41">
                        <c:v>875.63160384598052</c:v>
                      </c:pt>
                      <c:pt idx="42">
                        <c:v>976.37710739808756</c:v>
                      </c:pt>
                      <c:pt idx="43">
                        <c:v>1079.8566405820116</c:v>
                      </c:pt>
                      <c:pt idx="44">
                        <c:v>1185.564154915915</c:v>
                      </c:pt>
                      <c:pt idx="45">
                        <c:v>1292.9024276983878</c:v>
                      </c:pt>
                      <c:pt idx="46">
                        <c:v>1401.1820285425374</c:v>
                      </c:pt>
                      <c:pt idx="47">
                        <c:v>1509.6227755537334</c:v>
                      </c:pt>
                      <c:pt idx="48">
                        <c:v>1617.3580884497142</c:v>
                      </c:pt>
                      <c:pt idx="49">
                        <c:v>1723.4425818328218</c:v>
                      </c:pt>
                      <c:pt idx="50">
                        <c:v>1826.863140902025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227.57409234500292</c:v>
                      </c:pt>
                      <c:pt idx="1">
                        <c:v>230.03208361443012</c:v>
                      </c:pt>
                      <c:pt idx="2">
                        <c:v>232.90569885656208</c:v>
                      </c:pt>
                      <c:pt idx="3">
                        <c:v>236.26342687107001</c:v>
                      </c:pt>
                      <c:pt idx="4">
                        <c:v>240.1843768753883</c:v>
                      </c:pt>
                      <c:pt idx="5">
                        <c:v>244.7596761024206</c:v>
                      </c:pt>
                      <c:pt idx="6">
                        <c:v>250.0939549331369</c:v>
                      </c:pt>
                      <c:pt idx="7">
                        <c:v>256.30688284787715</c:v>
                      </c:pt>
                      <c:pt idx="8">
                        <c:v>263.53469609248629</c:v>
                      </c:pt>
                      <c:pt idx="9">
                        <c:v>271.93162758811138</c:v>
                      </c:pt>
                      <c:pt idx="10">
                        <c:v>281.67110936592201</c:v>
                      </c:pt>
                      <c:pt idx="11">
                        <c:v>292.9465657598376</c:v>
                      </c:pt>
                      <c:pt idx="12">
                        <c:v>305.97155012849186</c:v>
                      </c:pt>
                      <c:pt idx="13">
                        <c:v>320.97889826494139</c:v>
                      </c:pt>
                      <c:pt idx="14">
                        <c:v>338.21847893948899</c:v>
                      </c:pt>
                      <c:pt idx="15">
                        <c:v>357.95302040897957</c:v>
                      </c:pt>
                      <c:pt idx="16">
                        <c:v>380.45139046567988</c:v>
                      </c:pt>
                      <c:pt idx="17">
                        <c:v>405.97862341404277</c:v>
                      </c:pt>
                      <c:pt idx="18">
                        <c:v>434.78194718552481</c:v>
                      </c:pt>
                      <c:pt idx="19">
                        <c:v>467.07210721850601</c:v>
                      </c:pt>
                      <c:pt idx="20">
                        <c:v>502.99946395531083</c:v>
                      </c:pt>
                      <c:pt idx="21">
                        <c:v>542.62472216216145</c:v>
                      </c:pt>
                      <c:pt idx="22">
                        <c:v>585.8847993481188</c:v>
                      </c:pt>
                      <c:pt idx="23">
                        <c:v>632.55530778656464</c:v>
                      </c:pt>
                      <c:pt idx="24">
                        <c:v>682.21241396662151</c:v>
                      </c:pt>
                      <c:pt idx="25">
                        <c:v>734.19836686410338</c:v>
                      </c:pt>
                      <c:pt idx="26">
                        <c:v>787.59653629237562</c:v>
                      </c:pt>
                      <c:pt idx="27">
                        <c:v>841.22299787593579</c:v>
                      </c:pt>
                      <c:pt idx="28">
                        <c:v>893.64201956267414</c:v>
                      </c:pt>
                      <c:pt idx="29">
                        <c:v>943.21167077044265</c:v>
                      </c:pt>
                      <c:pt idx="30">
                        <c:v>988.16274794299886</c:v>
                      </c:pt>
                      <c:pt idx="31">
                        <c:v>1026.7092394090246</c:v>
                      </c:pt>
                      <c:pt idx="32">
                        <c:v>1057.1822196681403</c:v>
                      </c:pt>
                      <c:pt idx="33">
                        <c:v>1078.1726643924349</c:v>
                      </c:pt>
                      <c:pt idx="34">
                        <c:v>1088.6640104299529</c:v>
                      </c:pt>
                      <c:pt idx="35">
                        <c:v>1088.1341107518451</c:v>
                      </c:pt>
                      <c:pt idx="36">
                        <c:v>1076.6095626095826</c:v>
                      </c:pt>
                      <c:pt idx="37">
                        <c:v>1054.6629087491017</c:v>
                      </c:pt>
                      <c:pt idx="38">
                        <c:v>1023.3532079820239</c:v>
                      </c:pt>
                      <c:pt idx="39">
                        <c:v>984.12033642889492</c:v>
                      </c:pt>
                      <c:pt idx="40">
                        <c:v>938.65055606446538</c:v>
                      </c:pt>
                      <c:pt idx="41">
                        <c:v>888.73377565147621</c:v>
                      </c:pt>
                      <c:pt idx="42">
                        <c:v>836.13136064173602</c:v>
                      </c:pt>
                      <c:pt idx="43">
                        <c:v>782.46843447115043</c:v>
                      </c:pt>
                      <c:pt idx="44">
                        <c:v>729.15814832637329</c:v>
                      </c:pt>
                      <c:pt idx="45">
                        <c:v>677.35914850316919</c:v>
                      </c:pt>
                      <c:pt idx="46">
                        <c:v>627.96267133710614</c:v>
                      </c:pt>
                      <c:pt idx="47">
                        <c:v>581.60285950504544</c:v>
                      </c:pt>
                      <c:pt idx="48">
                        <c:v>538.68292127004179</c:v>
                      </c:pt>
                      <c:pt idx="49">
                        <c:v>499.41018143702104</c:v>
                      </c:pt>
                      <c:pt idx="50">
                        <c:v>463.83432258527921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Boltzmann'!$AD$8:$AD$78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8.3741256731813962</c:v>
                      </c:pt>
                      <c:pt idx="19">
                        <c:v>40.664285706162559</c:v>
                      </c:pt>
                      <c:pt idx="20">
                        <c:v>76.591642442967355</c:v>
                      </c:pt>
                      <c:pt idx="21">
                        <c:v>116.21690064981803</c:v>
                      </c:pt>
                      <c:pt idx="22">
                        <c:v>159.47697783577539</c:v>
                      </c:pt>
                      <c:pt idx="23">
                        <c:v>206.14748627422122</c:v>
                      </c:pt>
                      <c:pt idx="24">
                        <c:v>255.80459245427804</c:v>
                      </c:pt>
                      <c:pt idx="25">
                        <c:v>307.79054535175999</c:v>
                      </c:pt>
                      <c:pt idx="26">
                        <c:v>361.18871478003223</c:v>
                      </c:pt>
                      <c:pt idx="27">
                        <c:v>414.8151763635924</c:v>
                      </c:pt>
                      <c:pt idx="28">
                        <c:v>467.23419805033075</c:v>
                      </c:pt>
                      <c:pt idx="29">
                        <c:v>516.80384925809926</c:v>
                      </c:pt>
                      <c:pt idx="30">
                        <c:v>561.75492643065547</c:v>
                      </c:pt>
                      <c:pt idx="31">
                        <c:v>600.30141789668119</c:v>
                      </c:pt>
                      <c:pt idx="32">
                        <c:v>630.77439815579692</c:v>
                      </c:pt>
                      <c:pt idx="33">
                        <c:v>651.76484288009135</c:v>
                      </c:pt>
                      <c:pt idx="34">
                        <c:v>662.25618891760951</c:v>
                      </c:pt>
                      <c:pt idx="35">
                        <c:v>661.72628923950174</c:v>
                      </c:pt>
                      <c:pt idx="36">
                        <c:v>650.20174109723905</c:v>
                      </c:pt>
                      <c:pt idx="37">
                        <c:v>628.2550872367583</c:v>
                      </c:pt>
                      <c:pt idx="38">
                        <c:v>596.94538646968056</c:v>
                      </c:pt>
                      <c:pt idx="39">
                        <c:v>557.71251491655153</c:v>
                      </c:pt>
                      <c:pt idx="40">
                        <c:v>512.24273455212199</c:v>
                      </c:pt>
                      <c:pt idx="41">
                        <c:v>462.32595413913282</c:v>
                      </c:pt>
                      <c:pt idx="42">
                        <c:v>409.72353912939263</c:v>
                      </c:pt>
                      <c:pt idx="43">
                        <c:v>356.06061295880704</c:v>
                      </c:pt>
                      <c:pt idx="44">
                        <c:v>302.7503268140299</c:v>
                      </c:pt>
                      <c:pt idx="45">
                        <c:v>250.95132699082572</c:v>
                      </c:pt>
                      <c:pt idx="46">
                        <c:v>201.55484982476267</c:v>
                      </c:pt>
                      <c:pt idx="47">
                        <c:v>155.19503799270203</c:v>
                      </c:pt>
                      <c:pt idx="48">
                        <c:v>112.27509975769831</c:v>
                      </c:pt>
                      <c:pt idx="49">
                        <c:v>73.00235992467762</c:v>
                      </c:pt>
                      <c:pt idx="50">
                        <c:v>37.426501072935736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Boltzmann'!$E$7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8"/>
          <c:order val="4"/>
          <c:tx>
            <c:strRef>
              <c:f>'New_confirmed - Boltzmann'!$M$7</c:f>
              <c:strCache>
                <c:ptCount val="1"/>
                <c:pt idx="0">
                  <c:v>New_positive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Boltzmann'!$M$8:$M$78</c:f>
              <c:numCache>
                <c:formatCode>0</c:formatCode>
                <c:ptCount val="71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F5B-4E09-90F1-E61A18B2A20F}"/>
            </c:ext>
          </c:extLst>
        </c:ser>
        <c:ser>
          <c:idx val="10"/>
          <c:order val="6"/>
          <c:tx>
            <c:strRef>
              <c:f>'New_confirmed - Boltzmann'!$P$7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Boltzmann'!$X$7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Boltzmann'!$C$8:$C$78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Boltzmann'!$X$8:$X$78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Boltzmann'!$AF$38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Boltzmann'!$AG$31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Boltzmann'!$AG$38</c:f>
              <c:numCache>
                <c:formatCode>0.0000</c:formatCode>
                <c:ptCount val="1"/>
                <c:pt idx="0">
                  <c:v>0.93591840294534534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Boltzmann'!$AF$40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Boltzmann'!$AG$31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Boltzmann'!$AG$40</c:f>
              <c:numCache>
                <c:formatCode>0</c:formatCode>
                <c:ptCount val="1"/>
                <c:pt idx="0">
                  <c:v>213.20391075617172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Boltzmann'!$AF$41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Boltzmann'!$AG$31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Boltzmann'!$AG$41</c:f>
              <c:numCache>
                <c:formatCode>0</c:formatCode>
                <c:ptCount val="1"/>
                <c:pt idx="0">
                  <c:v>1289.9279609945245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Boltzmann'!$AF$42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Boltzmann'!$AG$31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Boltzmann'!$AG$42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Boltzmann'!$AF$26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Boltzmann'!$AG$19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Boltzmann'!$AG$26</c:f>
              <c:numCache>
                <c:formatCode>0.0000</c:formatCode>
                <c:ptCount val="1"/>
                <c:pt idx="0">
                  <c:v>0.82254013517328883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Boltzmann'!$AF$28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Boltzmann'!$AG$19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Boltzmann'!$AG$28</c:f>
              <c:numCache>
                <c:formatCode>0</c:formatCode>
                <c:ptCount val="1"/>
                <c:pt idx="0">
                  <c:v>710.2461401730028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Boltzmann'!$AF$29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Boltzmann'!$AG$19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Boltzmann'!$AG$29</c:f>
              <c:numCache>
                <c:formatCode>0</c:formatCode>
                <c:ptCount val="1"/>
                <c:pt idx="0">
                  <c:v>4708.8857350263343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Boltzmann'!$AF$30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Boltzmann'!$AG$19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Boltzmann'!$AG$30</c:f>
              <c:numCache>
                <c:formatCode>[$-409]mmmm\ d\,\ yyyy;@</c:formatCode>
                <c:ptCount val="1"/>
                <c:pt idx="0">
                  <c:v>43946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Boltzmann'!$AF$14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Boltzmann'!$AG$7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Boltzmann'!$AG$14</c:f>
              <c:numCache>
                <c:formatCode>0.0000</c:formatCode>
                <c:ptCount val="1"/>
                <c:pt idx="0">
                  <c:v>0.91286328655918414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Boltzmann'!$AF$16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Boltzmann'!$AG$7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Boltzmann'!$AG$16</c:f>
              <c:numCache>
                <c:formatCode>0</c:formatCode>
                <c:ptCount val="1"/>
                <c:pt idx="0">
                  <c:v>1713.8852626001551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Boltzmann'!$AF$17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Boltzmann'!$AG$7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Boltzmann'!$AG$17</c:f>
              <c:numCache>
                <c:formatCode>0</c:formatCode>
                <c:ptCount val="1"/>
                <c:pt idx="0">
                  <c:v>8946.5728045353972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Boltzmann'!$AF$18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Boltzmann'!$AG$7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Boltzmann'!$AG$18</c:f>
              <c:numCache>
                <c:formatCode>[$-409]mmmm\ d\,\ yyyy;@</c:formatCode>
                <c:ptCount val="1"/>
                <c:pt idx="0">
                  <c:v>43917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02934" y="21945600"/>
          <a:ext cx="6938555" cy="6349638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B57A70EB-05F2-43B2-A20E-677507A1A2BC}"/>
            </a:ext>
          </a:extLst>
        </xdr:cNvPr>
        <xdr:cNvGrpSpPr/>
      </xdr:nvGrpSpPr>
      <xdr:grpSpPr>
        <a:xfrm>
          <a:off x="23520763" y="1436914"/>
          <a:ext cx="6797040" cy="6469380"/>
          <a:chOff x="29739475" y="1440873"/>
          <a:chExt cx="6935585" cy="6296198"/>
        </a:xfrm>
      </xdr:grpSpPr>
      <xdr:graphicFrame macro="">
        <xdr:nvGraphicFramePr>
          <xdr:cNvPr id="32" name="Grafico 31">
            <a:extLst>
              <a:ext uri="{FF2B5EF4-FFF2-40B4-BE49-F238E27FC236}">
                <a16:creationId xmlns:a16="http://schemas.microsoft.com/office/drawing/2014/main" id="{BBD4254D-3BE4-4697-819B-C838F05A34E9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B8">
        <xdr:nvSpPr>
          <xdr:cNvPr id="33" name="CasellaDiTesto 32">
            <a:extLst>
              <a:ext uri="{FF2B5EF4-FFF2-40B4-BE49-F238E27FC236}">
                <a16:creationId xmlns:a16="http://schemas.microsoft.com/office/drawing/2014/main" id="{CD5A74C9-CD9C-4528-B079-1488F676FCE7}"/>
              </a:ext>
            </a:extLst>
          </xdr:cNvPr>
          <xdr:cNvSpPr txBox="1"/>
        </xdr:nvSpPr>
        <xdr:spPr>
          <a:xfrm>
            <a:off x="33049029" y="7384473"/>
            <a:ext cx="587829" cy="240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5D5262-0BAC-46B5-80DC-680C0C6DA885}" type="TxLink">
              <a:rPr lang="en-US" sz="11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>
              <a:ln>
                <a:noFill/>
              </a:ln>
            </a:endParaRPr>
          </a:p>
        </xdr:txBody>
      </xdr:sp>
      <xdr:graphicFrame macro="">
        <xdr:nvGraphicFramePr>
          <xdr:cNvPr id="35" name="Grafico 34">
            <a:extLst>
              <a:ext uri="{FF2B5EF4-FFF2-40B4-BE49-F238E27FC236}">
                <a16:creationId xmlns:a16="http://schemas.microsoft.com/office/drawing/2014/main" id="{13BD03EE-302E-450A-8189-549E378AC614}"/>
              </a:ext>
            </a:extLst>
          </xdr:cNvPr>
          <xdr:cNvGraphicFramePr>
            <a:graphicFrameLocks/>
          </xdr:cNvGraphicFramePr>
        </xdr:nvGraphicFramePr>
        <xdr:xfrm>
          <a:off x="34762790" y="6052575"/>
          <a:ext cx="1628242" cy="10235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afico 35">
            <a:extLst>
              <a:ext uri="{FF2B5EF4-FFF2-40B4-BE49-F238E27FC236}">
                <a16:creationId xmlns:a16="http://schemas.microsoft.com/office/drawing/2014/main" id="{C69E4C5D-8BF8-41F5-A847-FCA9A16F63C8}"/>
              </a:ext>
            </a:extLst>
          </xdr:cNvPr>
          <xdr:cNvGraphicFramePr>
            <a:graphicFrameLocks/>
          </xdr:cNvGraphicFramePr>
        </xdr:nvGraphicFramePr>
        <xdr:xfrm>
          <a:off x="33367261" y="4476502"/>
          <a:ext cx="1615067" cy="10018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37" name="Grafico 36">
            <a:extLst>
              <a:ext uri="{FF2B5EF4-FFF2-40B4-BE49-F238E27FC236}">
                <a16:creationId xmlns:a16="http://schemas.microsoft.com/office/drawing/2014/main" id="{55A99F2A-C875-4AC3-84F4-7692E0485EC1}"/>
              </a:ext>
            </a:extLst>
          </xdr:cNvPr>
          <xdr:cNvGraphicFramePr>
            <a:graphicFrameLocks/>
          </xdr:cNvGraphicFramePr>
        </xdr:nvGraphicFramePr>
        <xdr:xfrm>
          <a:off x="30792631" y="3218494"/>
          <a:ext cx="1710742" cy="9535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1385454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789CD785-1463-4650-8A7C-05BAC72B0D06}"/>
                </a:ext>
              </a:extLst>
            </xdr:cNvPr>
            <xdr:cNvSpPr txBox="1"/>
          </xdr:nvSpPr>
          <xdr:spPr>
            <a:xfrm>
              <a:off x="5001491" y="471055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41</xdr:col>
      <xdr:colOff>526473</xdr:colOff>
      <xdr:row>13</xdr:row>
      <xdr:rowOff>83126</xdr:rowOff>
    </xdr:from>
    <xdr:ext cx="1385454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8928291" y="29925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9" name="CasellaDiTesto 38">
              <a:extLst>
                <a:ext uri="{FF2B5EF4-FFF2-40B4-BE49-F238E27FC236}">
                  <a16:creationId xmlns:a16="http://schemas.microsoft.com/office/drawing/2014/main" id="{E2CC21ED-1542-442F-B152-42F65CF9DC8F}"/>
                </a:ext>
              </a:extLst>
            </xdr:cNvPr>
            <xdr:cNvSpPr txBox="1"/>
          </xdr:nvSpPr>
          <xdr:spPr>
            <a:xfrm>
              <a:off x="28928291" y="2992581"/>
              <a:ext cx="1385454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7620</xdr:colOff>
      <xdr:row>6</xdr:row>
      <xdr:rowOff>0</xdr:rowOff>
    </xdr:from>
    <xdr:to>
      <xdr:col>45</xdr:col>
      <xdr:colOff>571500</xdr:colOff>
      <xdr:row>39</xdr:row>
      <xdr:rowOff>76200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31129877" y="1436914"/>
          <a:ext cx="8020594" cy="6531429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3433989" y="3587230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3319427" y="2284352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oneCellAnchor>
    <xdr:from>
      <xdr:col>7</xdr:col>
      <xdr:colOff>0</xdr:colOff>
      <xdr:row>2</xdr:row>
      <xdr:rowOff>0</xdr:rowOff>
    </xdr:from>
    <xdr:ext cx="1745672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33950" y="495300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376ABBCF-C63E-40D0-B5FA-C6A5AFAC0B09}"/>
                </a:ext>
              </a:extLst>
            </xdr:cNvPr>
            <xdr:cNvSpPr txBox="1"/>
          </xdr:nvSpPr>
          <xdr:spPr>
            <a:xfrm>
              <a:off x="4933950" y="495300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42</xdr:col>
      <xdr:colOff>599209</xdr:colOff>
      <xdr:row>8</xdr:row>
      <xdr:rowOff>173181</xdr:rowOff>
    </xdr:from>
    <xdr:ext cx="1745672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7346659" y="2192481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DEAA703C-9146-44F0-9653-ADFBBBC58BDA}"/>
                </a:ext>
              </a:extLst>
            </xdr:cNvPr>
            <xdr:cNvSpPr txBox="1"/>
          </xdr:nvSpPr>
          <xdr:spPr>
            <a:xfrm>
              <a:off x="37346659" y="2192481"/>
              <a:ext cx="1745672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𝐶𝑑𝑓=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𝐾/((1+𝑒^(− □(64&amp;(𝑡−𝑡_0)/𝑤)) ) 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42</xdr:col>
      <xdr:colOff>446808</xdr:colOff>
      <xdr:row>14</xdr:row>
      <xdr:rowOff>27709</xdr:rowOff>
    </xdr:from>
    <xdr:ext cx="1896341" cy="9559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7194258" y="3209059"/>
              <a:ext cx="1896341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𝐶𝑑𝑓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∙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𝐶𝑑𝑓</m:t>
                        </m:r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/</m:t>
                        </m:r>
                        <m:r>
                          <a:rPr lang="it-IT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𝐾</m:t>
                        </m:r>
                      </m:e>
                    </m:d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72454323-1D92-4061-BC38-89397C1D5E24}"/>
                </a:ext>
              </a:extLst>
            </xdr:cNvPr>
            <xdr:cNvSpPr txBox="1"/>
          </xdr:nvSpPr>
          <xdr:spPr>
            <a:xfrm>
              <a:off x="37194258" y="3209059"/>
              <a:ext cx="1896341" cy="95596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indent="0"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𝑤^(−1) 𝐶𝑑𝑓∙(1−𝐶𝑑𝑓/𝐾)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Boltzmann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52" tableType="queryTable" totalsRowShown="0">
  <autoFilter ref="A1:O52" xr:uid="{EAFD7DE5-C4A1-4C49-95BD-BF222027DF39}"/>
  <tableColumns count="15">
    <tableColumn id="1" xr3:uid="{643499DD-A92D-42E1-8C92-5126B9AB48FF}" uniqueName="1" name="data" queryTableFieldId="1" dataDxfId="3"/>
    <tableColumn id="2" xr3:uid="{FFFA4220-F53F-4BDD-BE4D-57574B5FC724}" uniqueName="2" name="stato" queryTableFieldId="2" dataDxfId="2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1"/>
    <tableColumn id="15" xr3:uid="{76DCAC03-6858-4071-83F0-4242CF5951AF}" uniqueName="15" name="note_en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65">
  <autoFilter ref="B7:AD78" xr:uid="{B8C71372-AF1E-49D4-8457-F67D9BE771EB}"/>
  <tableColumns count="29">
    <tableColumn id="1" xr3:uid="{F109A47B-C010-45B9-B2B7-92F08B4181E1}" name="Date" dataDxfId="64"/>
    <tableColumn id="2" xr3:uid="{E6397626-D4E9-41D2-8D66-D6F816FA7AF9}" name="Day" dataDxfId="63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62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15">
      <calculatedColumnFormula>K/(1+EXP(-(Tabella211[[#This Row],[Day]]-t0)/w))</calculatedColumnFormula>
    </tableColumn>
    <tableColumn id="6" xr3:uid="{59DF212F-AD93-4F67-9314-22ED4BD2C67F}" name="New_cases_fit" dataDxfId="14">
      <calculatedColumnFormula>Tabella211[[#This Row],[Cum_fit]]*(1-Tabella211[[#This Row],[Cum_fit]]/K)/w</calculatedColumnFormula>
    </tableColumn>
    <tableColumn id="24" xr3:uid="{631432D1-6CBF-44AE-AA24-22DC16561674}" name="Colonna2" dataDxfId="61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60"/>
    <tableColumn id="10" xr3:uid="{26C08828-5C73-4184-BE03-FCB7AE457636}" name="New_positive" dataDxfId="59"/>
    <tableColumn id="29" xr3:uid="{B8AFAB82-B960-4EE1-B026-1E99DA3B9FA5}" name="New_positive_fit" dataDxfId="58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57"/>
    <tableColumn id="25" xr3:uid="{B5764F16-3F23-4441-85C0-396F3C7F466C}" name="Colonna3" dataDxfId="56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13">
      <calculatedColumnFormula>Kr/(1+EXP(-(Tabella211[[#This Row],[Day]]-t0r)/wr))</calculatedColumnFormula>
    </tableColumn>
    <tableColumn id="14" xr3:uid="{242586ED-2947-45C8-9CE5-E7AB9A72B118}" name="New_Recovered_fit" dataDxfId="12">
      <calculatedColumnFormula>Tabella211[[#This Row],[Cum_R_fit]]*(1-Tabella211[[#This Row],[Cum_R_fit]]/Kr)/wr</calculatedColumnFormula>
    </tableColumn>
    <tableColumn id="26" xr3:uid="{C0BDC4F9-7346-4F1A-B352-EC468DCD9624}" name="Colonna4" dataDxfId="55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54"/>
    <tableColumn id="27" xr3:uid="{962B7882-CED2-46E8-894C-11D4E492CF90}" name="Colonna5" dataDxfId="53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11">
      <calculatedColumnFormula>Kh/(1+EXP(-(Tabella211[[#This Row],[Day]]-t0h)/wh))</calculatedColumnFormula>
    </tableColumn>
    <tableColumn id="20" xr3:uid="{39D1356E-7799-4ABA-8D46-4BA48A94A90A}" name="New_Deaths_fit" dataDxfId="10">
      <calculatedColumnFormula>Tabella211[[#This Row],[Cum_D_fit]]*(1-Tabella211[[#This Row],[Cum_D_fit]]/Kh)/wh</calculatedColumnFormula>
    </tableColumn>
    <tableColumn id="28" xr3:uid="{84B03305-1467-48F7-81BE-927A7C3D8C98}" name="Colonna6" dataDxfId="52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51" dataDxfId="50">
  <autoFilter ref="AF7:AG18" xr:uid="{407C54E5-E440-4537-8E2D-1DD13C000E48}"/>
  <tableColumns count="2">
    <tableColumn id="1" xr3:uid="{52B0120A-043A-4EF7-B804-054502154853}" name="Confirmed" dataDxfId="49"/>
    <tableColumn id="2" xr3:uid="{BBD62E85-33F5-4BF1-A3AE-7B88D2DD93AA}" name="Confirmed fit" dataDxfId="4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47">
  <autoFilter ref="AF19:AG30" xr:uid="{CB9D1A18-DA45-4DE8-9D1A-421A0BAF60FC}"/>
  <tableColumns count="2">
    <tableColumn id="1" xr3:uid="{775DA299-347C-4244-9FD8-E27BF59FECEC}" name="Recovered" dataDxfId="46"/>
    <tableColumn id="2" xr3:uid="{2C633A4A-885C-4119-9E86-E6A0CC694C9C}" name="Recovered fit" dataDxfId="4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44" dataDxfId="43">
  <autoFilter ref="AF31:AG42" xr:uid="{4866098F-838C-4EFF-B7EC-009C5776DD93}"/>
  <tableColumns count="2">
    <tableColumn id="1" xr3:uid="{80725BB4-06C2-4468-BF34-2E7CFE4745BB}" name="Deaths" dataDxfId="42"/>
    <tableColumn id="2" xr3:uid="{36C77133-0452-4171-BD17-066E8059C73B}" name="Deaths fit" dataDxfId="4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40">
  <autoFilter ref="B7:AD78" xr:uid="{18B9BA29-5254-4957-B1CE-C36E82E90972}"/>
  <tableColumns count="29">
    <tableColumn id="1" xr3:uid="{320CFB16-AFF6-4BFA-BDC8-DA7062BA9B2B}" name="Date" dataDxfId="39"/>
    <tableColumn id="2" xr3:uid="{A9C7A420-022C-4606-A5DD-BCEEC11E3690}" name="Day" dataDxfId="38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37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9">
      <calculatedColumnFormula>Kn/(1+EXP(-(Tabella2[[#This Row],[Day]]-t0n)/wn))</calculatedColumnFormula>
    </tableColumn>
    <tableColumn id="6" xr3:uid="{81317C98-2D23-428D-B512-65EE9F90D2C5}" name="New_cases_fit" dataDxfId="8">
      <calculatedColumnFormula>Tabella2[[#This Row],[Cum_fit]]*(1-Tabella2[[#This Row],[Cum_fit]]/Kn)/wn</calculatedColumnFormula>
    </tableColumn>
    <tableColumn id="24" xr3:uid="{E19855DE-078A-43E1-B0FD-DC571168496B}" name="Colonna2" dataDxfId="36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35"/>
    <tableColumn id="10" xr3:uid="{AF8778A9-44F4-4E92-AF1C-71D0E6DD9311}" name="New_positive" dataDxfId="34"/>
    <tableColumn id="29" xr3:uid="{E9F0C073-162C-4409-91D6-E25F8BA6E7D8}" name="New_positive_fit" dataDxfId="33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32"/>
    <tableColumn id="25" xr3:uid="{94ABBBBE-8B3C-4B6A-ABCE-1319FE6754D6}" name="Colonna3" dataDxfId="31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7">
      <calculatedColumnFormula>Kd/(1+EXP(-(Tabella2[[#This Row],[Day]]-t0d)/wd))</calculatedColumnFormula>
    </tableColumn>
    <tableColumn id="14" xr3:uid="{B1E5A58D-5A14-46E7-9BCC-394A8142E86B}" name="New_Recovered_fit" dataDxfId="6">
      <calculatedColumnFormula>Tabella2[[#This Row],[Cum_R_fit]]*(1-Tabella2[[#This Row],[Cum_R_fit]]/Kd)/wd</calculatedColumnFormula>
    </tableColumn>
    <tableColumn id="26" xr3:uid="{5A014E51-4816-44C8-A2D1-AFE9233ECB28}" name="Colonna4" dataDxfId="30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29"/>
    <tableColumn id="27" xr3:uid="{5FAA9F04-20D5-4AF2-A858-A7CC7E685C22}" name="Colonna5" dataDxfId="28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5">
      <calculatedColumnFormula>Kt/(1+EXP(-(Tabella2[[#This Row],[Day]]-t0t)/wt))</calculatedColumnFormula>
    </tableColumn>
    <tableColumn id="20" xr3:uid="{909CD4CA-9439-448B-ADE6-23709E8F3117}" name="New_Deaths_fit" dataDxfId="4">
      <calculatedColumnFormula>Tabella2[[#This Row],[Cum_D_fit]]*(1-Tabella2[[#This Row],[Cum_D_fit]]/Kt)/wt</calculatedColumnFormula>
    </tableColumn>
    <tableColumn id="28" xr3:uid="{4ACECA7F-F765-4B32-9A87-B72CF4C593B7}" name="Colonna6" dataDxfId="27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26" dataDxfId="25">
  <autoFilter ref="AF7:AG18" xr:uid="{1C0A8599-2DC9-45B2-A640-9B64AE029280}"/>
  <tableColumns count="2">
    <tableColumn id="1" xr3:uid="{C78B678A-DF99-4D71-9DCA-538EBE002474}" name="Confirmed" dataDxfId="24"/>
    <tableColumn id="2" xr3:uid="{FD00BEDE-26C5-4882-A08D-7A3A81D737EC}" name="New cases fit" dataDxfId="23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22">
  <autoFilter ref="AF19:AG30" xr:uid="{EEF2A1A0-4A08-497E-A79F-5A35691071BA}"/>
  <tableColumns count="2">
    <tableColumn id="1" xr3:uid="{604E3049-AE60-4912-86E2-C58A4706242A}" name="Recovered" dataDxfId="21"/>
    <tableColumn id="2" xr3:uid="{109EDCEC-3FF1-4CB5-A224-FFEEA35FA41C}" name="New recovered fit" dataDxfId="20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19" dataDxfId="18">
  <autoFilter ref="AF31:AG42" xr:uid="{61401F20-3088-4299-A30C-162117992087}"/>
  <tableColumns count="2">
    <tableColumn id="1" xr3:uid="{E0943324-D586-453F-96DB-1069E398D242}" name="Deaths" dataDxfId="17"/>
    <tableColumn id="2" xr3:uid="{66FF7AC8-7F99-4215-A97C-F9D3F4B5C74C}" name="New deaths fit" dataDxfId="1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3" dT="2020-04-13T00:14:38.76" personId="{46504131-ADD3-4530-BCC7-16E4FED1C2C4}" id="{0E3BBDD2-49F3-4791-8649-958B5A2F428B}">
    <text>Saturation value or carrying capalcity</text>
  </threadedComment>
  <threadedComment ref="AH4" dT="2020-04-13T18:47:27.10" personId="{46504131-ADD3-4530-BCC7-16E4FED1C2C4}" id="{9A58F8C8-EC4D-4204-BDBD-1ED773C791C2}">
    <text>exponential decay time</text>
  </threadedComment>
  <threadedComment ref="AH5" dT="2020-04-13T18:47:54.02" personId="{46504131-ADD3-4530-BCC7-16E4FED1C2C4}" id="{CC489CA4-0428-4260-9C71-F50F294E0276}">
    <text>fractal exponent</text>
  </threadedComment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3" dT="2020-04-13T00:14:38.76" personId="{46504131-ADD3-4530-BCC7-16E4FED1C2C4}" id="{56C95333-8DE0-4A27-B487-EECE41AE20FB}">
    <text>Saturation value or carrying capalcity</text>
  </threadedComment>
  <threadedComment ref="AH4" dT="2020-04-13T18:47:27.10" personId="{46504131-ADD3-4530-BCC7-16E4FED1C2C4}" id="{013D75A6-D219-4696-8A74-E71BD1DE8067}">
    <text>exponential decay time</text>
  </threadedComment>
  <threadedComment ref="AH5" dT="2020-04-13T18:47:54.02" personId="{46504131-ADD3-4530-BCC7-16E4FED1C2C4}" id="{74D534AB-025B-453A-B72C-53CD493EE2CD}">
    <text>fractal exponent</text>
  </threadedComment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2"/>
  <sheetViews>
    <sheetView topLeftCell="B25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103</v>
      </c>
      <c r="O48" s="17" t="s">
        <v>104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  <row r="50" spans="1:15" x14ac:dyDescent="0.3">
      <c r="A50" s="18">
        <v>43933.708333333336</v>
      </c>
      <c r="B50" s="17" t="s">
        <v>22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L50" s="2">
        <v>156363</v>
      </c>
      <c r="M50" s="2">
        <v>1010193</v>
      </c>
      <c r="N50" s="17" t="s">
        <v>105</v>
      </c>
      <c r="O50" s="17" t="s">
        <v>106</v>
      </c>
    </row>
    <row r="51" spans="1:15" x14ac:dyDescent="0.3">
      <c r="A51" s="18">
        <v>43934.708333333336</v>
      </c>
      <c r="B51" s="17" t="s">
        <v>22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L51" s="2">
        <v>159516</v>
      </c>
      <c r="M51" s="2">
        <v>1046910</v>
      </c>
      <c r="N51" s="17" t="s">
        <v>29</v>
      </c>
      <c r="O51" s="17" t="s">
        <v>29</v>
      </c>
    </row>
    <row r="52" spans="1:15" x14ac:dyDescent="0.3">
      <c r="A52" s="18">
        <v>43935.708333333336</v>
      </c>
      <c r="B52" s="17" t="s">
        <v>22</v>
      </c>
      <c r="C52" s="2">
        <v>28011</v>
      </c>
      <c r="D52" s="2">
        <v>3186</v>
      </c>
      <c r="E52" s="2">
        <v>31197</v>
      </c>
      <c r="F52" s="2">
        <v>73094</v>
      </c>
      <c r="G52" s="2">
        <v>104291</v>
      </c>
      <c r="H52" s="2">
        <v>675</v>
      </c>
      <c r="I52" s="2">
        <v>2972</v>
      </c>
      <c r="J52" s="2">
        <v>37130</v>
      </c>
      <c r="K52" s="2">
        <v>21067</v>
      </c>
      <c r="L52" s="2">
        <v>162488</v>
      </c>
      <c r="M52" s="2">
        <v>1073689</v>
      </c>
      <c r="N52" s="17" t="s">
        <v>29</v>
      </c>
      <c r="O52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45" width="8.88671875" style="2"/>
    <col min="46" max="46" width="10.5546875" style="2" customWidth="1"/>
    <col min="47" max="16384" width="8.88671875" style="2"/>
  </cols>
  <sheetData>
    <row r="2" spans="2:46" ht="23.4" x14ac:dyDescent="0.45">
      <c r="B2" s="122" t="s">
        <v>11</v>
      </c>
      <c r="C2" s="122"/>
      <c r="D2" s="122"/>
      <c r="E2" s="122"/>
      <c r="F2" s="122"/>
      <c r="G2" s="122"/>
      <c r="H2" s="122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2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87" t="s">
        <v>0</v>
      </c>
      <c r="AI3" s="126" t="s">
        <v>71</v>
      </c>
      <c r="AJ3" s="126"/>
      <c r="AK3" s="126"/>
      <c r="AL3" s="126"/>
      <c r="AM3" s="126"/>
    </row>
    <row r="4" spans="2:46" ht="20.399999999999999" thickBot="1" x14ac:dyDescent="0.45">
      <c r="B4" s="124" t="s">
        <v>113</v>
      </c>
      <c r="C4" s="124"/>
      <c r="D4" s="124"/>
      <c r="E4" s="124"/>
      <c r="F4" s="124"/>
      <c r="G4" s="124"/>
      <c r="H4" s="12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86" t="s">
        <v>93</v>
      </c>
      <c r="AI4" s="126" t="s">
        <v>71</v>
      </c>
      <c r="AJ4" s="126"/>
      <c r="AK4" s="126"/>
      <c r="AL4" s="126"/>
      <c r="AM4" s="126"/>
    </row>
    <row r="5" spans="2:46" ht="18.600000000000001" thickTop="1" thickBot="1" x14ac:dyDescent="0.4">
      <c r="B5" s="125" t="s">
        <v>107</v>
      </c>
      <c r="C5" s="125"/>
      <c r="D5" s="125"/>
      <c r="E5" s="125"/>
      <c r="F5" s="125"/>
      <c r="G5" s="125"/>
      <c r="H5" s="12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86" t="s">
        <v>1</v>
      </c>
      <c r="AI5" s="126" t="s">
        <v>71</v>
      </c>
      <c r="AJ5" s="126"/>
      <c r="AK5" s="126"/>
      <c r="AL5" s="126"/>
      <c r="AM5" s="126"/>
    </row>
    <row r="6" spans="2:46" ht="19.2" thickTop="1" thickBot="1" x14ac:dyDescent="0.4">
      <c r="B6" s="27"/>
      <c r="C6" s="13"/>
      <c r="D6" s="13"/>
      <c r="E6" s="13"/>
      <c r="F6" s="13"/>
      <c r="G6" s="13"/>
      <c r="H6" s="12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99</v>
      </c>
      <c r="V7" s="8" t="s">
        <v>100</v>
      </c>
      <c r="W7" s="4" t="s">
        <v>62</v>
      </c>
      <c r="X7" s="53" t="s">
        <v>63</v>
      </c>
      <c r="Y7" s="81" t="s">
        <v>84</v>
      </c>
      <c r="Z7" s="8" t="s">
        <v>64</v>
      </c>
      <c r="AA7" s="8" t="s">
        <v>91</v>
      </c>
      <c r="AB7" s="81" t="s">
        <v>85</v>
      </c>
      <c r="AC7" s="8" t="s">
        <v>101</v>
      </c>
      <c r="AD7" s="8" t="s">
        <v>102</v>
      </c>
      <c r="AE7" s="8"/>
      <c r="AF7" s="65" t="s">
        <v>46</v>
      </c>
      <c r="AG7" s="66" t="s">
        <v>54</v>
      </c>
      <c r="AH7" s="3"/>
      <c r="AT7" s="82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K/(1+EXP(-(Tabella211[[#This Row],[Day]]-t0)/w))</f>
        <v>1602.6381370762444</v>
      </c>
      <c r="H8" s="10">
        <f>Tabella211[[#This Row],[Cum_fit]]*(1-Tabella211[[#This Row],[Cum_fit]]/K)/w</f>
        <v>230.74039447986172</v>
      </c>
      <c r="I8" s="56">
        <f>Tabella211[[#This Row],[Cum_fit]]*NOT(ISBLANK(Tabella211[[#This Row],[Cum_confirmed]]))</f>
        <v>1602.6381370762444</v>
      </c>
      <c r="J8" s="10">
        <f>Tabella211[[#This Row],[Cum_fit]]+CI</f>
        <v>7161.3427538717069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158.36016036351296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Kr/(1+EXP(-(Tabella211[[#This Row],[Day]]-t0r)/wr))</f>
        <v>661.45045125979971</v>
      </c>
      <c r="S8" s="10">
        <f>Tabella211[[#This Row],[Cum_R_fit]]*(1-Tabella211[[#This Row],[Cum_R_fit]]/Kr)/wr</f>
        <v>58.010052527517558</v>
      </c>
      <c r="T8" s="60">
        <f>Tabella211[[#This Row],[Cum_R_fit]]*NOT(ISBLANK(Tabella211[[#This Row],[Cum_recov]]))</f>
        <v>661.45045125979971</v>
      </c>
      <c r="U8" s="10">
        <f>Tabella211[[#This Row],[Cum_R_fit]]+CIr</f>
        <v>3011.5364702683573</v>
      </c>
      <c r="V8" s="10">
        <f>MAX(Tabella211[[#This Row],[Cum_R_fit]]-CIr,0)</f>
        <v>0</v>
      </c>
      <c r="W8" s="10">
        <f>'dpc-covid19-ita-andamento-naz'!K2</f>
        <v>7</v>
      </c>
      <c r="X8" s="63"/>
      <c r="Y8" s="64">
        <f>Tabella211[[#This Row],[Cum_deaths]]*NOT(ISBLANK(Tabella211[[#This Row],[Cum_deaths]]))</f>
        <v>7</v>
      </c>
      <c r="Z8" s="50">
        <f>Kh/(1+EXP(-(Tabella211[[#This Row],[Day]]-t0h)/wh))</f>
        <v>90.569627877038954</v>
      </c>
      <c r="AA8" s="10">
        <f>Tabella211[[#This Row],[Cum_D_fit]]*(1-Tabella211[[#This Row],[Cum_D_fit]]/Kh)/wh</f>
        <v>14.370181588831207</v>
      </c>
      <c r="AB8" s="64">
        <f>Tabella211[[#This Row],[Cum_D_fit]]*NOT(ISBLANK(Tabella211[[#This Row],[Cum_deaths]]))</f>
        <v>90.569627877038954</v>
      </c>
      <c r="AC8" s="10">
        <f>Tabella211[[#This Row],[Cum_D_fit]]+CIh</f>
        <v>640.34677261860975</v>
      </c>
      <c r="AD8" s="10">
        <f>MAX(Tabella211[[#This Row],[Cum_D_fit]]-CIh,0)</f>
        <v>0</v>
      </c>
      <c r="AE8" s="8"/>
      <c r="AF8" s="97" t="s">
        <v>0</v>
      </c>
      <c r="AG8" s="98">
        <v>167294.84086578502</v>
      </c>
      <c r="AH8" s="3"/>
      <c r="AT8" s="103">
        <f>MAX($AG$14)</f>
        <v>0.99843926848895714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K/(1+EXP(-(Tabella211[[#This Row],[Day]]-t0)/w))</f>
        <v>1850.6210350450003</v>
      </c>
      <c r="H9" s="10">
        <f>Tabella211[[#This Row],[Cum_fit]]*(1-Tabella211[[#This Row],[Cum_fit]]/K)/w</f>
        <v>266.04504761015374</v>
      </c>
      <c r="I9" s="56">
        <f>Tabella211[[#This Row],[Cum_fit]]*NOT(ISBLANK(Tabella211[[#This Row],[Cum_confirmed]]))</f>
        <v>1850.6210350450003</v>
      </c>
      <c r="J9" s="10">
        <f>Tabella211[[#This Row],[Cum_fit]]+CI</f>
        <v>7409.3256518404623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185.91719522734954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Kr/(1+EXP(-(Tabella211[[#This Row],[Day]]-t0r)/wr))</f>
        <v>722.06722733501272</v>
      </c>
      <c r="S9" s="10">
        <f>Tabella211[[#This Row],[Cum_R_fit]]*(1-Tabella211[[#This Row],[Cum_R_fit]]/Kr)/wr</f>
        <v>63.299679524545795</v>
      </c>
      <c r="T9" s="60">
        <f>Tabella211[[#This Row],[Cum_R_fit]]*NOT(ISBLANK(Tabella211[[#This Row],[Cum_recov]]))</f>
        <v>722.06722733501272</v>
      </c>
      <c r="U9" s="10">
        <f>Tabella211[[#This Row],[Cum_R_fit]]+CIr</f>
        <v>3072.1532463435706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4">
        <f>Tabella211[[#This Row],[Cum_deaths]]*NOT(ISBLANK(Tabella211[[#This Row],[Cum_deaths]]))</f>
        <v>10</v>
      </c>
      <c r="Z9" s="50">
        <f>Kh/(1+EXP(-(Tabella211[[#This Row],[Day]]-t0h)/wh))</f>
        <v>106.13676790536346</v>
      </c>
      <c r="AA9" s="10">
        <f>Tabella211[[#This Row],[Cum_D_fit]]*(1-Tabella211[[#This Row],[Cum_D_fit]]/Kh)/wh</f>
        <v>16.828172858258387</v>
      </c>
      <c r="AB9" s="64">
        <f>Tabella211[[#This Row],[Cum_D_fit]]*NOT(ISBLANK(Tabella211[[#This Row],[Cum_deaths]]))</f>
        <v>106.13676790536346</v>
      </c>
      <c r="AC9" s="10">
        <f>Tabella211[[#This Row],[Cum_D_fit]]+CIh</f>
        <v>655.91391264693425</v>
      </c>
      <c r="AD9" s="10">
        <f>MAX(Tabella211[[#This Row],[Cum_D_fit]]-CIh,0)</f>
        <v>0</v>
      </c>
      <c r="AE9" s="8"/>
      <c r="AF9" s="97" t="s">
        <v>108</v>
      </c>
      <c r="AG9" s="99">
        <v>31.908554116103105</v>
      </c>
      <c r="AH9" s="3"/>
      <c r="AT9" s="104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K/(1+EXP(-(Tabella211[[#This Row],[Day]]-t0)/w))</f>
        <v>2136.4805916629098</v>
      </c>
      <c r="H10" s="10">
        <f>Tabella211[[#This Row],[Cum_fit]]*(1-Tabella211[[#This Row],[Cum_fit]]/K)/w</f>
        <v>306.60949542294389</v>
      </c>
      <c r="I10" s="56">
        <f>Tabella211[[#This Row],[Cum_fit]]*NOT(ISBLANK(Tabella211[[#This Row],[Cum_confirmed]]))</f>
        <v>2136.4805916629098</v>
      </c>
      <c r="J10" s="10">
        <f>Tabella211[[#This Row],[Cum_fit]]+CI</f>
        <v>7695.1852084583716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217.8413737422355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Kr/(1+EXP(-(Tabella211[[#This Row],[Day]]-t0r)/wr))</f>
        <v>788.20878310923729</v>
      </c>
      <c r="S10" s="10">
        <f>Tabella211[[#This Row],[Cum_R_fit]]*(1-Tabella211[[#This Row],[Cum_R_fit]]/Kr)/wr</f>
        <v>69.066333580318044</v>
      </c>
      <c r="T10" s="60">
        <f>Tabella211[[#This Row],[Cum_R_fit]]*NOT(ISBLANK(Tabella211[[#This Row],[Cum_recov]]))</f>
        <v>788.20878310923729</v>
      </c>
      <c r="U10" s="10">
        <f>Tabella211[[#This Row],[Cum_R_fit]]+CIr</f>
        <v>3138.2948021177949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4">
        <f>Tabella211[[#This Row],[Cum_deaths]]*NOT(ISBLANK(Tabella211[[#This Row],[Cum_deaths]]))</f>
        <v>12</v>
      </c>
      <c r="Z10" s="50">
        <f>Kh/(1+EXP(-(Tabella211[[#This Row],[Day]]-t0h)/wh))</f>
        <v>124.36441139740836</v>
      </c>
      <c r="AA10" s="10">
        <f>Tabella211[[#This Row],[Cum_D_fit]]*(1-Tabella211[[#This Row],[Cum_D_fit]]/Kh)/wh</f>
        <v>19.701788100390363</v>
      </c>
      <c r="AB10" s="64">
        <f>Tabella211[[#This Row],[Cum_D_fit]]*NOT(ISBLANK(Tabella211[[#This Row],[Cum_deaths]]))</f>
        <v>124.36441139740836</v>
      </c>
      <c r="AC10" s="10">
        <f>Tabella211[[#This Row],[Cum_D_fit]]+CIh</f>
        <v>674.14155613897924</v>
      </c>
      <c r="AD10" s="10">
        <f>MAX(Tabella211[[#This Row],[Cum_D_fit]]-CIh,0)</f>
        <v>0</v>
      </c>
      <c r="AE10" s="8"/>
      <c r="AF10" s="97" t="s">
        <v>1</v>
      </c>
      <c r="AG10" s="99">
        <v>6.8790959301612045</v>
      </c>
      <c r="AH10" s="3"/>
      <c r="AT10" s="104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K/(1+EXP(-(Tabella211[[#This Row],[Day]]-t0)/w))</f>
        <v>2465.8378529687525</v>
      </c>
      <c r="H11" s="10">
        <f>Tabella211[[#This Row],[Cum_fit]]*(1-Tabella211[[#This Row],[Cum_fit]]/K)/w</f>
        <v>353.17034770980371</v>
      </c>
      <c r="I11" s="56">
        <f>Tabella211[[#This Row],[Cum_fit]]*NOT(ISBLANK(Tabella211[[#This Row],[Cum_confirmed]]))</f>
        <v>2465.8378529687525</v>
      </c>
      <c r="J11" s="10">
        <f>Tabella211[[#This Row],[Cum_fit]]+CI</f>
        <v>8024.5424697642147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254.75881295076047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Kr/(1+EXP(-(Tabella211[[#This Row],[Day]]-t0r)/wr))</f>
        <v>860.37286591271572</v>
      </c>
      <c r="S11" s="10">
        <f>Tabella211[[#This Row],[Cum_R_fit]]*(1-Tabella211[[#This Row],[Cum_R_fit]]/Kr)/wr</f>
        <v>75.352018644144962</v>
      </c>
      <c r="T11" s="60">
        <f>Tabella211[[#This Row],[Cum_R_fit]]*NOT(ISBLANK(Tabella211[[#This Row],[Cum_recov]]))</f>
        <v>860.37286591271572</v>
      </c>
      <c r="U11" s="10">
        <f>Tabella211[[#This Row],[Cum_R_fit]]+CIr</f>
        <v>3210.4588849212732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4">
        <f>Tabella211[[#This Row],[Cum_deaths]]*NOT(ISBLANK(Tabella211[[#This Row],[Cum_deaths]]))</f>
        <v>17</v>
      </c>
      <c r="Z11" s="50">
        <f>Kh/(1+EXP(-(Tabella211[[#This Row],[Day]]-t0h)/wh))</f>
        <v>145.70159717090874</v>
      </c>
      <c r="AA11" s="10">
        <f>Tabella211[[#This Row],[Cum_D_fit]]*(1-Tabella211[[#This Row],[Cum_D_fit]]/Kh)/wh</f>
        <v>23.059516114898276</v>
      </c>
      <c r="AB11" s="64">
        <f>Tabella211[[#This Row],[Cum_D_fit]]*NOT(ISBLANK(Tabella211[[#This Row],[Cum_deaths]]))</f>
        <v>145.70159717090874</v>
      </c>
      <c r="AC11" s="10">
        <f>Tabella211[[#This Row],[Cum_D_fit]]+CIh</f>
        <v>695.47874191247956</v>
      </c>
      <c r="AD11" s="10">
        <f>MAX(Tabella211[[#This Row],[Cum_D_fit]]-CIh,0)</f>
        <v>0</v>
      </c>
      <c r="AE11" s="8"/>
      <c r="AF11" s="67" t="s">
        <v>2</v>
      </c>
      <c r="AG11" s="100">
        <f>AVERAGE(Tabella211[Cum_confirmed])</f>
        <v>61607.01960784314</v>
      </c>
      <c r="AH11" s="3"/>
      <c r="AT11" s="104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K/(1+EXP(-(Tabella211[[#This Row],[Day]]-t0)/w))</f>
        <v>2845.0937864369407</v>
      </c>
      <c r="H12" s="10">
        <f>Tabella211[[#This Row],[Cum_fit]]*(1-Tabella211[[#This Row],[Cum_fit]]/K)/w</f>
        <v>406.55179519372734</v>
      </c>
      <c r="I12" s="56">
        <f>Tabella211[[#This Row],[Cum_fit]]*NOT(ISBLANK(Tabella211[[#This Row],[Cum_confirmed]]))</f>
        <v>2845.0937864369407</v>
      </c>
      <c r="J12" s="10">
        <f>Tabella211[[#This Row],[Cum_fit]]+CI</f>
        <v>8403.7984032324021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297.36908629124167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Kr/(1+EXP(-(Tabella211[[#This Row],[Day]]-t0r)/wr))</f>
        <v>939.10095833892888</v>
      </c>
      <c r="S12" s="10">
        <f>Tabella211[[#This Row],[Cum_R_fit]]*(1-Tabella211[[#This Row],[Cum_R_fit]]/Kr)/wr</f>
        <v>82.202242783269114</v>
      </c>
      <c r="T12" s="60">
        <f>Tabella211[[#This Row],[Cum_R_fit]]*NOT(ISBLANK(Tabella211[[#This Row],[Cum_recov]]))</f>
        <v>939.10095833892888</v>
      </c>
      <c r="U12" s="10">
        <f>Tabella211[[#This Row],[Cum_R_fit]]+CIr</f>
        <v>3289.1869773474864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4">
        <f>Tabella211[[#This Row],[Cum_deaths]]*NOT(ISBLANK(Tabella211[[#This Row],[Cum_deaths]]))</f>
        <v>21</v>
      </c>
      <c r="Z12" s="50">
        <f>Kh/(1+EXP(-(Tabella211[[#This Row],[Day]]-t0h)/wh))</f>
        <v>170.67105087597523</v>
      </c>
      <c r="AA12" s="10">
        <f>Tabella211[[#This Row],[Cum_D_fit]]*(1-Tabella211[[#This Row],[Cum_D_fit]]/Kh)/wh</f>
        <v>26.980466119216569</v>
      </c>
      <c r="AB12" s="64">
        <f>Tabella211[[#This Row],[Cum_D_fit]]*NOT(ISBLANK(Tabella211[[#This Row],[Cum_deaths]]))</f>
        <v>170.67105087597523</v>
      </c>
      <c r="AC12" s="10">
        <f>Tabella211[[#This Row],[Cum_D_fit]]+CIh</f>
        <v>720.44819561754605</v>
      </c>
      <c r="AD12" s="10">
        <f>MAX(Tabella211[[#This Row],[Cum_D_fit]]-CIh,0)</f>
        <v>0</v>
      </c>
      <c r="AE12" s="1"/>
      <c r="AF12" s="67" t="s">
        <v>3</v>
      </c>
      <c r="AG12" s="100">
        <f>COUNT(Tabella211[Cum_confirmed])-COUNT(AG8:AG10)</f>
        <v>48</v>
      </c>
      <c r="AT12" s="104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K/(1+EXP(-(Tabella211[[#This Row],[Day]]-t0)/w))</f>
        <v>3281.5195390529962</v>
      </c>
      <c r="H13" s="10">
        <f>Tabella211[[#This Row],[Cum_fit]]*(1-Tabella211[[#This Row],[Cum_fit]]/K)/w</f>
        <v>467.67074529363231</v>
      </c>
      <c r="I13" s="56">
        <f>Tabella211[[#This Row],[Cum_fit]]*NOT(ISBLANK(Tabella211[[#This Row],[Cum_confirmed]]))</f>
        <v>3281.5195390529962</v>
      </c>
      <c r="J13" s="10">
        <f>Tabella211[[#This Row],[Cum_fit]]+CI</f>
        <v>8840.2241558484584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346.44870703077117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Kr/(1+EXP(-(Tabella211[[#This Row],[Day]]-t0r)/wr))</f>
        <v>1024.981908772603</v>
      </c>
      <c r="S13" s="10">
        <f>Tabella211[[#This Row],[Cum_R_fit]]*(1-Tabella211[[#This Row],[Cum_R_fit]]/Kr)/wr</f>
        <v>89.666272916612243</v>
      </c>
      <c r="T13" s="60">
        <f>Tabella211[[#This Row],[Cum_R_fit]]*NOT(ISBLANK(Tabella211[[#This Row],[Cum_recov]]))</f>
        <v>1024.981908772603</v>
      </c>
      <c r="U13" s="10">
        <f>Tabella211[[#This Row],[Cum_R_fit]]+CIr</f>
        <v>3375.0679277811605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4">
        <f>Tabella211[[#This Row],[Cum_deaths]]*NOT(ISBLANK(Tabella211[[#This Row],[Cum_deaths]]))</f>
        <v>29</v>
      </c>
      <c r="Z13" s="50">
        <f>Kh/(1+EXP(-(Tabella211[[#This Row],[Day]]-t0h)/wh))</f>
        <v>199.88049585363544</v>
      </c>
      <c r="AA13" s="10">
        <f>Tabella211[[#This Row],[Cum_D_fit]]*(1-Tabella211[[#This Row],[Cum_D_fit]]/Kh)/wh</f>
        <v>31.55576534624889</v>
      </c>
      <c r="AB13" s="64">
        <f>Tabella211[[#This Row],[Cum_D_fit]]*NOT(ISBLANK(Tabella211[[#This Row],[Cum_deaths]]))</f>
        <v>199.88049585363544</v>
      </c>
      <c r="AC13" s="10">
        <f>Tabella211[[#This Row],[Cum_D_fit]]+CIh</f>
        <v>749.65764059520632</v>
      </c>
      <c r="AD13" s="10">
        <f>MAX(Tabella211[[#This Row],[Cum_D_fit]]-CIh,0)</f>
        <v>0</v>
      </c>
      <c r="AE13" s="1"/>
      <c r="AF13" s="67" t="s">
        <v>4</v>
      </c>
      <c r="AG13" s="101" cm="1">
        <f t="array" ref="AG13">SQRT(SUM((Tabella211[Colonna1]-Tabella211[Colonna2])^2)/df)</f>
        <v>2764.6516085117491</v>
      </c>
      <c r="AT13" s="105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K/(1+EXP(-(Tabella211[[#This Row],[Day]]-t0)/w))</f>
        <v>3783.3510512978924</v>
      </c>
      <c r="H14" s="10">
        <f>Tabella211[[#This Row],[Cum_fit]]*(1-Tabella211[[#This Row],[Cum_fit]]/K)/w</f>
        <v>537.54026651904178</v>
      </c>
      <c r="I14" s="56">
        <f>Tabella211[[#This Row],[Cum_fit]]*NOT(ISBLANK(Tabella211[[#This Row],[Cum_confirmed]]))</f>
        <v>3783.3510512978924</v>
      </c>
      <c r="J14" s="10">
        <f>Tabella211[[#This Row],[Cum_fit]]+CI</f>
        <v>9342.0556680933551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402.85282177502881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Kr/(1+EXP(-(Tabella211[[#This Row],[Day]]-t0r)/wr))</f>
        <v>1118.655822242258</v>
      </c>
      <c r="S14" s="10">
        <f>Tabella211[[#This Row],[Cum_R_fit]]*(1-Tabella211[[#This Row],[Cum_R_fit]]/Kr)/wr</f>
        <v>97.797400567047831</v>
      </c>
      <c r="T14" s="60">
        <f>Tabella211[[#This Row],[Cum_R_fit]]*NOT(ISBLANK(Tabella211[[#This Row],[Cum_recov]]))</f>
        <v>1118.655822242258</v>
      </c>
      <c r="U14" s="10">
        <f>Tabella211[[#This Row],[Cum_R_fit]]+CIr</f>
        <v>3468.7418412508159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4">
        <f>Tabella211[[#This Row],[Cum_deaths]]*NOT(ISBLANK(Tabella211[[#This Row],[Cum_deaths]]))</f>
        <v>34</v>
      </c>
      <c r="Z14" s="50">
        <f>Kh/(1+EXP(-(Tabella211[[#This Row],[Day]]-t0h)/wh))</f>
        <v>234.03540766372913</v>
      </c>
      <c r="AA14" s="10">
        <f>Tabella211[[#This Row],[Cum_D_fit]]*(1-Tabella211[[#This Row],[Cum_D_fit]]/Kh)/wh</f>
        <v>36.890044176965162</v>
      </c>
      <c r="AB14" s="64">
        <f>Tabella211[[#This Row],[Cum_D_fit]]*NOT(ISBLANK(Tabella211[[#This Row],[Cum_deaths]]))</f>
        <v>234.03540766372913</v>
      </c>
      <c r="AC14" s="10">
        <f>Tabella211[[#This Row],[Cum_D_fit]]+CIh</f>
        <v>783.81255240530004</v>
      </c>
      <c r="AD14" s="10">
        <f>MAX(Tabella211[[#This Row],[Cum_D_fit]]-CIh,0)</f>
        <v>0</v>
      </c>
      <c r="AE14" s="1"/>
      <c r="AF14" s="67" t="s">
        <v>109</v>
      </c>
      <c r="AG14" s="102" cm="1">
        <f t="array" ref="AG14">1-SUM((Tabella211[Colonna1]-Tabella211[Colonna2])^2)/SUM((Tabella211[Colonna1]-Mean_of_y)^2)</f>
        <v>0.99843926848895714</v>
      </c>
      <c r="AT14" s="116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K/(1+EXP(-(Tabella211[[#This Row],[Day]]-t0)/w))</f>
        <v>4359.8859016385895</v>
      </c>
      <c r="H15" s="10">
        <f>Tabella211[[#This Row],[Cum_fit]]*(1-Tabella211[[#This Row],[Cum_fit]]/K)/w</f>
        <v>617.27043290950621</v>
      </c>
      <c r="I15" s="56">
        <f>Tabella211[[#This Row],[Cum_fit]]*NOT(ISBLANK(Tabella211[[#This Row],[Cum_confirmed]]))</f>
        <v>4359.8859016385895</v>
      </c>
      <c r="J15" s="10">
        <f>Tabella211[[#This Row],[Cum_fit]]+CI</f>
        <v>9918.5905184340518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467.51424337487151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Kr/(1+EXP(-(Tabella211[[#This Row],[Day]]-t0r)/wr))</f>
        <v>1220.8182220572721</v>
      </c>
      <c r="S15" s="10">
        <f>Tabella211[[#This Row],[Cum_R_fit]]*(1-Tabella211[[#This Row],[Cum_R_fit]]/Kr)/wr</f>
        <v>106.65321744292925</v>
      </c>
      <c r="T15" s="60">
        <f>Tabella211[[#This Row],[Cum_R_fit]]*NOT(ISBLANK(Tabella211[[#This Row],[Cum_recov]]))</f>
        <v>1220.8182220572721</v>
      </c>
      <c r="U15" s="10">
        <f>Tabella211[[#This Row],[Cum_R_fit]]+CIr</f>
        <v>3570.9042410658299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4">
        <f>Tabella211[[#This Row],[Cum_deaths]]*NOT(ISBLANK(Tabella211[[#This Row],[Cum_deaths]]))</f>
        <v>52</v>
      </c>
      <c r="Z15" s="50">
        <f>Kh/(1+EXP(-(Tabella211[[#This Row],[Day]]-t0h)/wh))</f>
        <v>273.95328303918768</v>
      </c>
      <c r="AA15" s="10">
        <f>Tabella211[[#This Row],[Cum_D_fit]]*(1-Tabella211[[#This Row],[Cum_D_fit]]/Kh)/wh</f>
        <v>43.102972091705425</v>
      </c>
      <c r="AB15" s="64">
        <f>Tabella211[[#This Row],[Cum_D_fit]]*NOT(ISBLANK(Tabella211[[#This Row],[Cum_deaths]]))</f>
        <v>273.95328303918768</v>
      </c>
      <c r="AC15" s="10">
        <f>Tabella211[[#This Row],[Cum_D_fit]]+CIh</f>
        <v>823.73042778075853</v>
      </c>
      <c r="AD15" s="10">
        <f>MAX(Tabella211[[#This Row],[Cum_D_fit]]-CIh,0)</f>
        <v>0</v>
      </c>
      <c r="AE15" s="1"/>
      <c r="AF15" s="67" t="s">
        <v>6</v>
      </c>
      <c r="AG15" s="102">
        <f>TINV(0.05,df)</f>
        <v>2.0106347576242314</v>
      </c>
      <c r="AT15" s="117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K/(1+EXP(-(Tabella211[[#This Row],[Day]]-t0)/w))</f>
        <v>5021.5792187131492</v>
      </c>
      <c r="H16" s="10">
        <f>Tabella211[[#This Row],[Cum_fit]]*(1-Tabella211[[#This Row],[Cum_fit]]/K)/w</f>
        <v>708.0653950955334</v>
      </c>
      <c r="I16" s="56">
        <f>Tabella211[[#This Row],[Cum_fit]]*NOT(ISBLANK(Tabella211[[#This Row],[Cum_confirmed]]))</f>
        <v>5021.5792187131492</v>
      </c>
      <c r="J16" s="10">
        <f>Tabella211[[#This Row],[Cum_fit]]+CI</f>
        <v>10580.283835508611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541.43871057781394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Kr/(1+EXP(-(Tabella211[[#This Row],[Day]]-t0r)/wr))</f>
        <v>1332.2244912687672</v>
      </c>
      <c r="S16" s="10">
        <f>Tabella211[[#This Row],[Cum_R_fit]]*(1-Tabella211[[#This Row],[Cum_R_fit]]/Kr)/wr</f>
        <v>116.29589918140492</v>
      </c>
      <c r="T16" s="60">
        <f>Tabella211[[#This Row],[Cum_R_fit]]*NOT(ISBLANK(Tabella211[[#This Row],[Cum_recov]]))</f>
        <v>1332.2244912687672</v>
      </c>
      <c r="U16" s="10">
        <f>Tabella211[[#This Row],[Cum_R_fit]]+CIr</f>
        <v>3682.3105102773252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4">
        <f>Tabella211[[#This Row],[Cum_deaths]]*NOT(ISBLANK(Tabella211[[#This Row],[Cum_deaths]]))</f>
        <v>79</v>
      </c>
      <c r="Z16" s="50">
        <f>Kh/(1+EXP(-(Tabella211[[#This Row],[Day]]-t0h)/wh))</f>
        <v>320.57944670364054</v>
      </c>
      <c r="AA16" s="10">
        <f>Tabella211[[#This Row],[Cum_D_fit]]*(1-Tabella211[[#This Row],[Cum_D_fit]]/Kh)/wh</f>
        <v>50.330785336314577</v>
      </c>
      <c r="AB16" s="64">
        <f>Tabella211[[#This Row],[Cum_D_fit]]*NOT(ISBLANK(Tabella211[[#This Row],[Cum_deaths]]))</f>
        <v>320.57944670364054</v>
      </c>
      <c r="AC16" s="10">
        <f>Tabella211[[#This Row],[Cum_D_fit]]+CIh</f>
        <v>870.35659144521139</v>
      </c>
      <c r="AD16" s="10">
        <f>MAX(Tabella211[[#This Row],[Cum_D_fit]]-CIh,0)</f>
        <v>0</v>
      </c>
      <c r="AE16" s="1"/>
      <c r="AF16" s="67" t="s">
        <v>7</v>
      </c>
      <c r="AG16" s="100">
        <f>Critical_t*SE_of_y</f>
        <v>5558.7046167954622</v>
      </c>
      <c r="AT16" s="117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K/(1+EXP(-(Tabella211[[#This Row],[Day]]-t0)/w))</f>
        <v>5780.1341752836533</v>
      </c>
      <c r="H17" s="10">
        <f>Tabella211[[#This Row],[Cum_fit]]*(1-Tabella211[[#This Row],[Cum_fit]]/K)/w</f>
        <v>811.21519893714242</v>
      </c>
      <c r="I17" s="56">
        <f>Tabella211[[#This Row],[Cum_fit]]*NOT(ISBLANK(Tabella211[[#This Row],[Cum_confirmed]]))</f>
        <v>5780.1341752836533</v>
      </c>
      <c r="J17" s="10">
        <f>Tabella211[[#This Row],[Cum_fit]]+CI</f>
        <v>11338.838792079116</v>
      </c>
      <c r="K17" s="10">
        <f>MAX(Tabella211[[#This Row],[Cum_fit]]-CI,0)</f>
        <v>221.42955848819111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625.69498709650497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Kr/(1+EXP(-(Tabella211[[#This Row],[Day]]-t0r)/wr))</f>
        <v>1453.6946010463009</v>
      </c>
      <c r="S17" s="10">
        <f>Tabella211[[#This Row],[Cum_R_fit]]*(1-Tabella211[[#This Row],[Cum_R_fit]]/Kr)/wr</f>
        <v>126.79249500869773</v>
      </c>
      <c r="T17" s="60">
        <f>Tabella211[[#This Row],[Cum_R_fit]]*NOT(ISBLANK(Tabella211[[#This Row],[Cum_recov]]))</f>
        <v>1453.6946010463009</v>
      </c>
      <c r="U17" s="10">
        <f>Tabella211[[#This Row],[Cum_R_fit]]+CIr</f>
        <v>3803.7806200548584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4">
        <f>Tabella211[[#This Row],[Cum_deaths]]*NOT(ISBLANK(Tabella211[[#This Row],[Cum_deaths]]))</f>
        <v>107</v>
      </c>
      <c r="Z17" s="50">
        <f>Kh/(1+EXP(-(Tabella211[[#This Row],[Day]]-t0h)/wh))</f>
        <v>375.00434594396398</v>
      </c>
      <c r="AA17" s="10">
        <f>Tabella211[[#This Row],[Cum_D_fit]]*(1-Tabella211[[#This Row],[Cum_D_fit]]/Kh)/wh</f>
        <v>58.727716831939659</v>
      </c>
      <c r="AB17" s="64">
        <f>Tabella211[[#This Row],[Cum_D_fit]]*NOT(ISBLANK(Tabella211[[#This Row],[Cum_deaths]]))</f>
        <v>375.00434594396398</v>
      </c>
      <c r="AC17" s="10">
        <f>Tabella211[[#This Row],[Cum_D_fit]]+CIh</f>
        <v>924.78149068553489</v>
      </c>
      <c r="AD17" s="10">
        <f>MAX(Tabella211[[#This Row],[Cum_D_fit]]-CIh,0)</f>
        <v>0</v>
      </c>
      <c r="AE17" s="1"/>
      <c r="AF17" s="67" t="s">
        <v>110</v>
      </c>
      <c r="AG17" s="33">
        <f>K</f>
        <v>167294.84086578502</v>
      </c>
      <c r="AT17" s="118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K/(1+EXP(-(Tabella211[[#This Row],[Day]]-t0)/w))</f>
        <v>6648.5809327374882</v>
      </c>
      <c r="H18" s="10">
        <f>Tabella211[[#This Row],[Cum_fit]]*(1-Tabella211[[#This Row],[Cum_fit]]/K)/w</f>
        <v>928.08053650713089</v>
      </c>
      <c r="I18" s="56">
        <f>Tabella211[[#This Row],[Cum_fit]]*NOT(ISBLANK(Tabella211[[#This Row],[Cum_confirmed]]))</f>
        <v>6648.5809327374882</v>
      </c>
      <c r="J18" s="10">
        <f>Tabella211[[#This Row],[Cum_fit]]+CI</f>
        <v>12207.28554953295</v>
      </c>
      <c r="K18" s="10">
        <f>MAX(Tabella211[[#This Row],[Cum_fit]]-CI,0)</f>
        <v>1089.8763159420259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721.3981175166906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Kr/(1+EXP(-(Tabella211[[#This Row],[Day]]-t0r)/wr))</f>
        <v>1586.1181304818822</v>
      </c>
      <c r="S18" s="10">
        <f>Tabella211[[#This Row],[Cum_R_fit]]*(1-Tabella211[[#This Row],[Cum_R_fit]]/Kr)/wr</f>
        <v>138.21522038068997</v>
      </c>
      <c r="T18" s="60">
        <f>Tabella211[[#This Row],[Cum_R_fit]]*NOT(ISBLANK(Tabella211[[#This Row],[Cum_recov]]))</f>
        <v>1586.1181304818822</v>
      </c>
      <c r="U18" s="10">
        <f>Tabella211[[#This Row],[Cum_R_fit]]+CIr</f>
        <v>3936.2041494904397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4">
        <f>Tabella211[[#This Row],[Cum_deaths]]*NOT(ISBLANK(Tabella211[[#This Row],[Cum_deaths]]))</f>
        <v>148</v>
      </c>
      <c r="Z18" s="50">
        <f>Kh/(1+EXP(-(Tabella211[[#This Row],[Day]]-t0h)/wh))</f>
        <v>438.48217413937891</v>
      </c>
      <c r="AA18" s="10">
        <f>Tabella211[[#This Row],[Cum_D_fit]]*(1-Tabella211[[#This Row],[Cum_D_fit]]/Kh)/wh</f>
        <v>68.467198609750284</v>
      </c>
      <c r="AB18" s="64">
        <f>Tabella211[[#This Row],[Cum_D_fit]]*NOT(ISBLANK(Tabella211[[#This Row],[Cum_deaths]]))</f>
        <v>438.48217413937891</v>
      </c>
      <c r="AC18" s="10">
        <f>Tabella211[[#This Row],[Cum_D_fit]]+CIh</f>
        <v>988.25931888094976</v>
      </c>
      <c r="AD18" s="10">
        <f>MAX(Tabella211[[#This Row],[Cum_D_fit]]-CIh,0)</f>
        <v>0</v>
      </c>
      <c r="AE18" s="1"/>
      <c r="AF18" s="67"/>
      <c r="AG18" s="76"/>
      <c r="AT18" s="106">
        <f>MAX($AG$26)</f>
        <v>0.99234342229382677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K/(1+EXP(-(Tabella211[[#This Row],[Day]]-t0)/w))</f>
        <v>7641.3359167332374</v>
      </c>
      <c r="H19" s="10">
        <f>Tabella211[[#This Row],[Cum_fit]]*(1-Tabella211[[#This Row],[Cum_fit]]/K)/w</f>
        <v>1060.0682695367493</v>
      </c>
      <c r="I19" s="56">
        <f>Tabella211[[#This Row],[Cum_fit]]*NOT(ISBLANK(Tabella211[[#This Row],[Cum_confirmed]]))</f>
        <v>7641.3359167332374</v>
      </c>
      <c r="J19" s="10">
        <f>Tabella211[[#This Row],[Cum_fit]]+CI</f>
        <v>13200.0405335287</v>
      </c>
      <c r="K19" s="10">
        <f>MAX(Tabella211[[#This Row],[Cum_fit]]-CI,0)</f>
        <v>2082.6312999377751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829.68386568904441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Kr/(1+EXP(-(Tabella211[[#This Row],[Day]]-t0r)/wr))</f>
        <v>1730.45957899623</v>
      </c>
      <c r="S19" s="10">
        <f>Tabella211[[#This Row],[Cum_R_fit]]*(1-Tabella211[[#This Row],[Cum_R_fit]]/Kr)/wr</f>
        <v>150.64174884403903</v>
      </c>
      <c r="T19" s="60">
        <f>Tabella211[[#This Row],[Cum_R_fit]]*NOT(ISBLANK(Tabella211[[#This Row],[Cum_recov]]))</f>
        <v>1730.45957899623</v>
      </c>
      <c r="U19" s="10">
        <f>Tabella211[[#This Row],[Cum_R_fit]]+CIr</f>
        <v>4080.5455980047877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4">
        <f>Tabella211[[#This Row],[Cum_deaths]]*NOT(ISBLANK(Tabella211[[#This Row],[Cum_deaths]]))</f>
        <v>197</v>
      </c>
      <c r="Z19" s="50">
        <f>Kh/(1+EXP(-(Tabella211[[#This Row],[Day]]-t0h)/wh))</f>
        <v>512.45050976459811</v>
      </c>
      <c r="AA19" s="10">
        <f>Tabella211[[#This Row],[Cum_D_fit]]*(1-Tabella211[[#This Row],[Cum_D_fit]]/Kh)/wh</f>
        <v>79.742655003665874</v>
      </c>
      <c r="AB19" s="64">
        <f>Tabella211[[#This Row],[Cum_D_fit]]*NOT(ISBLANK(Tabella211[[#This Row],[Cum_deaths]]))</f>
        <v>512.45050976459811</v>
      </c>
      <c r="AC19" s="10">
        <f>Tabella211[[#This Row],[Cum_D_fit]]+CIh</f>
        <v>1062.2276545061691</v>
      </c>
      <c r="AD19" s="10">
        <f>MAX(Tabella211[[#This Row],[Cum_D_fit]]-CIh,0)</f>
        <v>0</v>
      </c>
      <c r="AE19" s="1"/>
      <c r="AF19" s="59" t="s">
        <v>81</v>
      </c>
      <c r="AG19" s="74" t="s">
        <v>97</v>
      </c>
      <c r="AT19" s="107">
        <f>COUNT($AG$21,$AG$22)</f>
        <v>2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K/(1+EXP(-(Tabella211[[#This Row],[Day]]-t0)/w))</f>
        <v>8774.2309830641734</v>
      </c>
      <c r="H20" s="10">
        <f>Tabella211[[#This Row],[Cum_fit]]*(1-Tabella211[[#This Row],[Cum_fit]]/K)/w</f>
        <v>1208.5952517493142</v>
      </c>
      <c r="I20" s="56">
        <f>Tabella211[[#This Row],[Cum_fit]]*NOT(ISBLANK(Tabella211[[#This Row],[Cum_confirmed]]))</f>
        <v>8774.2309830641734</v>
      </c>
      <c r="J20" s="10">
        <f>Tabella211[[#This Row],[Cum_fit]]+CI</f>
        <v>14332.935599859637</v>
      </c>
      <c r="K20" s="10">
        <f>MAX(Tabella211[[#This Row],[Cum_fit]]-CI,0)</f>
        <v>3215.5263662687112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951.67211399139399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Kr/(1+EXP(-(Tabella211[[#This Row],[Day]]-t0r)/wr))</f>
        <v>1887.7639682894796</v>
      </c>
      <c r="S20" s="10">
        <f>Tabella211[[#This Row],[Cum_R_fit]]*(1-Tabella211[[#This Row],[Cum_R_fit]]/Kr)/wr</f>
        <v>164.15549838560005</v>
      </c>
      <c r="T20" s="60">
        <f>Tabella211[[#This Row],[Cum_R_fit]]*NOT(ISBLANK(Tabella211[[#This Row],[Cum_recov]]))</f>
        <v>1887.7639682894796</v>
      </c>
      <c r="U20" s="10">
        <f>Tabella211[[#This Row],[Cum_R_fit]]+CIr</f>
        <v>4237.8499872980374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4">
        <f>Tabella211[[#This Row],[Cum_deaths]]*NOT(ISBLANK(Tabella211[[#This Row],[Cum_deaths]]))</f>
        <v>233</v>
      </c>
      <c r="Z20" s="50">
        <f>Kh/(1+EXP(-(Tabella211[[#This Row],[Day]]-t0h)/wh))</f>
        <v>598.55044405429294</v>
      </c>
      <c r="AA20" s="10">
        <f>Tabella211[[#This Row],[Cum_D_fit]]*(1-Tabella211[[#This Row],[Cum_D_fit]]/Kh)/wh</f>
        <v>92.767639372320147</v>
      </c>
      <c r="AB20" s="64">
        <f>Tabella211[[#This Row],[Cum_D_fit]]*NOT(ISBLANK(Tabella211[[#This Row],[Cum_deaths]]))</f>
        <v>598.55044405429294</v>
      </c>
      <c r="AC20" s="10">
        <f>Tabella211[[#This Row],[Cum_D_fit]]+CIh</f>
        <v>1148.3275887958639</v>
      </c>
      <c r="AD20" s="10">
        <f>MAX(Tabella211[[#This Row],[Cum_D_fit]]-CIh,0)</f>
        <v>48.773299312722088</v>
      </c>
      <c r="AE20" s="1"/>
      <c r="AF20" s="109" t="s">
        <v>0</v>
      </c>
      <c r="AG20" s="110">
        <f>K-Kh</f>
        <v>145286.39577951675</v>
      </c>
      <c r="AT20" s="107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K/(1+EXP(-(Tabella211[[#This Row],[Day]]-t0)/w))</f>
        <v>10064.499438178311</v>
      </c>
      <c r="H21" s="10">
        <f>Tabella211[[#This Row],[Cum_fit]]*(1-Tabella211[[#This Row],[Cum_fit]]/K)/w</f>
        <v>1375.037756793422</v>
      </c>
      <c r="I21" s="56">
        <f>Tabella211[[#This Row],[Cum_fit]]*NOT(ISBLANK(Tabella211[[#This Row],[Cum_confirmed]]))</f>
        <v>10064.499438178311</v>
      </c>
      <c r="J21" s="10">
        <f>Tabella211[[#This Row],[Cum_fit]]+CI</f>
        <v>15623.204054973772</v>
      </c>
      <c r="K21" s="10">
        <f>MAX(Tabella211[[#This Row],[Cum_fit]]-CI,0)</f>
        <v>4505.7948213828486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1088.4168628875987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Kr/(1+EXP(-(Tabella211[[#This Row],[Day]]-t0r)/wr))</f>
        <v>2059.162725490688</v>
      </c>
      <c r="S21" s="10">
        <f>Tabella211[[#This Row],[Cum_R_fit]]*(1-Tabella211[[#This Row],[Cum_R_fit]]/Kr)/wr</f>
        <v>178.84590639705365</v>
      </c>
      <c r="T21" s="60">
        <f>Tabella211[[#This Row],[Cum_R_fit]]*NOT(ISBLANK(Tabella211[[#This Row],[Cum_recov]]))</f>
        <v>2059.162725490688</v>
      </c>
      <c r="U21" s="10">
        <f>Tabella211[[#This Row],[Cum_R_fit]]+CIr</f>
        <v>4409.2487444992457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4">
        <f>Tabella211[[#This Row],[Cum_deaths]]*NOT(ISBLANK(Tabella211[[#This Row],[Cum_deaths]]))</f>
        <v>366</v>
      </c>
      <c r="Z21" s="50">
        <f>Kh/(1+EXP(-(Tabella211[[#This Row],[Day]]-t0h)/wh))</f>
        <v>698.64638465262283</v>
      </c>
      <c r="AA21" s="10">
        <f>Tabella211[[#This Row],[Cum_D_fit]]*(1-Tabella211[[#This Row],[Cum_D_fit]]/Kh)/wh</f>
        <v>107.77498750876966</v>
      </c>
      <c r="AB21" s="64">
        <f>Tabella211[[#This Row],[Cum_D_fit]]*NOT(ISBLANK(Tabella211[[#This Row],[Cum_deaths]]))</f>
        <v>698.64638465262283</v>
      </c>
      <c r="AC21" s="10">
        <f>Tabella211[[#This Row],[Cum_D_fit]]+CIh</f>
        <v>1248.4235293941938</v>
      </c>
      <c r="AD21" s="10">
        <f>MAX(Tabella211[[#This Row],[Cum_D_fit]]-CIh,0)</f>
        <v>148.86923991105198</v>
      </c>
      <c r="AE21" s="1"/>
      <c r="AF21" s="109" t="s">
        <v>111</v>
      </c>
      <c r="AG21" s="111">
        <v>61.150033316577201</v>
      </c>
      <c r="AT21" s="107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K/(1+EXP(-(Tabella211[[#This Row],[Day]]-t0)/w))</f>
        <v>11530.703148765959</v>
      </c>
      <c r="H22" s="10">
        <f>Tabella211[[#This Row],[Cum_fit]]*(1-Tabella211[[#This Row],[Cum_fit]]/K)/w</f>
        <v>1560.6637856839659</v>
      </c>
      <c r="I22" s="56">
        <f>Tabella211[[#This Row],[Cum_fit]]*NOT(ISBLANK(Tabella211[[#This Row],[Cum_confirmed]]))</f>
        <v>11530.703148765959</v>
      </c>
      <c r="J22" s="10">
        <f>Tabella211[[#This Row],[Cum_fit]]+CI</f>
        <v>17089.40776556142</v>
      </c>
      <c r="K22" s="10">
        <f>MAX(Tabella211[[#This Row],[Cum_fit]]-CI,0)</f>
        <v>5971.9985319704965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1240.8405314479305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Kr/(1+EXP(-(Tabella211[[#This Row],[Day]]-t0r)/wr))</f>
        <v>2245.8798326394167</v>
      </c>
      <c r="S22" s="10">
        <f>Tabella211[[#This Row],[Cum_R_fit]]*(1-Tabella211[[#This Row],[Cum_R_fit]]/Kr)/wr</f>
        <v>194.80868605271803</v>
      </c>
      <c r="T22" s="60">
        <f>Tabella211[[#This Row],[Cum_R_fit]]*NOT(ISBLANK(Tabella211[[#This Row],[Cum_recov]]))</f>
        <v>2245.8798326394167</v>
      </c>
      <c r="U22" s="10">
        <f>Tabella211[[#This Row],[Cum_R_fit]]+CIr</f>
        <v>4595.965851647974</v>
      </c>
      <c r="V22" s="10">
        <f>MAX(Tabella211[[#This Row],[Cum_R_fit]]-CIr,0)</f>
        <v>0</v>
      </c>
      <c r="W22" s="10">
        <f>'dpc-covid19-ita-andamento-naz'!K16</f>
        <v>463</v>
      </c>
      <c r="X22" s="26">
        <f>Tabella211[[#This Row],[Cum_deaths]]-W21</f>
        <v>97</v>
      </c>
      <c r="Y22" s="64">
        <f>Tabella211[[#This Row],[Cum_deaths]]*NOT(ISBLANK(Tabella211[[#This Row],[Cum_deaths]]))</f>
        <v>463</v>
      </c>
      <c r="Z22" s="50">
        <f>Kh/(1+EXP(-(Tabella211[[#This Row],[Day]]-t0h)/wh))</f>
        <v>814.8443503510174</v>
      </c>
      <c r="AA22" s="10">
        <f>Tabella211[[#This Row],[Cum_D_fit]]*(1-Tabella211[[#This Row],[Cum_D_fit]]/Kh)/wh</f>
        <v>125.01456818331728</v>
      </c>
      <c r="AB22" s="64">
        <f>Tabella211[[#This Row],[Cum_D_fit]]*NOT(ISBLANK(Tabella211[[#This Row],[Cum_deaths]]))</f>
        <v>814.8443503510174</v>
      </c>
      <c r="AC22" s="10">
        <f>Tabella211[[#This Row],[Cum_D_fit]]+CIh</f>
        <v>1364.6214950925882</v>
      </c>
      <c r="AD22" s="10">
        <f>MAX(Tabella211[[#This Row],[Cum_D_fit]]-CIh,0)</f>
        <v>265.06720560944655</v>
      </c>
      <c r="AE22" s="1"/>
      <c r="AF22" s="109" t="s">
        <v>1</v>
      </c>
      <c r="AG22" s="111">
        <v>11.350430037326595</v>
      </c>
      <c r="AT22" s="107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K/(1+EXP(-(Tabella211[[#This Row],[Day]]-t0)/w))</f>
        <v>13192.582357041849</v>
      </c>
      <c r="H23" s="10">
        <f>Tabella211[[#This Row],[Cum_fit]]*(1-Tabella211[[#This Row],[Cum_fit]]/K)/w</f>
        <v>1766.5458091450391</v>
      </c>
      <c r="I23" s="56">
        <f>Tabella211[[#This Row],[Cum_fit]]*NOT(ISBLANK(Tabella211[[#This Row],[Cum_confirmed]]))</f>
        <v>13192.582357041849</v>
      </c>
      <c r="J23" s="10">
        <f>Tabella211[[#This Row],[Cum_fit]]+CI</f>
        <v>18751.286973837312</v>
      </c>
      <c r="K23" s="10">
        <f>MAX(Tabella211[[#This Row],[Cum_fit]]-CI,0)</f>
        <v>7633.8777402463866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1409.6506441301474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Kr/(1+EXP(-(Tabella211[[#This Row],[Day]]-t0r)/wr))</f>
        <v>2449.2382196805565</v>
      </c>
      <c r="S23" s="10">
        <f>Tabella211[[#This Row],[Cum_R_fit]]*(1-Tabella211[[#This Row],[Cum_R_fit]]/Kr)/wr</f>
        <v>212.14605536208393</v>
      </c>
      <c r="T23" s="60">
        <f>Tabella211[[#This Row],[Cum_R_fit]]*NOT(ISBLANK(Tabella211[[#This Row],[Cum_recov]]))</f>
        <v>2449.2382196805565</v>
      </c>
      <c r="U23" s="10">
        <f>Tabella211[[#This Row],[Cum_R_fit]]+CIr</f>
        <v>4799.3242386891143</v>
      </c>
      <c r="V23" s="10">
        <f>MAX(Tabella211[[#This Row],[Cum_R_fit]]-CIr,0)</f>
        <v>99.152200671998798</v>
      </c>
      <c r="W23" s="10">
        <f>'dpc-covid19-ita-andamento-naz'!K17</f>
        <v>631</v>
      </c>
      <c r="X23" s="26">
        <f>Tabella211[[#This Row],[Cum_deaths]]-W22</f>
        <v>168</v>
      </c>
      <c r="Y23" s="64">
        <f>Tabella211[[#This Row],[Cum_deaths]]*NOT(ISBLANK(Tabella211[[#This Row],[Cum_deaths]]))</f>
        <v>631</v>
      </c>
      <c r="Z23" s="50">
        <f>Kh/(1+EXP(-(Tabella211[[#This Row],[Day]]-t0h)/wh))</f>
        <v>949.50710210703733</v>
      </c>
      <c r="AA23" s="10">
        <f>Tabella211[[#This Row],[Cum_D_fit]]*(1-Tabella211[[#This Row],[Cum_D_fit]]/Kh)/wh</f>
        <v>144.74910965280787</v>
      </c>
      <c r="AB23" s="64">
        <f>Tabella211[[#This Row],[Cum_D_fit]]*NOT(ISBLANK(Tabella211[[#This Row],[Cum_deaths]]))</f>
        <v>949.50710210703733</v>
      </c>
      <c r="AC23" s="10">
        <f>Tabella211[[#This Row],[Cum_D_fit]]+CIh</f>
        <v>1499.2842468486083</v>
      </c>
      <c r="AD23" s="10">
        <f>MAX(Tabella211[[#This Row],[Cum_D_fit]]-CIh,0)</f>
        <v>399.72995736546648</v>
      </c>
      <c r="AE23" s="1"/>
      <c r="AF23" s="112" t="s">
        <v>2</v>
      </c>
      <c r="AG23" s="113">
        <f>AVERAGE(Tabella211[Cum_recov])</f>
        <v>10136.392156862745</v>
      </c>
      <c r="AT23" s="108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K/(1+EXP(-(Tabella211[[#This Row],[Day]]-t0)/w))</f>
        <v>15070.807705228801</v>
      </c>
      <c r="H24" s="10">
        <f>Tabella211[[#This Row],[Cum_fit]]*(1-Tabella211[[#This Row],[Cum_fit]]/K)/w</f>
        <v>1993.4522575299459</v>
      </c>
      <c r="I24" s="56">
        <f>Tabella211[[#This Row],[Cum_fit]]*NOT(ISBLANK(Tabella211[[#This Row],[Cum_confirmed]]))</f>
        <v>15070.807705228801</v>
      </c>
      <c r="J24" s="10">
        <f>Tabella211[[#This Row],[Cum_fit]]+CI</f>
        <v>20629.512322024264</v>
      </c>
      <c r="K24" s="10">
        <f>MAX(Tabella211[[#This Row],[Cum_fit]]-CI,0)</f>
        <v>9512.1030884333377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1595.2378494241493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Kr/(1+EXP(-(Tabella211[[#This Row],[Day]]-t0r)/wr))</f>
        <v>2670.6663685534136</v>
      </c>
      <c r="S24" s="10">
        <f>Tabella211[[#This Row],[Cum_R_fit]]*(1-Tabella211[[#This Row],[Cum_R_fit]]/Kr)/wr</f>
        <v>230.96692839628832</v>
      </c>
      <c r="T24" s="60">
        <f>Tabella211[[#This Row],[Cum_R_fit]]*NOT(ISBLANK(Tabella211[[#This Row],[Cum_recov]]))</f>
        <v>2670.6663685534136</v>
      </c>
      <c r="U24" s="10">
        <f>Tabella211[[#This Row],[Cum_R_fit]]+CIr</f>
        <v>5020.7523875619718</v>
      </c>
      <c r="V24" s="10">
        <f>MAX(Tabella211[[#This Row],[Cum_R_fit]]-CIr,0)</f>
        <v>320.58034954485584</v>
      </c>
      <c r="W24" s="10">
        <f>'dpc-covid19-ita-andamento-naz'!K18</f>
        <v>827</v>
      </c>
      <c r="X24" s="26">
        <f>Tabella211[[#This Row],[Cum_deaths]]-W23</f>
        <v>196</v>
      </c>
      <c r="Y24" s="64">
        <f>Tabella211[[#This Row],[Cum_deaths]]*NOT(ISBLANK(Tabella211[[#This Row],[Cum_deaths]]))</f>
        <v>827</v>
      </c>
      <c r="Z24" s="50">
        <f>Kh/(1+EXP(-(Tabella211[[#This Row],[Day]]-t0h)/wh))</f>
        <v>1105.263883148933</v>
      </c>
      <c r="AA24" s="10">
        <f>Tabella211[[#This Row],[Cum_D_fit]]*(1-Tabella211[[#This Row],[Cum_D_fit]]/Kh)/wh</f>
        <v>167.24747970950818</v>
      </c>
      <c r="AB24" s="64">
        <f>Tabella211[[#This Row],[Cum_D_fit]]*NOT(ISBLANK(Tabella211[[#This Row],[Cum_deaths]]))</f>
        <v>1105.263883148933</v>
      </c>
      <c r="AC24" s="10">
        <f>Tabella211[[#This Row],[Cum_D_fit]]+CIh</f>
        <v>1655.0410278905038</v>
      </c>
      <c r="AD24" s="10">
        <f>MAX(Tabella211[[#This Row],[Cum_D_fit]]-CIh,0)</f>
        <v>555.48673840736217</v>
      </c>
      <c r="AE24" s="1"/>
      <c r="AF24" s="112" t="s">
        <v>3</v>
      </c>
      <c r="AG24" s="113">
        <f>COUNT(Tabella211[Cum_recov])-COUNT(AG20:AG22)</f>
        <v>48</v>
      </c>
      <c r="AT24" s="119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K/(1+EXP(-(Tabella211[[#This Row],[Day]]-t0)/w))</f>
        <v>17186.612931739906</v>
      </c>
      <c r="H25" s="10">
        <f>Tabella211[[#This Row],[Cum_fit]]*(1-Tabella211[[#This Row],[Cum_fit]]/K)/w</f>
        <v>2241.7174898866601</v>
      </c>
      <c r="I25" s="56">
        <f>Tabella211[[#This Row],[Cum_fit]]*NOT(ISBLANK(Tabella211[[#This Row],[Cum_confirmed]]))</f>
        <v>17186.612931739906</v>
      </c>
      <c r="J25" s="10">
        <f>Tabella211[[#This Row],[Cum_fit]]+CI</f>
        <v>22745.317548535368</v>
      </c>
      <c r="K25" s="10">
        <f>MAX(Tabella211[[#This Row],[Cum_fit]]-CI,0)</f>
        <v>11627.908314944445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1797.5557210450879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Kr/(1+EXP(-(Tabella211[[#This Row],[Day]]-t0r)/wr))</f>
        <v>2911.7050844740329</v>
      </c>
      <c r="S25" s="10">
        <f>Tabella211[[#This Row],[Cum_R_fit]]*(1-Tabella211[[#This Row],[Cum_R_fit]]/Kr)/wr</f>
        <v>251.38705618370113</v>
      </c>
      <c r="T25" s="60">
        <f>Tabella211[[#This Row],[Cum_R_fit]]*NOT(ISBLANK(Tabella211[[#This Row],[Cum_recov]]))</f>
        <v>2911.7050844740329</v>
      </c>
      <c r="U25" s="10">
        <f>Tabella211[[#This Row],[Cum_R_fit]]+CIr</f>
        <v>5261.7911034825902</v>
      </c>
      <c r="V25" s="10">
        <f>MAX(Tabella211[[#This Row],[Cum_R_fit]]-CIr,0)</f>
        <v>561.61906546547516</v>
      </c>
      <c r="W25" s="10">
        <f>'dpc-covid19-ita-andamento-naz'!K19</f>
        <v>1016</v>
      </c>
      <c r="X25" s="26">
        <f>Tabella211[[#This Row],[Cum_deaths]]-W24</f>
        <v>189</v>
      </c>
      <c r="Y25" s="64">
        <f>Tabella211[[#This Row],[Cum_deaths]]*NOT(ISBLANK(Tabella211[[#This Row],[Cum_deaths]]))</f>
        <v>1016</v>
      </c>
      <c r="Z25" s="50">
        <f>Kh/(1+EXP(-(Tabella211[[#This Row],[Day]]-t0h)/wh))</f>
        <v>1285.0118740830799</v>
      </c>
      <c r="AA25" s="10">
        <f>Tabella211[[#This Row],[Cum_D_fit]]*(1-Tabella211[[#This Row],[Cum_D_fit]]/Kh)/wh</f>
        <v>192.77471265787105</v>
      </c>
      <c r="AB25" s="64">
        <f>Tabella211[[#This Row],[Cum_D_fit]]*NOT(ISBLANK(Tabella211[[#This Row],[Cum_deaths]]))</f>
        <v>1285.0118740830799</v>
      </c>
      <c r="AC25" s="10">
        <f>Tabella211[[#This Row],[Cum_D_fit]]+CIh</f>
        <v>1834.7890188246506</v>
      </c>
      <c r="AD25" s="10">
        <f>MAX(Tabella211[[#This Row],[Cum_D_fit]]-CIh,0)</f>
        <v>735.23472934150902</v>
      </c>
      <c r="AE25" s="1"/>
      <c r="AF25" s="112" t="s">
        <v>4</v>
      </c>
      <c r="AG25" s="114" cm="1">
        <f t="array" ref="AG25">SQRT(SUM((Tabella211[Colonna3]-Tabella211[Colonna4])^2)/dfr)</f>
        <v>1168.8279087472965</v>
      </c>
      <c r="AT25" s="120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K/(1+EXP(-(Tabella211[[#This Row],[Day]]-t0)/w))</f>
        <v>19561.287488333455</v>
      </c>
      <c r="H26" s="10">
        <f>Tabella211[[#This Row],[Cum_fit]]*(1-Tabella211[[#This Row],[Cum_fit]]/K)/w</f>
        <v>2511.0922390184073</v>
      </c>
      <c r="I26" s="56">
        <f>Tabella211[[#This Row],[Cum_fit]]*NOT(ISBLANK(Tabella211[[#This Row],[Cum_confirmed]]))</f>
        <v>19561.287488333455</v>
      </c>
      <c r="J26" s="10">
        <f>Tabella211[[#This Row],[Cum_fit]]+CI</f>
        <v>25119.992105128917</v>
      </c>
      <c r="K26" s="10">
        <f>MAX(Tabella211[[#This Row],[Cum_fit]]-CI,0)</f>
        <v>14002.582871537994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2015.985100076558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Kr/(1+EXP(-(Tabella211[[#This Row],[Day]]-t0r)/wr))</f>
        <v>3174.0143768976168</v>
      </c>
      <c r="S26" s="10">
        <f>Tabella211[[#This Row],[Cum_R_fit]]*(1-Tabella211[[#This Row],[Cum_R_fit]]/Kr)/wr</f>
        <v>273.52910251249631</v>
      </c>
      <c r="T26" s="60">
        <f>Tabella211[[#This Row],[Cum_R_fit]]*NOT(ISBLANK(Tabella211[[#This Row],[Cum_recov]]))</f>
        <v>3174.0143768976168</v>
      </c>
      <c r="U26" s="10">
        <f>Tabella211[[#This Row],[Cum_R_fit]]+CIr</f>
        <v>5524.1003959061745</v>
      </c>
      <c r="V26" s="10">
        <f>MAX(Tabella211[[#This Row],[Cum_R_fit]]-CIr,0)</f>
        <v>823.92835788905904</v>
      </c>
      <c r="W26" s="10">
        <f>'dpc-covid19-ita-andamento-naz'!K20</f>
        <v>1266</v>
      </c>
      <c r="X26" s="26">
        <f>Tabella211[[#This Row],[Cum_deaths]]-W25</f>
        <v>250</v>
      </c>
      <c r="Y26" s="64">
        <f>Tabella211[[#This Row],[Cum_deaths]]*NOT(ISBLANK(Tabella211[[#This Row],[Cum_deaths]]))</f>
        <v>1266</v>
      </c>
      <c r="Z26" s="50">
        <f>Kh/(1+EXP(-(Tabella211[[#This Row],[Day]]-t0h)/wh))</f>
        <v>1491.9057371119873</v>
      </c>
      <c r="AA26" s="10">
        <f>Tabella211[[#This Row],[Cum_D_fit]]*(1-Tabella211[[#This Row],[Cum_D_fit]]/Kh)/wh</f>
        <v>221.57803642935312</v>
      </c>
      <c r="AB26" s="64">
        <f>Tabella211[[#This Row],[Cum_D_fit]]*NOT(ISBLANK(Tabella211[[#This Row],[Cum_deaths]]))</f>
        <v>1491.9057371119873</v>
      </c>
      <c r="AC26" s="10">
        <f>Tabella211[[#This Row],[Cum_D_fit]]+CIh</f>
        <v>2041.6828818535582</v>
      </c>
      <c r="AD26" s="10">
        <f>MAX(Tabella211[[#This Row],[Cum_D_fit]]-CIh,0)</f>
        <v>942.12859237041641</v>
      </c>
      <c r="AE26" s="1"/>
      <c r="AF26" s="112" t="s">
        <v>112</v>
      </c>
      <c r="AG26" s="115" cm="1">
        <f t="array" ref="AG26">1-SUM((Tabella211[Colonna3]-Tabella211[Colonna4])^2)/SUM((Tabella211[Colonna3]-Mean_of_yr)^2)</f>
        <v>0.99234342229382677</v>
      </c>
      <c r="AT26" s="120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K/(1+EXP(-(Tabella211[[#This Row],[Day]]-t0)/w))</f>
        <v>22215.511863368971</v>
      </c>
      <c r="H27" s="10">
        <f>Tabella211[[#This Row],[Cum_fit]]*(1-Tabella211[[#This Row],[Cum_fit]]/K)/w</f>
        <v>2800.5797775094575</v>
      </c>
      <c r="I27" s="56">
        <f>Tabella211[[#This Row],[Cum_fit]]*NOT(ISBLANK(Tabella211[[#This Row],[Cum_confirmed]]))</f>
        <v>22215.511863368971</v>
      </c>
      <c r="J27" s="10">
        <f>Tabella211[[#This Row],[Cum_fit]]+CI</f>
        <v>27774.216480164432</v>
      </c>
      <c r="K27" s="10">
        <f>MAX(Tabella211[[#This Row],[Cum_fit]]-CI,0)</f>
        <v>16656.807246573509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2249.1889436843771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Kr/(1+EXP(-(Tabella211[[#This Row],[Day]]-t0r)/wr))</f>
        <v>3459.3803766496735</v>
      </c>
      <c r="S27" s="10">
        <f>Tabella211[[#This Row],[Cum_R_fit]]*(1-Tabella211[[#This Row],[Cum_R_fit]]/Kr)/wr</f>
        <v>297.52263736274625</v>
      </c>
      <c r="T27" s="60">
        <f>Tabella211[[#This Row],[Cum_R_fit]]*NOT(ISBLANK(Tabella211[[#This Row],[Cum_recov]]))</f>
        <v>3459.3803766496735</v>
      </c>
      <c r="U27" s="10">
        <f>Tabella211[[#This Row],[Cum_R_fit]]+CIr</f>
        <v>5809.4663956582317</v>
      </c>
      <c r="V27" s="10">
        <f>MAX(Tabella211[[#This Row],[Cum_R_fit]]-CIr,0)</f>
        <v>1109.2943576411158</v>
      </c>
      <c r="W27" s="10">
        <f>'dpc-covid19-ita-andamento-naz'!K21</f>
        <v>1441</v>
      </c>
      <c r="X27" s="26">
        <f>Tabella211[[#This Row],[Cum_deaths]]-W26</f>
        <v>175</v>
      </c>
      <c r="Y27" s="64">
        <f>Tabella211[[#This Row],[Cum_deaths]]*NOT(ISBLANK(Tabella211[[#This Row],[Cum_deaths]]))</f>
        <v>1441</v>
      </c>
      <c r="Z27" s="50">
        <f>Kh/(1+EXP(-(Tabella211[[#This Row],[Day]]-t0h)/wh))</f>
        <v>1729.3308894095824</v>
      </c>
      <c r="AA27" s="10">
        <f>Tabella211[[#This Row],[Cum_D_fit]]*(1-Tabella211[[#This Row],[Cum_D_fit]]/Kh)/wh</f>
        <v>253.86819646233428</v>
      </c>
      <c r="AB27" s="64">
        <f>Tabella211[[#This Row],[Cum_D_fit]]*NOT(ISBLANK(Tabella211[[#This Row],[Cum_deaths]]))</f>
        <v>1729.3308894095824</v>
      </c>
      <c r="AC27" s="10">
        <f>Tabella211[[#This Row],[Cum_D_fit]]+CIh</f>
        <v>2279.1080341511533</v>
      </c>
      <c r="AD27" s="10">
        <f>MAX(Tabella211[[#This Row],[Cum_D_fit]]-CIh,0)</f>
        <v>1179.5537446680114</v>
      </c>
      <c r="AE27" s="1"/>
      <c r="AF27" s="112" t="s">
        <v>6</v>
      </c>
      <c r="AG27" s="115">
        <f>TINV(0.05,dfr)</f>
        <v>2.0106347576242314</v>
      </c>
      <c r="AT27" s="121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K/(1+EXP(-(Tabella211[[#This Row],[Day]]-t0)/w))</f>
        <v>25168.525685298409</v>
      </c>
      <c r="H28" s="10">
        <f>Tabella211[[#This Row],[Cum_fit]]*(1-Tabella211[[#This Row],[Cum_fit]]/K)/w</f>
        <v>3108.2672953095393</v>
      </c>
      <c r="I28" s="56">
        <f>Tabella211[[#This Row],[Cum_fit]]*NOT(ISBLANK(Tabella211[[#This Row],[Cum_confirmed]]))</f>
        <v>25168.525685298409</v>
      </c>
      <c r="J28" s="10">
        <f>Tabella211[[#This Row],[Cum_fit]]+CI</f>
        <v>30727.230302093871</v>
      </c>
      <c r="K28" s="10">
        <f>MAX(Tabella211[[#This Row],[Cum_fit]]-CI,0)</f>
        <v>19609.821068502948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2494.9677141882148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Kr/(1+EXP(-(Tabella211[[#This Row],[Day]]-t0r)/wr))</f>
        <v>3769.7221970733008</v>
      </c>
      <c r="S28" s="10">
        <f>Tabella211[[#This Row],[Cum_R_fit]]*(1-Tabella211[[#This Row],[Cum_R_fit]]/Kr)/wr</f>
        <v>323.50402792218529</v>
      </c>
      <c r="T28" s="60">
        <f>Tabella211[[#This Row],[Cum_R_fit]]*NOT(ISBLANK(Tabella211[[#This Row],[Cum_recov]]))</f>
        <v>3769.7221970733008</v>
      </c>
      <c r="U28" s="10">
        <f>Tabella211[[#This Row],[Cum_R_fit]]+CIr</f>
        <v>6119.8082160818585</v>
      </c>
      <c r="V28" s="10">
        <f>MAX(Tabella211[[#This Row],[Cum_R_fit]]-CIr,0)</f>
        <v>1419.636178064743</v>
      </c>
      <c r="W28" s="10">
        <f>'dpc-covid19-ita-andamento-naz'!K22</f>
        <v>1809</v>
      </c>
      <c r="X28" s="26">
        <f>Tabella211[[#This Row],[Cum_deaths]]-W27</f>
        <v>368</v>
      </c>
      <c r="Y28" s="64">
        <f>Tabella211[[#This Row],[Cum_deaths]]*NOT(ISBLANK(Tabella211[[#This Row],[Cum_deaths]]))</f>
        <v>1809</v>
      </c>
      <c r="Z28" s="50">
        <f>Kh/(1+EXP(-(Tabella211[[#This Row],[Day]]-t0h)/wh))</f>
        <v>2000.8555184865886</v>
      </c>
      <c r="AA28" s="10">
        <f>Tabella211[[#This Row],[Cum_D_fit]]*(1-Tabella211[[#This Row],[Cum_D_fit]]/Kh)/wh</f>
        <v>289.79555319913908</v>
      </c>
      <c r="AB28" s="64">
        <f>Tabella211[[#This Row],[Cum_D_fit]]*NOT(ISBLANK(Tabella211[[#This Row],[Cum_deaths]]))</f>
        <v>2000.8555184865886</v>
      </c>
      <c r="AC28" s="10">
        <f>Tabella211[[#This Row],[Cum_D_fit]]+CIh</f>
        <v>2550.6326632281593</v>
      </c>
      <c r="AD28" s="10">
        <f>MAX(Tabella211[[#This Row],[Cum_D_fit]]-CIh,0)</f>
        <v>1451.0783737450179</v>
      </c>
      <c r="AE28" s="1"/>
      <c r="AF28" s="112" t="s">
        <v>7</v>
      </c>
      <c r="AG28" s="113">
        <f>Critical_tr*SE_of_yr</f>
        <v>2350.0860190085577</v>
      </c>
      <c r="AT28" s="83">
        <f>MAX($AG$38)</f>
        <v>0.99901562777988129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K/(1+EXP(-(Tabella211[[#This Row],[Day]]-t0)/w))</f>
        <v>28437.13064070743</v>
      </c>
      <c r="H29" s="10">
        <f>Tabella211[[#This Row],[Cum_fit]]*(1-Tabella211[[#This Row],[Cum_fit]]/K)/w</f>
        <v>3431.1670181656136</v>
      </c>
      <c r="I29" s="56">
        <f>Tabella211[[#This Row],[Cum_fit]]*NOT(ISBLANK(Tabella211[[#This Row],[Cum_confirmed]]))</f>
        <v>28437.13064070743</v>
      </c>
      <c r="J29" s="10">
        <f>Tabella211[[#This Row],[Cum_fit]]+CI</f>
        <v>33995.835257502891</v>
      </c>
      <c r="K29" s="10">
        <f>MAX(Tabella211[[#This Row],[Cum_fit]]-CI,0)</f>
        <v>22878.426023911969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2750.1300026225613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Kr/(1+EXP(-(Tabella211[[#This Row],[Day]]-t0r)/wr))</f>
        <v>4107.098625511223</v>
      </c>
      <c r="S29" s="10">
        <f>Tabella211[[#This Row],[Cum_R_fit]]*(1-Tabella211[[#This Row],[Cum_R_fit]]/Kr)/wr</f>
        <v>351.61620413706265</v>
      </c>
      <c r="T29" s="60">
        <f>Tabella211[[#This Row],[Cum_R_fit]]*NOT(ISBLANK(Tabella211[[#This Row],[Cum_recov]]))</f>
        <v>4107.098625511223</v>
      </c>
      <c r="U29" s="10">
        <f>Tabella211[[#This Row],[Cum_R_fit]]+CIr</f>
        <v>6457.1846445197807</v>
      </c>
      <c r="V29" s="10">
        <f>MAX(Tabella211[[#This Row],[Cum_R_fit]]-CIr,0)</f>
        <v>1757.0126065026652</v>
      </c>
      <c r="W29" s="10">
        <f>'dpc-covid19-ita-andamento-naz'!K23</f>
        <v>2158</v>
      </c>
      <c r="X29" s="26">
        <f>Tabella211[[#This Row],[Cum_deaths]]-W28</f>
        <v>349</v>
      </c>
      <c r="Y29" s="64">
        <f>Tabella211[[#This Row],[Cum_deaths]]*NOT(ISBLANK(Tabella211[[#This Row],[Cum_deaths]]))</f>
        <v>2158</v>
      </c>
      <c r="Z29" s="50">
        <f>Kh/(1+EXP(-(Tabella211[[#This Row],[Day]]-t0h)/wh))</f>
        <v>2310.1560003016793</v>
      </c>
      <c r="AA29" s="10">
        <f>Tabella211[[#This Row],[Cum_D_fit]]*(1-Tabella211[[#This Row],[Cum_D_fit]]/Kh)/wh</f>
        <v>329.42081140598975</v>
      </c>
      <c r="AB29" s="64">
        <f>Tabella211[[#This Row],[Cum_D_fit]]*NOT(ISBLANK(Tabella211[[#This Row],[Cum_deaths]]))</f>
        <v>2310.1560003016793</v>
      </c>
      <c r="AC29" s="10">
        <f>Tabella211[[#This Row],[Cum_D_fit]]+CIh</f>
        <v>2859.9331450432501</v>
      </c>
      <c r="AD29" s="10">
        <f>MAX(Tabella211[[#This Row],[Cum_D_fit]]-CIh,0)</f>
        <v>1760.3788555601086</v>
      </c>
      <c r="AE29" s="1"/>
      <c r="AF29" s="88" t="s">
        <v>110</v>
      </c>
      <c r="AG29" s="113">
        <f>Kr</f>
        <v>145286.39577951675</v>
      </c>
      <c r="AT29" s="84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K/(1+EXP(-(Tabella211[[#This Row],[Day]]-t0)/w))</f>
        <v>32034.547432035135</v>
      </c>
      <c r="H30" s="10">
        <f>Tabella211[[#This Row],[Cum_fit]]*(1-Tabella211[[#This Row],[Cum_fit]]/K)/w</f>
        <v>3765.0868982792026</v>
      </c>
      <c r="I30" s="56">
        <f>Tabella211[[#This Row],[Cum_fit]]*NOT(ISBLANK(Tabella211[[#This Row],[Cum_confirmed]]))</f>
        <v>32034.547432035135</v>
      </c>
      <c r="J30" s="10">
        <f>Tabella211[[#This Row],[Cum_fit]]+CI</f>
        <v>37593.252048830596</v>
      </c>
      <c r="K30" s="10">
        <f>MAX(Tabella211[[#This Row],[Cum_fit]]-CI,0)</f>
        <v>26475.842815239674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3010.3977371377673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Kr/(1+EXP(-(Tabella211[[#This Row],[Day]]-t0r)/wr))</f>
        <v>4473.7145068068103</v>
      </c>
      <c r="S30" s="10">
        <f>Tabella211[[#This Row],[Cum_R_fit]]*(1-Tabella211[[#This Row],[Cum_R_fit]]/Kr)/wr</f>
        <v>382.00827254948797</v>
      </c>
      <c r="T30" s="60">
        <f>Tabella211[[#This Row],[Cum_R_fit]]*NOT(ISBLANK(Tabella211[[#This Row],[Cum_recov]]))</f>
        <v>4473.7145068068103</v>
      </c>
      <c r="U30" s="10">
        <f>Tabella211[[#This Row],[Cum_R_fit]]+CIr</f>
        <v>6823.800525815368</v>
      </c>
      <c r="V30" s="10">
        <f>MAX(Tabella211[[#This Row],[Cum_R_fit]]-CIr,0)</f>
        <v>2123.6284877982525</v>
      </c>
      <c r="W30" s="10">
        <f>'dpc-covid19-ita-andamento-naz'!K24</f>
        <v>2503</v>
      </c>
      <c r="X30" s="26">
        <f>Tabella211[[#This Row],[Cum_deaths]]-W29</f>
        <v>345</v>
      </c>
      <c r="Y30" s="64">
        <f>Tabella211[[#This Row],[Cum_deaths]]*NOT(ISBLANK(Tabella211[[#This Row],[Cum_deaths]]))</f>
        <v>2503</v>
      </c>
      <c r="Z30" s="50">
        <f>Kh/(1+EXP(-(Tabella211[[#This Row],[Day]]-t0h)/wh))</f>
        <v>2660.9105387646455</v>
      </c>
      <c r="AA30" s="10">
        <f>Tabella211[[#This Row],[Cum_D_fit]]*(1-Tabella211[[#This Row],[Cum_D_fit]]/Kh)/wh</f>
        <v>372.68088859194711</v>
      </c>
      <c r="AB30" s="64">
        <f>Tabella211[[#This Row],[Cum_D_fit]]*NOT(ISBLANK(Tabella211[[#This Row],[Cum_deaths]]))</f>
        <v>2660.9105387646455</v>
      </c>
      <c r="AC30" s="10">
        <f>Tabella211[[#This Row],[Cum_D_fit]]+CIh</f>
        <v>3210.6876835062162</v>
      </c>
      <c r="AD30" s="10">
        <f>MAX(Tabella211[[#This Row],[Cum_D_fit]]-CIh,0)</f>
        <v>2111.1333940230747</v>
      </c>
      <c r="AE30" s="1"/>
      <c r="AF30" s="88"/>
      <c r="AG30" s="89"/>
      <c r="AT30" s="84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K/(1+EXP(-(Tabella211[[#This Row],[Day]]-t0)/w))</f>
        <v>35969.168252492986</v>
      </c>
      <c r="H31" s="10">
        <f>Tabella211[[#This Row],[Cum_fit]]*(1-Tabella211[[#This Row],[Cum_fit]]/K)/w</f>
        <v>4104.5553377923507</v>
      </c>
      <c r="I31" s="56">
        <f>Tabella211[[#This Row],[Cum_fit]]*NOT(ISBLANK(Tabella211[[#This Row],[Cum_confirmed]]))</f>
        <v>35969.168252492986</v>
      </c>
      <c r="J31" s="10">
        <f>Tabella211[[#This Row],[Cum_fit]]+CI</f>
        <v>41527.872869288447</v>
      </c>
      <c r="K31" s="10">
        <f>MAX(Tabella211[[#This Row],[Cum_fit]]-CI,0)</f>
        <v>30410.463635697524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3270.3689919253275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Kr/(1+EXP(-(Tabella211[[#This Row],[Day]]-t0r)/wr))</f>
        <v>4871.9266525997791</v>
      </c>
      <c r="S31" s="10">
        <f>Tabella211[[#This Row],[Cum_R_fit]]*(1-Tabella211[[#This Row],[Cum_R_fit]]/Kr)/wr</f>
        <v>414.8349488366303</v>
      </c>
      <c r="T31" s="60">
        <f>Tabella211[[#This Row],[Cum_R_fit]]*NOT(ISBLANK(Tabella211[[#This Row],[Cum_recov]]))</f>
        <v>4871.9266525997791</v>
      </c>
      <c r="U31" s="10">
        <f>Tabella211[[#This Row],[Cum_R_fit]]+CIr</f>
        <v>7222.0126716083369</v>
      </c>
      <c r="V31" s="10">
        <f>MAX(Tabella211[[#This Row],[Cum_R_fit]]-CIr,0)</f>
        <v>2521.8406335912214</v>
      </c>
      <c r="W31" s="10">
        <f>'dpc-covid19-ita-andamento-naz'!K25</f>
        <v>2978</v>
      </c>
      <c r="X31" s="26">
        <f>Tabella211[[#This Row],[Cum_deaths]]-W30</f>
        <v>475</v>
      </c>
      <c r="Y31" s="64">
        <f>Tabella211[[#This Row],[Cum_deaths]]*NOT(ISBLANK(Tabella211[[#This Row],[Cum_deaths]]))</f>
        <v>2978</v>
      </c>
      <c r="Z31" s="50">
        <f>Kh/(1+EXP(-(Tabella211[[#This Row],[Day]]-t0h)/wh))</f>
        <v>3056.656808492628</v>
      </c>
      <c r="AA31" s="10">
        <f>Tabella211[[#This Row],[Cum_D_fit]]*(1-Tabella211[[#This Row],[Cum_D_fit]]/Kh)/wh</f>
        <v>419.35139703039295</v>
      </c>
      <c r="AB31" s="64">
        <f>Tabella211[[#This Row],[Cum_D_fit]]*NOT(ISBLANK(Tabella211[[#This Row],[Cum_deaths]]))</f>
        <v>3056.656808492628</v>
      </c>
      <c r="AC31" s="10">
        <f>Tabella211[[#This Row],[Cum_D_fit]]+CIh</f>
        <v>3606.4339532341987</v>
      </c>
      <c r="AD31" s="10">
        <f>MAX(Tabella211[[#This Row],[Cum_D_fit]]-CIh,0)</f>
        <v>2506.8796637510573</v>
      </c>
      <c r="AE31" s="1"/>
      <c r="AF31" s="23" t="s">
        <v>53</v>
      </c>
      <c r="AG31" s="68" t="s">
        <v>55</v>
      </c>
      <c r="AT31" s="84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K/(1+EXP(-(Tabella211[[#This Row],[Day]]-t0)/w))</f>
        <v>40243.272255063785</v>
      </c>
      <c r="H32" s="10">
        <f>Tabella211[[#This Row],[Cum_fit]]*(1-Tabella211[[#This Row],[Cum_fit]]/K)/w</f>
        <v>4442.8270168779882</v>
      </c>
      <c r="I32" s="56">
        <f>Tabella211[[#This Row],[Cum_fit]]*NOT(ISBLANK(Tabella211[[#This Row],[Cum_confirmed]]))</f>
        <v>40243.272255063785</v>
      </c>
      <c r="J32" s="10">
        <f>Tabella211[[#This Row],[Cum_fit]]+CI</f>
        <v>45801.976871859246</v>
      </c>
      <c r="K32" s="10">
        <f>MAX(Tabella211[[#This Row],[Cum_fit]]-CI,0)</f>
        <v>34684.567638268323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3523.5627375804502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Kr/(1+EXP(-(Tabella211[[#This Row],[Day]]-t0r)/wr))</f>
        <v>5304.2490789165031</v>
      </c>
      <c r="S32" s="10">
        <f>Tabella211[[#This Row],[Cum_R_fit]]*(1-Tabella211[[#This Row],[Cum_R_fit]]/Kr)/wr</f>
        <v>450.25577608708812</v>
      </c>
      <c r="T32" s="60">
        <f>Tabella211[[#This Row],[Cum_R_fit]]*NOT(ISBLANK(Tabella211[[#This Row],[Cum_recov]]))</f>
        <v>5304.2490789165031</v>
      </c>
      <c r="U32" s="10">
        <f>Tabella211[[#This Row],[Cum_R_fit]]+CIr</f>
        <v>7654.3350979250608</v>
      </c>
      <c r="V32" s="10">
        <f>MAX(Tabella211[[#This Row],[Cum_R_fit]]-CIr,0)</f>
        <v>2954.1630599079454</v>
      </c>
      <c r="W32" s="10">
        <f>'dpc-covid19-ita-andamento-naz'!K26</f>
        <v>3405</v>
      </c>
      <c r="X32" s="26">
        <f>Tabella211[[#This Row],[Cum_deaths]]-W31</f>
        <v>427</v>
      </c>
      <c r="Y32" s="64">
        <f>Tabella211[[#This Row],[Cum_deaths]]*NOT(ISBLANK(Tabella211[[#This Row],[Cum_deaths]]))</f>
        <v>3405</v>
      </c>
      <c r="Z32" s="50">
        <f>Kh/(1+EXP(-(Tabella211[[#This Row],[Day]]-t0h)/wh))</f>
        <v>3500.6114768075613</v>
      </c>
      <c r="AA32" s="10">
        <f>Tabella211[[#This Row],[Cum_D_fit]]*(1-Tabella211[[#This Row],[Cum_D_fit]]/Kh)/wh</f>
        <v>469.00850321044976</v>
      </c>
      <c r="AB32" s="64">
        <f>Tabella211[[#This Row],[Cum_D_fit]]*NOT(ISBLANK(Tabella211[[#This Row],[Cum_deaths]]))</f>
        <v>3500.6114768075613</v>
      </c>
      <c r="AC32" s="10">
        <f>Tabella211[[#This Row],[Cum_D_fit]]+CIh</f>
        <v>4050.388621549132</v>
      </c>
      <c r="AD32" s="10">
        <f>MAX(Tabella211[[#This Row],[Cum_D_fit]]-CIh,0)</f>
        <v>2950.8343320659906</v>
      </c>
      <c r="AE32" s="1"/>
      <c r="AF32" s="69" t="s">
        <v>0</v>
      </c>
      <c r="AG32" s="96">
        <v>22008.445086268261</v>
      </c>
      <c r="AT32" s="84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K/(1+EXP(-(Tabella211[[#This Row],[Day]]-t0)/w))</f>
        <v>44851.798426307607</v>
      </c>
      <c r="H33" s="10">
        <f>Tabella211[[#This Row],[Cum_fit]]*(1-Tabella211[[#This Row],[Cum_fit]]/K)/w</f>
        <v>4771.995880002105</v>
      </c>
      <c r="I33" s="56">
        <f>Tabella211[[#This Row],[Cum_fit]]*NOT(ISBLANK(Tabella211[[#This Row],[Cum_confirmed]]))</f>
        <v>44851.798426307607</v>
      </c>
      <c r="J33" s="10">
        <f>Tabella211[[#This Row],[Cum_fit]]+CI</f>
        <v>50410.503043103068</v>
      </c>
      <c r="K33" s="10">
        <f>MAX(Tabella211[[#This Row],[Cum_fit]]-CI,0)</f>
        <v>39293.093809512146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3762.5673313379411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Kr/(1+EXP(-(Tabella211[[#This Row],[Day]]-t0r)/wr))</f>
        <v>5773.3573399295165</v>
      </c>
      <c r="S33" s="10">
        <f>Tabella211[[#This Row],[Cum_R_fit]]*(1-Tabella211[[#This Row],[Cum_R_fit]]/Kr)/wr</f>
        <v>488.43409255623203</v>
      </c>
      <c r="T33" s="60">
        <f>Tabella211[[#This Row],[Cum_R_fit]]*NOT(ISBLANK(Tabella211[[#This Row],[Cum_recov]]))</f>
        <v>5773.3573399295165</v>
      </c>
      <c r="U33" s="10">
        <f>Tabella211[[#This Row],[Cum_R_fit]]+CIr</f>
        <v>8123.4433589380742</v>
      </c>
      <c r="V33" s="10">
        <f>MAX(Tabella211[[#This Row],[Cum_R_fit]]-CIr,0)</f>
        <v>3423.2713209209587</v>
      </c>
      <c r="W33" s="10">
        <f>'dpc-covid19-ita-andamento-naz'!K27</f>
        <v>4032</v>
      </c>
      <c r="X33" s="26">
        <f>Tabella211[[#This Row],[Cum_deaths]]-W32</f>
        <v>627</v>
      </c>
      <c r="Y33" s="64">
        <f>Tabella211[[#This Row],[Cum_deaths]]*NOT(ISBLANK(Tabella211[[#This Row],[Cum_deaths]]))</f>
        <v>4032</v>
      </c>
      <c r="Z33" s="50">
        <f>Kh/(1+EXP(-(Tabella211[[#This Row],[Day]]-t0h)/wh))</f>
        <v>3995.4529953888382</v>
      </c>
      <c r="AA33" s="10">
        <f>Tabella211[[#This Row],[Cum_D_fit]]*(1-Tabella211[[#This Row],[Cum_D_fit]]/Kh)/wh</f>
        <v>520.99445610793168</v>
      </c>
      <c r="AB33" s="64">
        <f>Tabella211[[#This Row],[Cum_D_fit]]*NOT(ISBLANK(Tabella211[[#This Row],[Cum_deaths]]))</f>
        <v>3995.4529953888382</v>
      </c>
      <c r="AC33" s="10">
        <f>Tabella211[[#This Row],[Cum_D_fit]]+CIh</f>
        <v>4545.2301401304094</v>
      </c>
      <c r="AD33" s="10">
        <f>MAX(Tabella211[[#This Row],[Cum_D_fit]]-CIh,0)</f>
        <v>3445.6758506472675</v>
      </c>
      <c r="AE33" s="1"/>
      <c r="AF33" s="69" t="s">
        <v>86</v>
      </c>
      <c r="AG33" s="70">
        <v>34.45226803979525</v>
      </c>
      <c r="AT33" s="85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K/(1+EXP(-(Tabella211[[#This Row],[Day]]-t0)/w))</f>
        <v>49781.293720428774</v>
      </c>
      <c r="H34" s="10">
        <f>Tabella211[[#This Row],[Cum_fit]]*(1-Tabella211[[#This Row],[Cum_fit]]/K)/w</f>
        <v>5083.2351500132945</v>
      </c>
      <c r="I34" s="56">
        <f>Tabella211[[#This Row],[Cum_fit]]*NOT(ISBLANK(Tabella211[[#This Row],[Cum_confirmed]]))</f>
        <v>49781.293720428774</v>
      </c>
      <c r="J34" s="10">
        <f>Tabella211[[#This Row],[Cum_fit]]+CI</f>
        <v>55339.998337224235</v>
      </c>
      <c r="K34" s="10">
        <f>MAX(Tabella211[[#This Row],[Cum_fit]]-CI,0)</f>
        <v>44222.589103633312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3979.3068148643151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Kr/(1+EXP(-(Tabella211[[#This Row],[Day]]-t0r)/wr))</f>
        <v>6282.091687957166</v>
      </c>
      <c r="S34" s="10">
        <f>Tabella211[[#This Row],[Cum_R_fit]]*(1-Tabella211[[#This Row],[Cum_R_fit]]/Kr)/wr</f>
        <v>529.53570961277569</v>
      </c>
      <c r="T34" s="60">
        <f>Tabella211[[#This Row],[Cum_R_fit]]*NOT(ISBLANK(Tabella211[[#This Row],[Cum_recov]]))</f>
        <v>6282.091687957166</v>
      </c>
      <c r="U34" s="10">
        <f>Tabella211[[#This Row],[Cum_R_fit]]+CIr</f>
        <v>8632.1777069657237</v>
      </c>
      <c r="V34" s="10">
        <f>MAX(Tabella211[[#This Row],[Cum_R_fit]]-CIr,0)</f>
        <v>3932.0056689486082</v>
      </c>
      <c r="W34" s="10">
        <f>'dpc-covid19-ita-andamento-naz'!K28</f>
        <v>4825</v>
      </c>
      <c r="X34" s="26">
        <f>Tabella211[[#This Row],[Cum_deaths]]-W33</f>
        <v>793</v>
      </c>
      <c r="Y34" s="64">
        <f>Tabella211[[#This Row],[Cum_deaths]]*NOT(ISBLANK(Tabella211[[#This Row],[Cum_deaths]]))</f>
        <v>4825</v>
      </c>
      <c r="Z34" s="50">
        <f>Kh/(1+EXP(-(Tabella211[[#This Row],[Day]]-t0h)/wh))</f>
        <v>4543.0741296309052</v>
      </c>
      <c r="AA34" s="10">
        <f>Tabella211[[#This Row],[Cum_D_fit]]*(1-Tabella211[[#This Row],[Cum_D_fit]]/Kh)/wh</f>
        <v>574.39262553620392</v>
      </c>
      <c r="AB34" s="64">
        <f>Tabella211[[#This Row],[Cum_D_fit]]*NOT(ISBLANK(Tabella211[[#This Row],[Cum_deaths]]))</f>
        <v>4543.0741296309052</v>
      </c>
      <c r="AC34" s="10">
        <f>Tabella211[[#This Row],[Cum_D_fit]]+CIh</f>
        <v>5092.8512743724759</v>
      </c>
      <c r="AD34" s="10">
        <f>MAX(Tabella211[[#This Row],[Cum_D_fit]]-CIh,0)</f>
        <v>3993.2969848893345</v>
      </c>
      <c r="AE34" s="1"/>
      <c r="AF34" s="69" t="s">
        <v>1</v>
      </c>
      <c r="AG34" s="70">
        <v>6.2766718175071121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K/(1+EXP(-(Tabella211[[#This Row],[Day]]-t0)/w))</f>
        <v>55009.168560036727</v>
      </c>
      <c r="H35" s="10">
        <f>Tabella211[[#This Row],[Cum_fit]]*(1-Tabella211[[#This Row],[Cum_fit]]/K)/w</f>
        <v>5367.1719669993972</v>
      </c>
      <c r="I35" s="56">
        <f>Tabella211[[#This Row],[Cum_fit]]*NOT(ISBLANK(Tabella211[[#This Row],[Cum_confirmed]]))</f>
        <v>55009.168560036727</v>
      </c>
      <c r="J35" s="10">
        <f>Tabella211[[#This Row],[Cum_fit]]+CI</f>
        <v>60567.873176832189</v>
      </c>
      <c r="K35" s="10">
        <f>MAX(Tabella211[[#This Row],[Cum_fit]]-CI,0)</f>
        <v>49450.463943241266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4165.4256218232485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Kr/(1+EXP(-(Tabella211[[#This Row],[Day]]-t0r)/wr))</f>
        <v>6833.4587491674474</v>
      </c>
      <c r="S35" s="10">
        <f>Tabella211[[#This Row],[Cum_R_fit]]*(1-Tabella211[[#This Row],[Cum_R_fit]]/Kr)/wr</f>
        <v>573.72725805638493</v>
      </c>
      <c r="T35" s="60">
        <f>Tabella211[[#This Row],[Cum_R_fit]]*NOT(ISBLANK(Tabella211[[#This Row],[Cum_recov]]))</f>
        <v>6833.4587491674474</v>
      </c>
      <c r="U35" s="10">
        <f>Tabella211[[#This Row],[Cum_R_fit]]+CIr</f>
        <v>9183.5447681760052</v>
      </c>
      <c r="V35" s="10">
        <f>MAX(Tabella211[[#This Row],[Cum_R_fit]]-CIr,0)</f>
        <v>4483.3727301588897</v>
      </c>
      <c r="W35" s="10">
        <f>'dpc-covid19-ita-andamento-naz'!K29</f>
        <v>5476</v>
      </c>
      <c r="X35" s="26">
        <f>Tabella211[[#This Row],[Cum_deaths]]-W34</f>
        <v>651</v>
      </c>
      <c r="Y35" s="64">
        <f>Tabella211[[#This Row],[Cum_deaths]]*NOT(ISBLANK(Tabella211[[#This Row],[Cum_deaths]]))</f>
        <v>5476</v>
      </c>
      <c r="Z35" s="50">
        <f>Kh/(1+EXP(-(Tabella211[[#This Row],[Day]]-t0h)/wh))</f>
        <v>5144.3171821646465</v>
      </c>
      <c r="AA35" s="10">
        <f>Tabella211[[#This Row],[Cum_D_fit]]*(1-Tabella211[[#This Row],[Cum_D_fit]]/Kh)/wh</f>
        <v>628.01908711976409</v>
      </c>
      <c r="AB35" s="64">
        <f>Tabella211[[#This Row],[Cum_D_fit]]*NOT(ISBLANK(Tabella211[[#This Row],[Cum_deaths]]))</f>
        <v>5144.3171821646465</v>
      </c>
      <c r="AC35" s="10">
        <f>Tabella211[[#This Row],[Cum_D_fit]]+CIh</f>
        <v>5694.0943269062172</v>
      </c>
      <c r="AD35" s="10">
        <f>MAX(Tabella211[[#This Row],[Cum_D_fit]]-CIh,0)</f>
        <v>4594.5400374230758</v>
      </c>
      <c r="AF35" s="71" t="s">
        <v>2</v>
      </c>
      <c r="AG35" s="35">
        <f>AVERAGE(Tabella211[Cum_deaths])</f>
        <v>7039.3725490196075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K/(1+EXP(-(Tabella211[[#This Row],[Day]]-t0)/w))</f>
        <v>60503.390811237718</v>
      </c>
      <c r="H36" s="10">
        <f>Tabella211[[#This Row],[Cum_fit]]*(1-Tabella211[[#This Row],[Cum_fit]]/K)/w</f>
        <v>5614.3862112340112</v>
      </c>
      <c r="I36" s="56">
        <f>Tabella211[[#This Row],[Cum_fit]]*NOT(ISBLANK(Tabella211[[#This Row],[Cum_confirmed]]))</f>
        <v>60503.390811237718</v>
      </c>
      <c r="J36" s="10">
        <f>Tabella211[[#This Row],[Cum_fit]]+CI</f>
        <v>66062.095428033179</v>
      </c>
      <c r="K36" s="10">
        <f>MAX(Tabella211[[#This Row],[Cum_fit]]-CI,0)</f>
        <v>54944.686194442256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4312.7739431790105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Kr/(1+EXP(-(Tabella211[[#This Row],[Day]]-t0r)/wr))</f>
        <v>7430.6313616807702</v>
      </c>
      <c r="S36" s="10">
        <f>Tabella211[[#This Row],[Cum_R_fit]]*(1-Tabella211[[#This Row],[Cum_R_fit]]/Kr)/wr</f>
        <v>621.17415924849831</v>
      </c>
      <c r="T36" s="60">
        <f>Tabella211[[#This Row],[Cum_R_fit]]*NOT(ISBLANK(Tabella211[[#This Row],[Cum_recov]]))</f>
        <v>7430.6313616807702</v>
      </c>
      <c r="U36" s="10">
        <f>Tabella211[[#This Row],[Cum_R_fit]]+CIr</f>
        <v>9780.7173806893279</v>
      </c>
      <c r="V36" s="10">
        <f>MAX(Tabella211[[#This Row],[Cum_R_fit]]-CIr,0)</f>
        <v>5080.5453426722124</v>
      </c>
      <c r="W36" s="10">
        <f>'dpc-covid19-ita-andamento-naz'!K30</f>
        <v>6077</v>
      </c>
      <c r="X36" s="26">
        <f>Tabella211[[#This Row],[Cum_deaths]]-W35</f>
        <v>601</v>
      </c>
      <c r="Y36" s="64">
        <f>Tabella211[[#This Row],[Cum_deaths]]*NOT(ISBLANK(Tabella211[[#This Row],[Cum_deaths]]))</f>
        <v>6077</v>
      </c>
      <c r="Z36" s="50">
        <f>Kh/(1+EXP(-(Tabella211[[#This Row],[Day]]-t0h)/wh))</f>
        <v>5798.7121600968285</v>
      </c>
      <c r="AA36" s="10">
        <f>Tabella211[[#This Row],[Cum_D_fit]]*(1-Tabella211[[#This Row],[Cum_D_fit]]/Kh)/wh</f>
        <v>680.43810880650244</v>
      </c>
      <c r="AB36" s="64">
        <f>Tabella211[[#This Row],[Cum_D_fit]]*NOT(ISBLANK(Tabella211[[#This Row],[Cum_deaths]]))</f>
        <v>5798.7121600968285</v>
      </c>
      <c r="AC36" s="10">
        <f>Tabella211[[#This Row],[Cum_D_fit]]+CIh</f>
        <v>6348.4893048383992</v>
      </c>
      <c r="AD36" s="10">
        <f>MAX(Tabella211[[#This Row],[Cum_D_fit]]-CIh,0)</f>
        <v>5248.9350153552577</v>
      </c>
      <c r="AF36" s="71" t="s">
        <v>3</v>
      </c>
      <c r="AG36" s="35">
        <f>COUNT(Tabella211[Cum_deaths])-COUNT(AG32:AG34)</f>
        <v>48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K/(1+EXP(-(Tabella211[[#This Row],[Day]]-t0)/w))</f>
        <v>66222.728207862558</v>
      </c>
      <c r="H37" s="10">
        <f>Tabella211[[#This Row],[Cum_fit]]*(1-Tabella211[[#This Row],[Cum_fit]]/K)/w</f>
        <v>5816.0013450761107</v>
      </c>
      <c r="I37" s="56">
        <f>Tabella211[[#This Row],[Cum_fit]]*NOT(ISBLANK(Tabella211[[#This Row],[Cum_confirmed]]))</f>
        <v>66222.728207862558</v>
      </c>
      <c r="J37" s="10">
        <f>Tabella211[[#This Row],[Cum_fit]]+CI</f>
        <v>71781.432824658026</v>
      </c>
      <c r="K37" s="10">
        <f>MAX(Tabella211[[#This Row],[Cum_fit]]-CI,0)</f>
        <v>60664.023591067096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4413.9554081363558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Kr/(1+EXP(-(Tabella211[[#This Row],[Day]]-t0r)/wr))</f>
        <v>8076.9461788073468</v>
      </c>
      <c r="S37" s="10">
        <f>Tabella211[[#This Row],[Cum_R_fit]]*(1-Tabella211[[#This Row],[Cum_R_fit]]/Kr)/wr</f>
        <v>672.03817692548398</v>
      </c>
      <c r="T37" s="60">
        <f>Tabella211[[#This Row],[Cum_R_fit]]*NOT(ISBLANK(Tabella211[[#This Row],[Cum_recov]]))</f>
        <v>8076.9461788073468</v>
      </c>
      <c r="U37" s="10">
        <f>Tabella211[[#This Row],[Cum_R_fit]]+CIr</f>
        <v>10427.032197815905</v>
      </c>
      <c r="V37" s="10">
        <f>MAX(Tabella211[[#This Row],[Cum_R_fit]]-CIr,0)</f>
        <v>5726.860159798789</v>
      </c>
      <c r="W37" s="10">
        <f>'dpc-covid19-ita-andamento-naz'!K31</f>
        <v>6820</v>
      </c>
      <c r="X37" s="26">
        <f>Tabella211[[#This Row],[Cum_deaths]]-W36</f>
        <v>743</v>
      </c>
      <c r="Y37" s="64">
        <f>Tabella211[[#This Row],[Cum_deaths]]*NOT(ISBLANK(Tabella211[[#This Row],[Cum_deaths]]))</f>
        <v>6820</v>
      </c>
      <c r="Z37" s="50">
        <f>Kh/(1+EXP(-(Tabella211[[#This Row],[Day]]-t0h)/wh))</f>
        <v>6504.2450668120855</v>
      </c>
      <c r="AA37" s="10">
        <f>Tabella211[[#This Row],[Cum_D_fit]]*(1-Tabella211[[#This Row],[Cum_D_fit]]/Kh)/wh</f>
        <v>730.00776001427096</v>
      </c>
      <c r="AB37" s="64">
        <f>Tabella211[[#This Row],[Cum_D_fit]]*NOT(ISBLANK(Tabella211[[#This Row],[Cum_deaths]]))</f>
        <v>6504.2450668120855</v>
      </c>
      <c r="AC37" s="10">
        <f>Tabella211[[#This Row],[Cum_D_fit]]+CIh</f>
        <v>7054.0222115536562</v>
      </c>
      <c r="AD37" s="10">
        <f>MAX(Tabella211[[#This Row],[Cum_D_fit]]-CIh,0)</f>
        <v>5954.4679220705148</v>
      </c>
      <c r="AF37" s="71" t="s">
        <v>4</v>
      </c>
      <c r="AG37" s="72" cm="1">
        <f t="array" ref="AG37">SQRT(SUM((Tabella211[Colonna5]-Tabella211[Colonna6])^2)/dfh)</f>
        <v>273.4346169322111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K/(1+EXP(-(Tabella211[[#This Row],[Day]]-t0)/w))</f>
        <v>72117.60606253671</v>
      </c>
      <c r="H38" s="10">
        <f>Tabella211[[#This Row],[Cum_fit]]*(1-Tabella211[[#This Row],[Cum_fit]]/K)/w</f>
        <v>5964.3136093834419</v>
      </c>
      <c r="I38" s="56">
        <f>Tabella211[[#This Row],[Cum_fit]]*NOT(ISBLANK(Tabella211[[#This Row],[Cum_confirmed]]))</f>
        <v>72117.60606253671</v>
      </c>
      <c r="J38" s="10">
        <f>Tabella211[[#This Row],[Cum_fit]]+CI</f>
        <v>77676.310679332179</v>
      </c>
      <c r="K38" s="10">
        <f>MAX(Tabella211[[#This Row],[Cum_fit]]-CI,0)</f>
        <v>66558.901445741241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4462.8802655942382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Kr/(1+EXP(-(Tabella211[[#This Row],[Day]]-t0r)/wr))</f>
        <v>8775.8985963886571</v>
      </c>
      <c r="S38" s="10">
        <f>Tabella211[[#This Row],[Cum_R_fit]]*(1-Tabella211[[#This Row],[Cum_R_fit]]/Kr)/wr</f>
        <v>726.47450660237712</v>
      </c>
      <c r="T38" s="60">
        <f>Tabella211[[#This Row],[Cum_R_fit]]*NOT(ISBLANK(Tabella211[[#This Row],[Cum_recov]]))</f>
        <v>8775.8985963886571</v>
      </c>
      <c r="U38" s="10">
        <f>Tabella211[[#This Row],[Cum_R_fit]]+CIr</f>
        <v>11125.984615397214</v>
      </c>
      <c r="V38" s="10">
        <f>MAX(Tabella211[[#This Row],[Cum_R_fit]]-CIr,0)</f>
        <v>6425.8125773800994</v>
      </c>
      <c r="W38" s="10">
        <f>'dpc-covid19-ita-andamento-naz'!K32</f>
        <v>7503</v>
      </c>
      <c r="X38" s="26">
        <f>Tabella211[[#This Row],[Cum_deaths]]-W37</f>
        <v>683</v>
      </c>
      <c r="Y38" s="64">
        <f>Tabella211[[#This Row],[Cum_deaths]]*NOT(ISBLANK(Tabella211[[#This Row],[Cum_deaths]]))</f>
        <v>7503</v>
      </c>
      <c r="Z38" s="50">
        <f>Kh/(1+EXP(-(Tabella211[[#This Row],[Day]]-t0h)/wh))</f>
        <v>7257.1883745598343</v>
      </c>
      <c r="AA38" s="10">
        <f>Tabella211[[#This Row],[Cum_D_fit]]*(1-Tabella211[[#This Row],[Cum_D_fit]]/Kh)/wh</f>
        <v>774.95883718682717</v>
      </c>
      <c r="AB38" s="64">
        <f>Tabella211[[#This Row],[Cum_D_fit]]*NOT(ISBLANK(Tabella211[[#This Row],[Cum_deaths]]))</f>
        <v>7257.1883745598343</v>
      </c>
      <c r="AC38" s="10">
        <f>Tabella211[[#This Row],[Cum_D_fit]]+CIh</f>
        <v>7806.965519301405</v>
      </c>
      <c r="AD38" s="10">
        <f>MAX(Tabella211[[#This Row],[Cum_D_fit]]-CIh,0)</f>
        <v>6707.4112298182636</v>
      </c>
      <c r="AF38" s="71" t="s">
        <v>87</v>
      </c>
      <c r="AG38" s="73" cm="1">
        <f t="array" ref="AG38">1-SUM((Tabella211[Colonna5]-Tabella211[Colonna6])^2)/SUM((Tabella211[Colonna5]-Mean_of_yh)^2)</f>
        <v>0.99901562777988129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K/(1+EXP(-(Tabella211[[#This Row],[Day]]-t0)/w))</f>
        <v>78131.584700509353</v>
      </c>
      <c r="H39" s="10">
        <f>Tabella211[[#This Row],[Cum_fit]]*(1-Tabella211[[#This Row],[Cum_fit]]/K)/w</f>
        <v>6053.389779617045</v>
      </c>
      <c r="I39" s="56">
        <f>Tabella211[[#This Row],[Cum_fit]]*NOT(ISBLANK(Tabella211[[#This Row],[Cum_confirmed]]))</f>
        <v>78131.584700509353</v>
      </c>
      <c r="J39" s="10">
        <f>Tabella211[[#This Row],[Cum_fit]]+CI</f>
        <v>83690.289317304821</v>
      </c>
      <c r="K39" s="10">
        <f>MAX(Tabella211[[#This Row],[Cum_fit]]-CI,0)</f>
        <v>72572.880083713884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4455.2560883108599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Kr/(1+EXP(-(Tabella211[[#This Row],[Day]]-t0r)/wr))</f>
        <v>9531.1345215073652</v>
      </c>
      <c r="S39" s="10">
        <f>Tabella211[[#This Row],[Cum_R_fit]]*(1-Tabella211[[#This Row],[Cum_R_fit]]/Kr)/wr</f>
        <v>784.62836265333249</v>
      </c>
      <c r="T39" s="60">
        <f>Tabella211[[#This Row],[Cum_R_fit]]*NOT(ISBLANK(Tabella211[[#This Row],[Cum_recov]]))</f>
        <v>9531.1345215073652</v>
      </c>
      <c r="U39" s="10">
        <f>Tabella211[[#This Row],[Cum_R_fit]]+CIr</f>
        <v>11881.220540515922</v>
      </c>
      <c r="V39" s="10">
        <f>MAX(Tabella211[[#This Row],[Cum_R_fit]]-CIr,0)</f>
        <v>7181.0485024988075</v>
      </c>
      <c r="W39" s="10">
        <f>'dpc-covid19-ita-andamento-naz'!K33</f>
        <v>8165</v>
      </c>
      <c r="X39" s="26">
        <f>Tabella211[[#This Row],[Cum_deaths]]-W38</f>
        <v>662</v>
      </c>
      <c r="Y39" s="64">
        <f>Tabella211[[#This Row],[Cum_deaths]]*NOT(ISBLANK(Tabella211[[#This Row],[Cum_deaths]]))</f>
        <v>8165</v>
      </c>
      <c r="Z39" s="50">
        <f>Kh/(1+EXP(-(Tabella211[[#This Row],[Day]]-t0h)/wh))</f>
        <v>8052.0265911395682</v>
      </c>
      <c r="AA39" s="10">
        <f>Tabella211[[#This Row],[Cum_D_fit]]*(1-Tabella211[[#This Row],[Cum_D_fit]]/Kh)/wh</f>
        <v>813.50532865285288</v>
      </c>
      <c r="AB39" s="64">
        <f>Tabella211[[#This Row],[Cum_D_fit]]*NOT(ISBLANK(Tabella211[[#This Row],[Cum_deaths]]))</f>
        <v>8052.0265911395682</v>
      </c>
      <c r="AC39" s="10">
        <f>Tabella211[[#This Row],[Cum_D_fit]]+CIh</f>
        <v>8601.8037358811398</v>
      </c>
      <c r="AD39" s="10">
        <f>MAX(Tabella211[[#This Row],[Cum_D_fit]]-CIh,0)</f>
        <v>7502.2494463979974</v>
      </c>
      <c r="AF39" s="71" t="s">
        <v>6</v>
      </c>
      <c r="AG39" s="73">
        <f>TINV(0.05,dfh)</f>
        <v>2.0106347576242314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K/(1+EXP(-(Tabella211[[#This Row],[Day]]-t0)/w))</f>
        <v>84203.387360425142</v>
      </c>
      <c r="H40" s="10">
        <f>Tabella211[[#This Row],[Cum_fit]]*(1-Tabella211[[#This Row],[Cum_fit]]/K)/w</f>
        <v>6079.5579839989123</v>
      </c>
      <c r="I40" s="56">
        <f>Tabella211[[#This Row],[Cum_fit]]*NOT(ISBLANK(Tabella211[[#This Row],[Cum_confirmed]]))</f>
        <v>84203.387360425142</v>
      </c>
      <c r="J40" s="10">
        <f>Tabella211[[#This Row],[Cum_fit]]+CI</f>
        <v>89762.091977220611</v>
      </c>
      <c r="K40" s="10">
        <f>MAX(Tabella211[[#This Row],[Cum_fit]]-CI,0)</f>
        <v>78644.682743629673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4388.9486460142025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Kr/(1+EXP(-(Tabella211[[#This Row],[Day]]-t0r)/wr))</f>
        <v>10346.438462619903</v>
      </c>
      <c r="S40" s="10">
        <f>Tabella211[[#This Row],[Cum_R_fit]]*(1-Tabella211[[#This Row],[Cum_R_fit]]/Kr)/wr</f>
        <v>846.63102907274163</v>
      </c>
      <c r="T40" s="60">
        <f>Tabella211[[#This Row],[Cum_R_fit]]*NOT(ISBLANK(Tabella211[[#This Row],[Cum_recov]]))</f>
        <v>10346.438462619903</v>
      </c>
      <c r="U40" s="10">
        <f>Tabella211[[#This Row],[Cum_R_fit]]+CIr</f>
        <v>12696.524481628461</v>
      </c>
      <c r="V40" s="10">
        <f>MAX(Tabella211[[#This Row],[Cum_R_fit]]-CIr,0)</f>
        <v>7996.3524436113448</v>
      </c>
      <c r="W40" s="10">
        <f>'dpc-covid19-ita-andamento-naz'!K34</f>
        <v>9134</v>
      </c>
      <c r="X40" s="26">
        <f>Tabella211[[#This Row],[Cum_deaths]]-W39</f>
        <v>969</v>
      </c>
      <c r="Y40" s="64">
        <f>Tabella211[[#This Row],[Cum_deaths]]*NOT(ISBLANK(Tabella211[[#This Row],[Cum_deaths]]))</f>
        <v>9134</v>
      </c>
      <c r="Z40" s="50">
        <f>Kh/(1+EXP(-(Tabella211[[#This Row],[Day]]-t0h)/wh))</f>
        <v>8881.5049603855114</v>
      </c>
      <c r="AA40" s="10">
        <f>Tabella211[[#This Row],[Cum_D_fit]]*(1-Tabella211[[#This Row],[Cum_D_fit]]/Kh)/wh</f>
        <v>843.97830891196861</v>
      </c>
      <c r="AB40" s="64">
        <f>Tabella211[[#This Row],[Cum_D_fit]]*NOT(ISBLANK(Tabella211[[#This Row],[Cum_deaths]]))</f>
        <v>8881.5049603855114</v>
      </c>
      <c r="AC40" s="10">
        <f>Tabella211[[#This Row],[Cum_D_fit]]+CIh</f>
        <v>9431.2821051270821</v>
      </c>
      <c r="AD40" s="10">
        <f>MAX(Tabella211[[#This Row],[Cum_D_fit]]-CIh,0)</f>
        <v>8331.7278156439406</v>
      </c>
      <c r="AF40" s="71" t="s">
        <v>7</v>
      </c>
      <c r="AG40" s="35">
        <f>Critical_th*SE_of_yh</f>
        <v>549.77714474157085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K/(1+EXP(-(Tabella211[[#This Row],[Day]]-t0)/w))</f>
        <v>90269.336603474425</v>
      </c>
      <c r="H41" s="10">
        <f>Tabella211[[#This Row],[Cum_fit]]*(1-Tabella211[[#This Row],[Cum_fit]]/K)/w</f>
        <v>6041.724072898458</v>
      </c>
      <c r="I41" s="56">
        <f>Tabella211[[#This Row],[Cum_fit]]*NOT(ISBLANK(Tabella211[[#This Row],[Cum_confirmed]]))</f>
        <v>90269.336603474425</v>
      </c>
      <c r="J41" s="10">
        <f>Tabella211[[#This Row],[Cum_fit]]+CI</f>
        <v>95828.041220269894</v>
      </c>
      <c r="K41" s="10">
        <f>MAX(Tabella211[[#This Row],[Cum_fit]]-CI,0)</f>
        <v>84710.631986678956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4264.1599700214319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Kr/(1+EXP(-(Tabella211[[#This Row],[Day]]-t0r)/wr))</f>
        <v>11225.717391517652</v>
      </c>
      <c r="S41" s="10">
        <f>Tabella211[[#This Row],[Cum_R_fit]]*(1-Tabella211[[#This Row],[Cum_R_fit]]/Kr)/wr</f>
        <v>912.59534924076365</v>
      </c>
      <c r="T41" s="60">
        <f>Tabella211[[#This Row],[Cum_R_fit]]*NOT(ISBLANK(Tabella211[[#This Row],[Cum_recov]]))</f>
        <v>11225.717391517652</v>
      </c>
      <c r="U41" s="10">
        <f>Tabella211[[#This Row],[Cum_R_fit]]+CIr</f>
        <v>13575.803410526209</v>
      </c>
      <c r="V41" s="10">
        <f>MAX(Tabella211[[#This Row],[Cum_R_fit]]-CIr,0)</f>
        <v>8875.6313725090949</v>
      </c>
      <c r="W41" s="10">
        <f>'dpc-covid19-ita-andamento-naz'!K35</f>
        <v>10023</v>
      </c>
      <c r="X41" s="26">
        <f>Tabella211[[#This Row],[Cum_deaths]]-W40</f>
        <v>889</v>
      </c>
      <c r="Y41" s="64">
        <f>Tabella211[[#This Row],[Cum_deaths]]*NOT(ISBLANK(Tabella211[[#This Row],[Cum_deaths]]))</f>
        <v>10023</v>
      </c>
      <c r="Z41" s="50">
        <f>Kh/(1+EXP(-(Tabella211[[#This Row],[Day]]-t0h)/wh))</f>
        <v>9736.817961937486</v>
      </c>
      <c r="AA41" s="10">
        <f>Tabella211[[#This Row],[Cum_D_fit]]*(1-Tabella211[[#This Row],[Cum_D_fit]]/Kh)/wh</f>
        <v>864.96875363626305</v>
      </c>
      <c r="AB41" s="64">
        <f>Tabella211[[#This Row],[Cum_D_fit]]*NOT(ISBLANK(Tabella211[[#This Row],[Cum_deaths]]))</f>
        <v>9736.817961937486</v>
      </c>
      <c r="AC41" s="10">
        <f>Tabella211[[#This Row],[Cum_D_fit]]+CIh</f>
        <v>10286.595106679057</v>
      </c>
      <c r="AD41" s="10">
        <f>MAX(Tabella211[[#This Row],[Cum_D_fit]]-CIh,0)</f>
        <v>9187.0408171959152</v>
      </c>
      <c r="AF41" s="34" t="s">
        <v>110</v>
      </c>
      <c r="AG41" s="35">
        <f>Kh</f>
        <v>22008.445086268261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K/(1+EXP(-(Tabella211[[#This Row],[Day]]-t0)/w))</f>
        <v>96265.999560046272</v>
      </c>
      <c r="H42" s="10">
        <f>Tabella211[[#This Row],[Cum_fit]]*(1-Tabella211[[#This Row],[Cum_fit]]/K)/w</f>
        <v>5941.4677034404349</v>
      </c>
      <c r="I42" s="56">
        <f>Tabella211[[#This Row],[Cum_fit]]*NOT(ISBLANK(Tabella211[[#This Row],[Cum_confirmed]]))</f>
        <v>96265.999560046272</v>
      </c>
      <c r="J42" s="10">
        <f>Tabella211[[#This Row],[Cum_fit]]+CI</f>
        <v>101824.70417684174</v>
      </c>
      <c r="K42" s="10">
        <f>MAX(Tabella211[[#This Row],[Cum_fit]]-CI,0)</f>
        <v>90707.294943250803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4083.3969603305609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Kr/(1+EXP(-(Tabella211[[#This Row],[Day]]-t0r)/wr))</f>
        <v>12172.979809184904</v>
      </c>
      <c r="S42" s="10">
        <f>Tabella211[[#This Row],[Cum_R_fit]]*(1-Tabella211[[#This Row],[Cum_R_fit]]/Kr)/wr</f>
        <v>982.61064343609257</v>
      </c>
      <c r="T42" s="60">
        <f>Tabella211[[#This Row],[Cum_R_fit]]*NOT(ISBLANK(Tabella211[[#This Row],[Cum_recov]]))</f>
        <v>12172.979809184904</v>
      </c>
      <c r="U42" s="10">
        <f>Tabella211[[#This Row],[Cum_R_fit]]+CIr</f>
        <v>14523.065828193463</v>
      </c>
      <c r="V42" s="10">
        <f>MAX(Tabella211[[#This Row],[Cum_R_fit]]-CIr,0)</f>
        <v>9822.8937901763456</v>
      </c>
      <c r="W42" s="10">
        <f>'dpc-covid19-ita-andamento-naz'!K36</f>
        <v>10779</v>
      </c>
      <c r="X42" s="26">
        <f>Tabella211[[#This Row],[Cum_deaths]]-W41</f>
        <v>756</v>
      </c>
      <c r="Y42" s="64">
        <f>Tabella211[[#This Row],[Cum_deaths]]*NOT(ISBLANK(Tabella211[[#This Row],[Cum_deaths]]))</f>
        <v>10779</v>
      </c>
      <c r="Z42" s="50">
        <f>Kh/(1+EXP(-(Tabella211[[#This Row],[Day]]-t0h)/wh))</f>
        <v>10607.937209995287</v>
      </c>
      <c r="AA42" s="10">
        <f>Tabella211[[#This Row],[Cum_D_fit]]*(1-Tabella211[[#This Row],[Cum_D_fit]]/Kh)/wh</f>
        <v>875.4600996737812</v>
      </c>
      <c r="AB42" s="64">
        <f>Tabella211[[#This Row],[Cum_D_fit]]*NOT(ISBLANK(Tabella211[[#This Row],[Cum_deaths]]))</f>
        <v>10607.937209995287</v>
      </c>
      <c r="AC42" s="10">
        <f>Tabella211[[#This Row],[Cum_D_fit]]+CIh</f>
        <v>11157.714354736858</v>
      </c>
      <c r="AD42" s="10">
        <f>MAX(Tabella211[[#This Row],[Cum_D_fit]]-CIh,0)</f>
        <v>10058.160065253716</v>
      </c>
      <c r="AF42" s="34"/>
      <c r="AG42" s="75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K/(1+EXP(-(Tabella211[[#This Row],[Day]]-t0)/w))</f>
        <v>102132.81171957769</v>
      </c>
      <c r="H43" s="10">
        <f>Tabella211[[#This Row],[Cum_fit]]*(1-Tabella211[[#This Row],[Cum_fit]]/K)/w</f>
        <v>5782.9038835635893</v>
      </c>
      <c r="I43" s="56">
        <f>Tabella211[[#This Row],[Cum_fit]]*NOT(ISBLANK(Tabella211[[#This Row],[Cum_confirmed]]))</f>
        <v>102132.81171957769</v>
      </c>
      <c r="J43" s="10">
        <f>Tabella211[[#This Row],[Cum_fit]]+CI</f>
        <v>107691.51633637316</v>
      </c>
      <c r="K43" s="10">
        <f>MAX(Tabella211[[#This Row],[Cum_fit]]-CI,0)</f>
        <v>96574.107102782218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3851.2366225192018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Kr/(1+EXP(-(Tabella211[[#This Row],[Day]]-t0r)/wr))</f>
        <v>13192.309445042749</v>
      </c>
      <c r="S43" s="10">
        <f>Tabella211[[#This Row],[Cum_R_fit]]*(1-Tabella211[[#This Row],[Cum_R_fit]]/Kr)/wr</f>
        <v>1056.7370610487144</v>
      </c>
      <c r="T43" s="60">
        <f>Tabella211[[#This Row],[Cum_R_fit]]*NOT(ISBLANK(Tabella211[[#This Row],[Cum_recov]]))</f>
        <v>13192.309445042749</v>
      </c>
      <c r="U43" s="10">
        <f>Tabella211[[#This Row],[Cum_R_fit]]+CIr</f>
        <v>15542.395464051307</v>
      </c>
      <c r="V43" s="10">
        <f>MAX(Tabella211[[#This Row],[Cum_R_fit]]-CIr,0)</f>
        <v>10842.22342603419</v>
      </c>
      <c r="W43" s="10">
        <f>'dpc-covid19-ita-andamento-naz'!K37</f>
        <v>11591</v>
      </c>
      <c r="X43" s="26">
        <f>Tabella211[[#This Row],[Cum_deaths]]-W42</f>
        <v>812</v>
      </c>
      <c r="Y43" s="64">
        <f>Tabella211[[#This Row],[Cum_deaths]]*NOT(ISBLANK(Tabella211[[#This Row],[Cum_deaths]]))</f>
        <v>11591</v>
      </c>
      <c r="Z43" s="50">
        <f>Kh/(1+EXP(-(Tabella211[[#This Row],[Day]]-t0h)/wh))</f>
        <v>11484.05823786391</v>
      </c>
      <c r="AA43" s="10">
        <f>Tabella211[[#This Row],[Cum_D_fit]]*(1-Tabella211[[#This Row],[Cum_D_fit]]/Kh)/wh</f>
        <v>874.93019999567343</v>
      </c>
      <c r="AB43" s="64">
        <f>Tabella211[[#This Row],[Cum_D_fit]]*NOT(ISBLANK(Tabella211[[#This Row],[Cum_deaths]]))</f>
        <v>11484.05823786391</v>
      </c>
      <c r="AC43" s="10">
        <f>Tabella211[[#This Row],[Cum_D_fit]]+CIh</f>
        <v>12033.835382605481</v>
      </c>
      <c r="AD43" s="10">
        <f>MAX(Tabella211[[#This Row],[Cum_D_fit]]-CIh,0)</f>
        <v>10934.281093122339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K/(1+EXP(-(Tabella211[[#This Row],[Day]]-t0)/w))</f>
        <v>107814.45214901217</v>
      </c>
      <c r="H44" s="10">
        <f>Tabella211[[#This Row],[Cum_fit]]*(1-Tabella211[[#This Row],[Cum_fit]]/K)/w</f>
        <v>5572.3304692391685</v>
      </c>
      <c r="I44" s="56">
        <f>Tabella211[[#This Row],[Cum_fit]]*NOT(ISBLANK(Tabella211[[#This Row],[Cum_confirmed]]))</f>
        <v>107814.45214901217</v>
      </c>
      <c r="J44" s="10">
        <f>Tabella211[[#This Row],[Cum_fit]]+CI</f>
        <v>113373.15676580764</v>
      </c>
      <c r="K44" s="10">
        <f>MAX(Tabella211[[#This Row],[Cum_fit]]-CI,0)</f>
        <v>102255.7475322167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3573.9254193137658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Kr/(1+EXP(-(Tabella211[[#This Row],[Day]]-t0r)/wr))</f>
        <v>14287.833037359867</v>
      </c>
      <c r="S44" s="10">
        <f>Tabella211[[#This Row],[Cum_R_fit]]*(1-Tabella211[[#This Row],[Cum_R_fit]]/Kr)/wr</f>
        <v>1134.9993980719921</v>
      </c>
      <c r="T44" s="60">
        <f>Tabella211[[#This Row],[Cum_R_fit]]*NOT(ISBLANK(Tabella211[[#This Row],[Cum_recov]]))</f>
        <v>14287.833037359867</v>
      </c>
      <c r="U44" s="10">
        <f>Tabella211[[#This Row],[Cum_R_fit]]+CIr</f>
        <v>16637.919056368424</v>
      </c>
      <c r="V44" s="10">
        <f>MAX(Tabella211[[#This Row],[Cum_R_fit]]-CIr,0)</f>
        <v>11937.747018351311</v>
      </c>
      <c r="W44" s="10">
        <f>'dpc-covid19-ita-andamento-naz'!K38</f>
        <v>12428</v>
      </c>
      <c r="X44" s="26">
        <f>Tabella211[[#This Row],[Cum_deaths]]-W43</f>
        <v>837</v>
      </c>
      <c r="Y44" s="64">
        <f>Tabella211[[#This Row],[Cum_deaths]]*NOT(ISBLANK(Tabella211[[#This Row],[Cum_deaths]]))</f>
        <v>12428</v>
      </c>
      <c r="Z44" s="50">
        <f>Kh/(1+EXP(-(Tabella211[[#This Row],[Day]]-t0h)/wh))</f>
        <v>12354.126584098609</v>
      </c>
      <c r="AA44" s="10">
        <f>Tabella211[[#This Row],[Cum_D_fit]]*(1-Tabella211[[#This Row],[Cum_D_fit]]/Kh)/wh</f>
        <v>863.40565185341075</v>
      </c>
      <c r="AB44" s="64">
        <f>Tabella211[[#This Row],[Cum_D_fit]]*NOT(ISBLANK(Tabella211[[#This Row],[Cum_deaths]]))</f>
        <v>12354.126584098609</v>
      </c>
      <c r="AC44" s="10">
        <f>Tabella211[[#This Row],[Cum_D_fit]]+CIh</f>
        <v>12903.90372884018</v>
      </c>
      <c r="AD44" s="10">
        <f>MAX(Tabella211[[#This Row],[Cum_D_fit]]-CIh,0)</f>
        <v>11804.349439357038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K/(1+EXP(-(Tabella211[[#This Row],[Day]]-t0)/w))</f>
        <v>113262.77930223847</v>
      </c>
      <c r="H45" s="10">
        <f>Tabella211[[#This Row],[Cum_fit]]*(1-Tabella211[[#This Row],[Cum_fit]]/K)/w</f>
        <v>5317.7123147462135</v>
      </c>
      <c r="I45" s="56">
        <f>Tabella211[[#This Row],[Cum_fit]]*NOT(ISBLANK(Tabella211[[#This Row],[Cum_confirmed]]))</f>
        <v>113262.77930223847</v>
      </c>
      <c r="J45" s="10">
        <f>Tabella211[[#This Row],[Cum_fit]]+CI</f>
        <v>118821.48391903394</v>
      </c>
      <c r="K45" s="10">
        <f>MAX(Tabella211[[#This Row],[Cum_fit]]-CI,0)</f>
        <v>107704.074685443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3258.872876778049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Kr/(1+EXP(-(Tabella211[[#This Row],[Day]]-t0r)/wr))</f>
        <v>15463.681687445762</v>
      </c>
      <c r="S45" s="10">
        <f>Tabella211[[#This Row],[Cum_R_fit]]*(1-Tabella211[[#This Row],[Cum_R_fit]]/Kr)/wr</f>
        <v>1217.3804399752346</v>
      </c>
      <c r="T45" s="60">
        <f>Tabella211[[#This Row],[Cum_R_fit]]*NOT(ISBLANK(Tabella211[[#This Row],[Cum_recov]]))</f>
        <v>15463.681687445762</v>
      </c>
      <c r="U45" s="10">
        <f>Tabella211[[#This Row],[Cum_R_fit]]+CIr</f>
        <v>17813.76770645432</v>
      </c>
      <c r="V45" s="10">
        <f>MAX(Tabella211[[#This Row],[Cum_R_fit]]-CIr,0)</f>
        <v>13113.595668437203</v>
      </c>
      <c r="W45" s="10">
        <f>'dpc-covid19-ita-andamento-naz'!K39</f>
        <v>13155</v>
      </c>
      <c r="X45" s="26">
        <f>Tabella211[[#This Row],[Cum_deaths]]-W44</f>
        <v>727</v>
      </c>
      <c r="Y45" s="64">
        <f>Tabella211[[#This Row],[Cum_deaths]]*NOT(ISBLANK(Tabella211[[#This Row],[Cum_deaths]]))</f>
        <v>13155</v>
      </c>
      <c r="Z45" s="50">
        <f>Kh/(1+EXP(-(Tabella211[[#This Row],[Day]]-t0h)/wh))</f>
        <v>13207.390037879733</v>
      </c>
      <c r="AA45" s="10">
        <f>Tabella211[[#This Row],[Cum_D_fit]]*(1-Tabella211[[#This Row],[Cum_D_fit]]/Kh)/wh</f>
        <v>841.45899799292999</v>
      </c>
      <c r="AB45" s="64">
        <f>Tabella211[[#This Row],[Cum_D_fit]]*NOT(ISBLANK(Tabella211[[#This Row],[Cum_deaths]]))</f>
        <v>13207.390037879733</v>
      </c>
      <c r="AC45" s="10">
        <f>Tabella211[[#This Row],[Cum_D_fit]]+CIh</f>
        <v>13757.167182621304</v>
      </c>
      <c r="AD45" s="10">
        <f>MAX(Tabella211[[#This Row],[Cum_D_fit]]-CIh,0)</f>
        <v>12657.612893138163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K/(1+EXP(-(Tabella211[[#This Row],[Day]]-t0)/w))</f>
        <v>118438.19804812952</v>
      </c>
      <c r="H46" s="10">
        <f>Tabella211[[#This Row],[Cum_fit]]*(1-Tabella211[[#This Row],[Cum_fit]]/K)/w</f>
        <v>5028.0721214658206</v>
      </c>
      <c r="I46" s="56">
        <f>Tabella211[[#This Row],[Cum_fit]]*NOT(ISBLANK(Tabella211[[#This Row],[Cum_confirmed]]))</f>
        <v>118438.19804812952</v>
      </c>
      <c r="J46" s="10">
        <f>Tabella211[[#This Row],[Cum_fit]]+CI</f>
        <v>123996.90266492499</v>
      </c>
      <c r="K46" s="10">
        <f>MAX(Tabella211[[#This Row],[Cum_fit]]-CI,0)</f>
        <v>112879.49343133405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2914.1088985379702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Kr/(1+EXP(-(Tabella211[[#This Row],[Day]]-t0r)/wr))</f>
        <v>16723.945357654746</v>
      </c>
      <c r="S46" s="10">
        <f>Tabella211[[#This Row],[Cum_R_fit]]*(1-Tabella211[[#This Row],[Cum_R_fit]]/Kr)/wr</f>
        <v>1303.813925701998</v>
      </c>
      <c r="T46" s="60">
        <f>Tabella211[[#This Row],[Cum_R_fit]]*NOT(ISBLANK(Tabella211[[#This Row],[Cum_recov]]))</f>
        <v>16723.945357654746</v>
      </c>
      <c r="U46" s="10">
        <f>Tabella211[[#This Row],[Cum_R_fit]]+CIr</f>
        <v>19074.031376663304</v>
      </c>
      <c r="V46" s="10">
        <f>MAX(Tabella211[[#This Row],[Cum_R_fit]]-CIr,0)</f>
        <v>14373.859338646187</v>
      </c>
      <c r="W46" s="10">
        <f>'dpc-covid19-ita-andamento-naz'!K40</f>
        <v>13915</v>
      </c>
      <c r="X46" s="26">
        <f>Tabella211[[#This Row],[Cum_deaths]]-W45</f>
        <v>760</v>
      </c>
      <c r="Y46" s="64">
        <f>Tabella211[[#This Row],[Cum_deaths]]*NOT(ISBLANK(Tabella211[[#This Row],[Cum_deaths]]))</f>
        <v>13915</v>
      </c>
      <c r="Z46" s="50">
        <f>Kh/(1+EXP(-(Tabella211[[#This Row],[Day]]-t0h)/wh))</f>
        <v>14033.919294548674</v>
      </c>
      <c r="AA46" s="10">
        <f>Tabella211[[#This Row],[Cum_D_fit]]*(1-Tabella211[[#This Row],[Cum_D_fit]]/Kh)/wh</f>
        <v>810.14929722585225</v>
      </c>
      <c r="AB46" s="64">
        <f>Tabella211[[#This Row],[Cum_D_fit]]*NOT(ISBLANK(Tabella211[[#This Row],[Cum_deaths]]))</f>
        <v>14033.919294548674</v>
      </c>
      <c r="AC46" s="10">
        <f>Tabella211[[#This Row],[Cum_D_fit]]+CIh</f>
        <v>14583.696439290245</v>
      </c>
      <c r="AD46" s="10">
        <f>MAX(Tabella211[[#This Row],[Cum_D_fit]]-CIh,0)</f>
        <v>13484.142149807103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K/(1+EXP(-(Tabella211[[#This Row],[Day]]-t0)/w))</f>
        <v>123310.40246903521</v>
      </c>
      <c r="H47" s="10">
        <f>Tabella211[[#This Row],[Cum_fit]]*(1-Tabella211[[#This Row],[Cum_fit]]/K)/w</f>
        <v>4712.8634035436762</v>
      </c>
      <c r="I47" s="56">
        <f>Tabella211[[#This Row],[Cum_fit]]*NOT(ISBLANK(Tabella211[[#This Row],[Cum_confirmed]]))</f>
        <v>123310.40246903521</v>
      </c>
      <c r="J47" s="10">
        <f>Tabella211[[#This Row],[Cum_fit]]+CI</f>
        <v>128869.10708583068</v>
      </c>
      <c r="K47" s="10">
        <f>MAX(Tabella211[[#This Row],[Cum_fit]]-CI,0)</f>
        <v>117751.69785223974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2547.769707716322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Kr/(1+EXP(-(Tabella211[[#This Row],[Day]]-t0r)/wr))</f>
        <v>18072.620199302866</v>
      </c>
      <c r="S47" s="10">
        <f>Tabella211[[#This Row],[Cum_R_fit]]*(1-Tabella211[[#This Row],[Cum_R_fit]]/Kr)/wr</f>
        <v>1394.1772701546311</v>
      </c>
      <c r="T47" s="60">
        <f>Tabella211[[#This Row],[Cum_R_fit]]*NOT(ISBLANK(Tabella211[[#This Row],[Cum_recov]]))</f>
        <v>18072.620199302866</v>
      </c>
      <c r="U47" s="10">
        <f>Tabella211[[#This Row],[Cum_R_fit]]+CIr</f>
        <v>20422.706218311425</v>
      </c>
      <c r="V47" s="10">
        <f>MAX(Tabella211[[#This Row],[Cum_R_fit]]-CIr,0)</f>
        <v>15722.534180294308</v>
      </c>
      <c r="W47" s="10">
        <f>'dpc-covid19-ita-andamento-naz'!K41</f>
        <v>14681</v>
      </c>
      <c r="X47" s="26">
        <f>Tabella211[[#This Row],[Cum_deaths]]-W46</f>
        <v>766</v>
      </c>
      <c r="Y47" s="64">
        <f>Tabella211[[#This Row],[Cum_deaths]]*NOT(ISBLANK(Tabella211[[#This Row],[Cum_deaths]]))</f>
        <v>14681</v>
      </c>
      <c r="Z47" s="50">
        <f>Kh/(1+EXP(-(Tabella211[[#This Row],[Day]]-t0h)/wh))</f>
        <v>14825.044827154848</v>
      </c>
      <c r="AA47" s="10">
        <f>Tabella211[[#This Row],[Cum_D_fit]]*(1-Tabella211[[#This Row],[Cum_D_fit]]/Kh)/wh</f>
        <v>770.91642567272322</v>
      </c>
      <c r="AB47" s="64">
        <f>Tabella211[[#This Row],[Cum_D_fit]]*NOT(ISBLANK(Tabella211[[#This Row],[Cum_deaths]]))</f>
        <v>14825.044827154848</v>
      </c>
      <c r="AC47" s="10">
        <f>Tabella211[[#This Row],[Cum_D_fit]]+CIh</f>
        <v>15374.821971896419</v>
      </c>
      <c r="AD47" s="10">
        <f>MAX(Tabella211[[#This Row],[Cum_D_fit]]-CIh,0)</f>
        <v>14275.267682413278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K/(1+EXP(-(Tabella211[[#This Row],[Day]]-t0)/w))</f>
        <v>127858.51142482595</v>
      </c>
      <c r="H48" s="10">
        <f>Tabella211[[#This Row],[Cum_fit]]*(1-Tabella211[[#This Row],[Cum_fit]]/K)/w</f>
        <v>4381.3930590311393</v>
      </c>
      <c r="I48" s="56">
        <f>Tabella211[[#This Row],[Cum_fit]]*NOT(ISBLANK(Tabella211[[#This Row],[Cum_confirmed]]))</f>
        <v>127858.51142482595</v>
      </c>
      <c r="J48" s="10">
        <f>Tabella211[[#This Row],[Cum_fit]]+CI</f>
        <v>133417.2160416214</v>
      </c>
      <c r="K48" s="10">
        <f>MAX(Tabella211[[#This Row],[Cum_fit]]-CI,0)</f>
        <v>122299.80680803048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2167.6621842829877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Kr/(1+EXP(-(Tabella211[[#This Row],[Day]]-t0r)/wr))</f>
        <v>19513.548557020844</v>
      </c>
      <c r="S48" s="10">
        <f>Tabella211[[#This Row],[Cum_R_fit]]*(1-Tabella211[[#This Row],[Cum_R_fit]]/Kr)/wr</f>
        <v>1488.2842294398579</v>
      </c>
      <c r="T48" s="60">
        <f>Tabella211[[#This Row],[Cum_R_fit]]*NOT(ISBLANK(Tabella211[[#This Row],[Cum_recov]]))</f>
        <v>19513.548557020844</v>
      </c>
      <c r="U48" s="10">
        <f>Tabella211[[#This Row],[Cum_R_fit]]+CIr</f>
        <v>21863.634576029403</v>
      </c>
      <c r="V48" s="10">
        <f>MAX(Tabella211[[#This Row],[Cum_R_fit]]-CIr,0)</f>
        <v>17163.462538012285</v>
      </c>
      <c r="W48" s="10">
        <f>'dpc-covid19-ita-andamento-naz'!K42</f>
        <v>15362</v>
      </c>
      <c r="X48" s="26">
        <f>Tabella211[[#This Row],[Cum_deaths]]-W47</f>
        <v>681</v>
      </c>
      <c r="Y48" s="64">
        <f>Tabella211[[#This Row],[Cum_deaths]]*NOT(ISBLANK(Tabella211[[#This Row],[Cum_deaths]]))</f>
        <v>15362</v>
      </c>
      <c r="Z48" s="50">
        <f>Kh/(1+EXP(-(Tabella211[[#This Row],[Day]]-t0h)/wh))</f>
        <v>15573.672039677866</v>
      </c>
      <c r="AA48" s="10">
        <f>Tabella211[[#This Row],[Cum_D_fit]]*(1-Tabella211[[#This Row],[Cum_D_fit]]/Kh)/wh</f>
        <v>725.44664530829368</v>
      </c>
      <c r="AB48" s="64">
        <f>Tabella211[[#This Row],[Cum_D_fit]]*NOT(ISBLANK(Tabella211[[#This Row],[Cum_deaths]]))</f>
        <v>15573.672039677866</v>
      </c>
      <c r="AC48" s="10">
        <f>Tabella211[[#This Row],[Cum_D_fit]]+CIh</f>
        <v>16123.449184419436</v>
      </c>
      <c r="AD48" s="10">
        <f>MAX(Tabella211[[#This Row],[Cum_D_fit]]-CIh,0)</f>
        <v>15023.894894936295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K/(1+EXP(-(Tabella211[[#This Row],[Day]]-t0)/w))</f>
        <v>132070.67319996018</v>
      </c>
      <c r="H49" s="10">
        <f>Tabella211[[#This Row],[Cum_fit]]*(1-Tabella211[[#This Row],[Cum_fit]]/K)/w</f>
        <v>4042.3435202572646</v>
      </c>
      <c r="I49" s="56">
        <f>Tabella211[[#This Row],[Cum_fit]]*NOT(ISBLANK(Tabella211[[#This Row],[Cum_confirmed]]))</f>
        <v>132070.67319996018</v>
      </c>
      <c r="J49" s="10">
        <f>Tabella211[[#This Row],[Cum_fit]]+CI</f>
        <v>137629.37781675564</v>
      </c>
      <c r="K49" s="10">
        <f>MAX(Tabella211[[#This Row],[Cum_fit]]-CI,0)</f>
        <v>126511.96858316471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1780.9359113429769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Kr/(1+EXP(-(Tabella211[[#This Row],[Day]]-t0r)/wr))</f>
        <v>21050.351705522186</v>
      </c>
      <c r="S49" s="10">
        <f>Tabella211[[#This Row],[Cum_R_fit]]*(1-Tabella211[[#This Row],[Cum_R_fit]]/Kr)/wr</f>
        <v>1585.8777440189833</v>
      </c>
      <c r="T49" s="60">
        <f>Tabella211[[#This Row],[Cum_R_fit]]*NOT(ISBLANK(Tabella211[[#This Row],[Cum_recov]]))</f>
        <v>21050.351705522186</v>
      </c>
      <c r="U49" s="10">
        <f>Tabella211[[#This Row],[Cum_R_fit]]+CIr</f>
        <v>23400.437724530744</v>
      </c>
      <c r="V49" s="10">
        <f>MAX(Tabella211[[#This Row],[Cum_R_fit]]-CIr,0)</f>
        <v>18700.265686513627</v>
      </c>
      <c r="W49" s="10">
        <f>'dpc-covid19-ita-andamento-naz'!K43</f>
        <v>15887</v>
      </c>
      <c r="X49" s="26">
        <f>Tabella211[[#This Row],[Cum_deaths]]-W48</f>
        <v>525</v>
      </c>
      <c r="Y49" s="64">
        <f>Tabella211[[#This Row],[Cum_deaths]]*NOT(ISBLANK(Tabella211[[#This Row],[Cum_deaths]]))</f>
        <v>15887</v>
      </c>
      <c r="Z49" s="50">
        <f>Kh/(1+EXP(-(Tabella211[[#This Row],[Day]]-t0h)/wh))</f>
        <v>16274.45613534282</v>
      </c>
      <c r="AA49" s="10">
        <f>Tabella211[[#This Row],[Cum_D_fit]]*(1-Tabella211[[#This Row],[Cum_D_fit]]/Kh)/wh</f>
        <v>675.52986489530451</v>
      </c>
      <c r="AB49" s="64">
        <f>Tabella211[[#This Row],[Cum_D_fit]]*NOT(ISBLANK(Tabella211[[#This Row],[Cum_deaths]]))</f>
        <v>16274.45613534282</v>
      </c>
      <c r="AC49" s="10">
        <f>Tabella211[[#This Row],[Cum_D_fit]]+CIh</f>
        <v>16824.233280084391</v>
      </c>
      <c r="AD49" s="10">
        <f>MAX(Tabella211[[#This Row],[Cum_D_fit]]-CIh,0)</f>
        <v>15724.678990601249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K/(1+EXP(-(Tabella211[[#This Row],[Day]]-t0)/w))</f>
        <v>135943.25471660061</v>
      </c>
      <c r="H50" s="10">
        <f>Tabella211[[#This Row],[Cum_fit]]*(1-Tabella211[[#This Row],[Cum_fit]]/K)/w</f>
        <v>3703.4225547976675</v>
      </c>
      <c r="I50" s="56">
        <f>Tabella211[[#This Row],[Cum_fit]]*NOT(ISBLANK(Tabella211[[#This Row],[Cum_confirmed]]))</f>
        <v>135943.25471660061</v>
      </c>
      <c r="J50" s="10">
        <f>Tabella211[[#This Row],[Cum_fit]]+CI</f>
        <v>141501.95933339608</v>
      </c>
      <c r="K50" s="10">
        <f>MAX(Tabella211[[#This Row],[Cum_fit]]-CI,0)</f>
        <v>130384.55009980514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1393.8718573410129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Kr/(1+EXP(-(Tabella211[[#This Row],[Day]]-t0r)/wr))</f>
        <v>22686.355636205695</v>
      </c>
      <c r="S50" s="10">
        <f>Tabella211[[#This Row],[Cum_R_fit]]*(1-Tabella211[[#This Row],[Cum_R_fit]]/Kr)/wr</f>
        <v>1686.6232475710904</v>
      </c>
      <c r="T50" s="60">
        <f>Tabella211[[#This Row],[Cum_R_fit]]*NOT(ISBLANK(Tabella211[[#This Row],[Cum_recov]]))</f>
        <v>22686.355636205695</v>
      </c>
      <c r="U50" s="10">
        <f>Tabella211[[#This Row],[Cum_R_fit]]+CIr</f>
        <v>25036.441655214254</v>
      </c>
      <c r="V50" s="10">
        <f>MAX(Tabella211[[#This Row],[Cum_R_fit]]-CIr,0)</f>
        <v>20336.269617197137</v>
      </c>
      <c r="W50" s="10">
        <f>'dpc-covid19-ita-andamento-naz'!K44</f>
        <v>16523</v>
      </c>
      <c r="X50" s="26">
        <f>Tabella211[[#This Row],[Cum_deaths]]-W49</f>
        <v>636</v>
      </c>
      <c r="Y50" s="64">
        <f>Tabella211[[#This Row],[Cum_deaths]]*NOT(ISBLANK(Tabella211[[#This Row],[Cum_deaths]]))</f>
        <v>16523</v>
      </c>
      <c r="Z50" s="50">
        <f>Kh/(1+EXP(-(Tabella211[[#This Row],[Day]]-t0h)/wh))</f>
        <v>16923.838115334325</v>
      </c>
      <c r="AA50" s="10">
        <f>Tabella211[[#This Row],[Cum_D_fit]]*(1-Tabella211[[#This Row],[Cum_D_fit]]/Kh)/wh</f>
        <v>622.92744988556433</v>
      </c>
      <c r="AB50" s="64">
        <f>Tabella211[[#This Row],[Cum_D_fit]]*NOT(ISBLANK(Tabella211[[#This Row],[Cum_deaths]]))</f>
        <v>16923.838115334325</v>
      </c>
      <c r="AC50" s="10">
        <f>Tabella211[[#This Row],[Cum_D_fit]]+CIh</f>
        <v>17473.615260075898</v>
      </c>
      <c r="AD50" s="10">
        <f>MAX(Tabella211[[#This Row],[Cum_D_fit]]-CIh,0)</f>
        <v>16374.060970592755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K/(1+EXP(-(Tabella211[[#This Row],[Day]]-t0)/w))</f>
        <v>139479.74799401569</v>
      </c>
      <c r="H51" s="10">
        <f>Tabella211[[#This Row],[Cum_fit]]*(1-Tabella211[[#This Row],[Cum_fit]]/K)/w</f>
        <v>3371.1474963617125</v>
      </c>
      <c r="I51" s="56">
        <f>Tabella211[[#This Row],[Cum_fit]]*NOT(ISBLANK(Tabella211[[#This Row],[Cum_confirmed]]))</f>
        <v>139479.74799401569</v>
      </c>
      <c r="J51" s="10">
        <f>Tabella211[[#This Row],[Cum_fit]]+CI</f>
        <v>145038.45261081116</v>
      </c>
      <c r="K51" s="10">
        <f>MAX(Tabella211[[#This Row],[Cum_fit]]-CI,0)</f>
        <v>133921.04337722022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1011.7801918917193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Kr/(1+EXP(-(Tabella211[[#This Row],[Day]]-t0r)/wr))</f>
        <v>24424.510524770005</v>
      </c>
      <c r="S51" s="10">
        <f>Tabella211[[#This Row],[Cum_R_fit]]*(1-Tabella211[[#This Row],[Cum_R_fit]]/Kr)/wr</f>
        <v>1790.1027807550145</v>
      </c>
      <c r="T51" s="60">
        <f>Tabella211[[#This Row],[Cum_R_fit]]*NOT(ISBLANK(Tabella211[[#This Row],[Cum_recov]]))</f>
        <v>24424.510524770005</v>
      </c>
      <c r="U51" s="10">
        <f>Tabella211[[#This Row],[Cum_R_fit]]+CIr</f>
        <v>26774.596543778564</v>
      </c>
      <c r="V51" s="10">
        <f>MAX(Tabella211[[#This Row],[Cum_R_fit]]-CIr,0)</f>
        <v>22074.424505761446</v>
      </c>
      <c r="W51" s="10">
        <f>'dpc-covid19-ita-andamento-naz'!K45</f>
        <v>17127</v>
      </c>
      <c r="X51" s="26">
        <f>Tabella211[[#This Row],[Cum_deaths]]-W50</f>
        <v>604</v>
      </c>
      <c r="Y51" s="64">
        <f>Tabella211[[#This Row],[Cum_deaths]]*NOT(ISBLANK(Tabella211[[#This Row],[Cum_deaths]]))</f>
        <v>17127</v>
      </c>
      <c r="Z51" s="50">
        <f>Kh/(1+EXP(-(Tabella211[[#This Row],[Day]]-t0h)/wh))</f>
        <v>17519.959931543584</v>
      </c>
      <c r="AA51" s="10">
        <f>Tabella211[[#This Row],[Cum_D_fit]]*(1-Tabella211[[#This Row],[Cum_D_fit]]/Kh)/wh</f>
        <v>569.26452371497874</v>
      </c>
      <c r="AB51" s="64">
        <f>Tabella211[[#This Row],[Cum_D_fit]]*NOT(ISBLANK(Tabella211[[#This Row],[Cum_deaths]]))</f>
        <v>17519.959931543584</v>
      </c>
      <c r="AC51" s="10">
        <f>Tabella211[[#This Row],[Cum_D_fit]]+CIh</f>
        <v>18069.737076285157</v>
      </c>
      <c r="AD51" s="10">
        <f>MAX(Tabella211[[#This Row],[Cum_D_fit]]-CIh,0)</f>
        <v>16970.182786802012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K/(1+EXP(-(Tabella211[[#This Row],[Day]]-t0)/w))</f>
        <v>142689.52432074895</v>
      </c>
      <c r="H52" s="10">
        <f>Tabella211[[#This Row],[Cum_fit]]*(1-Tabella211[[#This Row],[Cum_fit]]/K)/w</f>
        <v>3050.7536024826386</v>
      </c>
      <c r="I52" s="56">
        <f>Tabella211[[#This Row],[Cum_fit]]*NOT(ISBLANK(Tabella211[[#This Row],[Cum_confirmed]]))</f>
        <v>142689.52432074895</v>
      </c>
      <c r="J52" s="10">
        <f>Tabella211[[#This Row],[Cum_fit]]+CI</f>
        <v>148248.22893754442</v>
      </c>
      <c r="K52" s="10">
        <f>MAX(Tabella211[[#This Row],[Cum_fit]]-CI,0)</f>
        <v>137130.81970395349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638.98906982351934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Kr/(1+EXP(-(Tabella211[[#This Row],[Day]]-t0r)/wr))</f>
        <v>26267.304873860012</v>
      </c>
      <c r="S52" s="10">
        <f>Tabella211[[#This Row],[Cum_R_fit]]*(1-Tabella211[[#This Row],[Cum_R_fit]]/Kr)/wr</f>
        <v>1895.8102950889177</v>
      </c>
      <c r="T52" s="60">
        <f>Tabella211[[#This Row],[Cum_R_fit]]*NOT(ISBLANK(Tabella211[[#This Row],[Cum_recov]]))</f>
        <v>26267.304873860012</v>
      </c>
      <c r="U52" s="10">
        <f>Tabella211[[#This Row],[Cum_R_fit]]+CIr</f>
        <v>28617.390892868571</v>
      </c>
      <c r="V52" s="10">
        <f>MAX(Tabella211[[#This Row],[Cum_R_fit]]-CIr,0)</f>
        <v>23917.218854851453</v>
      </c>
      <c r="W52" s="10">
        <f>'dpc-covid19-ita-andamento-naz'!K46</f>
        <v>17669</v>
      </c>
      <c r="X52" s="26">
        <f>Tabella211[[#This Row],[Cum_deaths]]-W51</f>
        <v>542</v>
      </c>
      <c r="Y52" s="64">
        <f>Tabella211[[#This Row],[Cum_deaths]]*NOT(ISBLANK(Tabella211[[#This Row],[Cum_deaths]]))</f>
        <v>17669</v>
      </c>
      <c r="Z52" s="50">
        <f>Kh/(1+EXP(-(Tabella211[[#This Row],[Day]]-t0h)/wh))</f>
        <v>18062.487577031534</v>
      </c>
      <c r="AA52" s="10">
        <f>Tabella211[[#This Row],[Cum_D_fit]]*(1-Tabella211[[#This Row],[Cum_D_fit]]/Kh)/wh</f>
        <v>515.9542375702016</v>
      </c>
      <c r="AB52" s="64">
        <f>Tabella211[[#This Row],[Cum_D_fit]]*NOT(ISBLANK(Tabella211[[#This Row],[Cum_deaths]]))</f>
        <v>18062.487577031534</v>
      </c>
      <c r="AC52" s="10">
        <f>Tabella211[[#This Row],[Cum_D_fit]]+CIh</f>
        <v>18612.264721773106</v>
      </c>
      <c r="AD52" s="10">
        <f>MAX(Tabella211[[#This Row],[Cum_D_fit]]-CIh,0)</f>
        <v>17512.710432289961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K/(1+EXP(-(Tabella211[[#This Row],[Day]]-t0)/w))</f>
        <v>145586.55021415278</v>
      </c>
      <c r="H53" s="10">
        <f>Tabella211[[#This Row],[Cum_fit]]*(1-Tabella211[[#This Row],[Cum_fit]]/K)/w</f>
        <v>2746.2050976148244</v>
      </c>
      <c r="I53" s="56">
        <f>Tabella211[[#This Row],[Cum_fit]]*NOT(ISBLANK(Tabella211[[#This Row],[Cum_confirmed]]))</f>
        <v>145586.55021415278</v>
      </c>
      <c r="J53" s="10">
        <f>Tabella211[[#This Row],[Cum_fit]]+CI</f>
        <v>151145.25483094825</v>
      </c>
      <c r="K53" s="10">
        <f>MAX(Tabella211[[#This Row],[Cum_fit]]-CI,0)</f>
        <v>140027.84559735731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278.90129199643644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Kr/(1+EXP(-(Tabella211[[#This Row],[Day]]-t0r)/wr))</f>
        <v>28216.675728926431</v>
      </c>
      <c r="S53" s="10">
        <f>Tabella211[[#This Row],[Cum_R_fit]]*(1-Tabella211[[#This Row],[Cum_R_fit]]/Kr)/wr</f>
        <v>2003.1485678713905</v>
      </c>
      <c r="T53" s="60">
        <f>Tabella211[[#This Row],[Cum_R_fit]]*NOT(ISBLANK(Tabella211[[#This Row],[Cum_recov]]))</f>
        <v>28216.675728926431</v>
      </c>
      <c r="U53" s="10">
        <f>Tabella211[[#This Row],[Cum_R_fit]]+CIr</f>
        <v>30566.76174793499</v>
      </c>
      <c r="V53" s="10">
        <f>MAX(Tabella211[[#This Row],[Cum_R_fit]]-CIr,0)</f>
        <v>25866.589709917873</v>
      </c>
      <c r="W53" s="10">
        <f>'dpc-covid19-ita-andamento-naz'!K47</f>
        <v>18279</v>
      </c>
      <c r="X53" s="26">
        <f>Tabella211[[#This Row],[Cum_deaths]]-W52</f>
        <v>610</v>
      </c>
      <c r="Y53" s="64">
        <f>Tabella211[[#This Row],[Cum_deaths]]*NOT(ISBLANK(Tabella211[[#This Row],[Cum_deaths]]))</f>
        <v>18279</v>
      </c>
      <c r="Z53" s="50">
        <f>Kh/(1+EXP(-(Tabella211[[#This Row],[Day]]-t0h)/wh))</f>
        <v>18552.375170908163</v>
      </c>
      <c r="AA53" s="10">
        <f>Tabella211[[#This Row],[Cum_D_fit]]*(1-Tabella211[[#This Row],[Cum_D_fit]]/Kh)/wh</f>
        <v>464.15523774699744</v>
      </c>
      <c r="AB53" s="64">
        <f>Tabella211[[#This Row],[Cum_D_fit]]*NOT(ISBLANK(Tabella211[[#This Row],[Cum_deaths]]))</f>
        <v>18552.375170908163</v>
      </c>
      <c r="AC53" s="10">
        <f>Tabella211[[#This Row],[Cum_D_fit]]+CIh</f>
        <v>19102.152315649735</v>
      </c>
      <c r="AD53" s="10">
        <f>MAX(Tabella211[[#This Row],[Cum_D_fit]]-CIh,0)</f>
        <v>18002.59802616659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K/(1+EXP(-(Tabella211[[#This Row],[Day]]-t0)/w))</f>
        <v>148188.15476182848</v>
      </c>
      <c r="H54" s="10">
        <f>Tabella211[[#This Row],[Cum_fit]]*(1-Tabella211[[#This Row],[Cum_fit]]/K)/w</f>
        <v>2460.2823165237037</v>
      </c>
      <c r="I54" s="56">
        <f>Tabella211[[#This Row],[Cum_fit]]*NOT(ISBLANK(Tabella211[[#This Row],[Cum_confirmed]]))</f>
        <v>148188.15476182848</v>
      </c>
      <c r="J54" s="10">
        <f>Tabella211[[#This Row],[Cum_fit]]+CI</f>
        <v>153746.85937862395</v>
      </c>
      <c r="K54" s="10">
        <f>MAX(Tabella211[[#This Row],[Cum_fit]]-CI,0)</f>
        <v>142629.45014503301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-65.904612772771031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Kr/(1+EXP(-(Tabella211[[#This Row],[Day]]-t0r)/wr))</f>
        <v>30273.916797818241</v>
      </c>
      <c r="S54" s="10">
        <f>Tabella211[[#This Row],[Cum_R_fit]]*(1-Tabella211[[#This Row],[Cum_R_fit]]/Kr)/wr</f>
        <v>2111.4281687155403</v>
      </c>
      <c r="T54" s="60">
        <f>Tabella211[[#This Row],[Cum_R_fit]]*NOT(ISBLANK(Tabella211[[#This Row],[Cum_recov]]))</f>
        <v>30273.916797818241</v>
      </c>
      <c r="U54" s="10">
        <f>Tabella211[[#This Row],[Cum_R_fit]]+CIr</f>
        <v>32624.0028168268</v>
      </c>
      <c r="V54" s="10">
        <f>MAX(Tabella211[[#This Row],[Cum_R_fit]]-CIr,0)</f>
        <v>27923.830778809683</v>
      </c>
      <c r="W54" s="10">
        <f>'dpc-covid19-ita-andamento-naz'!K48</f>
        <v>18849</v>
      </c>
      <c r="X54" s="26">
        <f>Tabella211[[#This Row],[Cum_deaths]]-W53</f>
        <v>570</v>
      </c>
      <c r="Y54" s="64">
        <f>Tabella211[[#This Row],[Cum_deaths]]*NOT(ISBLANK(Tabella211[[#This Row],[Cum_deaths]]))</f>
        <v>18849</v>
      </c>
      <c r="Z54" s="50">
        <f>Kh/(1+EXP(-(Tabella211[[#This Row],[Day]]-t0h)/wh))</f>
        <v>18991.601770855625</v>
      </c>
      <c r="AA54" s="10">
        <f>Tabella211[[#This Row],[Cum_D_fit]]*(1-Tabella211[[#This Row],[Cum_D_fit]]/Kh)/wh</f>
        <v>414.75876058093439</v>
      </c>
      <c r="AB54" s="64">
        <f>Tabella211[[#This Row],[Cum_D_fit]]*NOT(ISBLANK(Tabella211[[#This Row],[Cum_deaths]]))</f>
        <v>18991.601770855625</v>
      </c>
      <c r="AC54" s="10">
        <f>Tabella211[[#This Row],[Cum_D_fit]]+CIh</f>
        <v>19541.378915597197</v>
      </c>
      <c r="AD54" s="10">
        <f>MAX(Tabella211[[#This Row],[Cum_D_fit]]-CIh,0)</f>
        <v>18441.824626114052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50">
        <f>K/(1+EXP(-(Tabella211[[#This Row],[Day]]-t0)/w))</f>
        <v>150513.91089223372</v>
      </c>
      <c r="H55" s="10">
        <f>Tabella211[[#This Row],[Cum_fit]]*(1-Tabella211[[#This Row],[Cum_fit]]/K)/w</f>
        <v>2194.7181316160772</v>
      </c>
      <c r="I55" s="56">
        <f>Tabella211[[#This Row],[Cum_fit]]*NOT(ISBLANK(Tabella211[[#This Row],[Cum_confirmed]]))</f>
        <v>150513.91089223372</v>
      </c>
      <c r="J55" s="10">
        <f>Tabella211[[#This Row],[Cum_fit]]+CI</f>
        <v>156072.61550902919</v>
      </c>
      <c r="K55" s="10">
        <f>MAX(Tabella211[[#This Row],[Cum_fit]]-CI,0)</f>
        <v>144955.20627543825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-393.54973285953281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50">
        <f>Kr/(1+EXP(-(Tabella211[[#This Row],[Day]]-t0r)/wr))</f>
        <v>32439.586746034951</v>
      </c>
      <c r="S55" s="10">
        <f>Tabella211[[#This Row],[Cum_R_fit]]*(1-Tabella211[[#This Row],[Cum_R_fit]]/Kr)/wr</f>
        <v>2219.8689157267363</v>
      </c>
      <c r="T55" s="60">
        <f>Tabella211[[#This Row],[Cum_R_fit]]*NOT(ISBLANK(Tabella211[[#This Row],[Cum_recov]]))</f>
        <v>32439.586746034951</v>
      </c>
      <c r="U55" s="10">
        <f>Tabella211[[#This Row],[Cum_R_fit]]+CIr</f>
        <v>34789.672765043506</v>
      </c>
      <c r="V55" s="10">
        <f>MAX(Tabella211[[#This Row],[Cum_R_fit]]-CIr,0)</f>
        <v>30089.500727026392</v>
      </c>
      <c r="W55" s="10">
        <f>'dpc-covid19-ita-andamento-naz'!K49</f>
        <v>19468</v>
      </c>
      <c r="X55" s="26">
        <f>Tabella211[[#This Row],[Cum_deaths]]-W54</f>
        <v>619</v>
      </c>
      <c r="Y55" s="64">
        <f>Tabella211[[#This Row],[Cum_deaths]]*NOT(ISBLANK(Tabella211[[#This Row],[Cum_deaths]]))</f>
        <v>19468</v>
      </c>
      <c r="Z55" s="50">
        <f>Kh/(1+EXP(-(Tabella211[[#This Row],[Day]]-t0h)/wh))</f>
        <v>19382.907491275524</v>
      </c>
      <c r="AA55" s="10">
        <f>Tabella211[[#This Row],[Cum_D_fit]]*(1-Tabella211[[#This Row],[Cum_D_fit]]/Kh)/wh</f>
        <v>368.39894874887375</v>
      </c>
      <c r="AB55" s="64">
        <f>Tabella211[[#This Row],[Cum_D_fit]]*NOT(ISBLANK(Tabella211[[#This Row],[Cum_deaths]]))</f>
        <v>19382.907491275524</v>
      </c>
      <c r="AC55" s="10">
        <f>Tabella211[[#This Row],[Cum_D_fit]]+CIh</f>
        <v>19932.684636017097</v>
      </c>
      <c r="AD55" s="10">
        <f>MAX(Tabella211[[#This Row],[Cum_D_fit]]-CIh,0)</f>
        <v>18833.130346533952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Tabella211[[#This Row],[Cum_confirmed]]*NOT(ISBLANK(Tabella211[[#This Row],[Cum_confirmed]]))</f>
        <v>156363</v>
      </c>
      <c r="G56" s="50">
        <f>K/(1+EXP(-(Tabella211[[#This Row],[Day]]-t0)/w))</f>
        <v>152584.66764509384</v>
      </c>
      <c r="H56" s="10">
        <f>Tabella211[[#This Row],[Cum_fit]]*(1-Tabella211[[#This Row],[Cum_fit]]/K)/w</f>
        <v>1950.3599439894474</v>
      </c>
      <c r="I56" s="56">
        <f>Tabella211[[#This Row],[Cum_fit]]*NOT(ISBLANK(Tabella211[[#This Row],[Cum_confirmed]]))</f>
        <v>152584.66764509384</v>
      </c>
      <c r="J56" s="10">
        <f>Tabella211[[#This Row],[Cum_fit]]+CI</f>
        <v>158143.37226188931</v>
      </c>
      <c r="K56" s="10">
        <f>MAX(Tabella211[[#This Row],[Cum_fit]]-CI,0)</f>
        <v>147025.96302829837</v>
      </c>
      <c r="L56" s="54">
        <f>'dpc-covid19-ita-andamento-naz'!G50</f>
        <v>102253</v>
      </c>
      <c r="M56" s="54">
        <f>'dpc-covid19-ita-andamento-naz'!H50</f>
        <v>1984</v>
      </c>
      <c r="N56" s="54">
        <f>Tabella211[[#This Row],[New_cases_fit]]-Tabella211[[#This Row],[New_Recovered_fit]]-Tabella211[[#This Row],[New_Deaths_fit]]</f>
        <v>-702.72329514713965</v>
      </c>
      <c r="O56" s="10">
        <f>'dpc-covid19-ita-andamento-naz'!J50</f>
        <v>34211</v>
      </c>
      <c r="P56" s="48">
        <f>Tabella211[[#This Row],[Cum_recov]]-O55</f>
        <v>1677</v>
      </c>
      <c r="Q56" s="60">
        <f>Tabella211[[#This Row],[Cum_recov]]*NOT(ISBLANK(Tabella211[[#This Row],[Cum_recov]]))</f>
        <v>34211</v>
      </c>
      <c r="R56" s="50">
        <f>Kr/(1+EXP(-(Tabella211[[#This Row],[Day]]-t0r)/wr))</f>
        <v>34713.420364813639</v>
      </c>
      <c r="S56" s="10">
        <f>Tabella211[[#This Row],[Cum_R_fit]]*(1-Tabella211[[#This Row],[Cum_R_fit]]/Kr)/wr</f>
        <v>2327.6042286227171</v>
      </c>
      <c r="T56" s="60">
        <f>Tabella211[[#This Row],[Cum_R_fit]]*NOT(ISBLANK(Tabella211[[#This Row],[Cum_recov]]))</f>
        <v>34713.420364813639</v>
      </c>
      <c r="U56" s="10">
        <f>Tabella211[[#This Row],[Cum_R_fit]]+CIr</f>
        <v>37063.506383822198</v>
      </c>
      <c r="V56" s="10">
        <f>MAX(Tabella211[[#This Row],[Cum_R_fit]]-CIr,0)</f>
        <v>32363.33434580508</v>
      </c>
      <c r="W56" s="10">
        <f>'dpc-covid19-ita-andamento-naz'!K50</f>
        <v>19899</v>
      </c>
      <c r="X56" s="26">
        <f>Tabella211[[#This Row],[Cum_deaths]]-W55</f>
        <v>431</v>
      </c>
      <c r="Y56" s="64">
        <f>Tabella211[[#This Row],[Cum_deaths]]*NOT(ISBLANK(Tabella211[[#This Row],[Cum_deaths]]))</f>
        <v>19899</v>
      </c>
      <c r="Z56" s="50">
        <f>Kh/(1+EXP(-(Tabella211[[#This Row],[Day]]-t0h)/wh))</f>
        <v>19729.548473259136</v>
      </c>
      <c r="AA56" s="10">
        <f>Tabella211[[#This Row],[Cum_D_fit]]*(1-Tabella211[[#This Row],[Cum_D_fit]]/Kh)/wh</f>
        <v>325.47901051387004</v>
      </c>
      <c r="AB56" s="64">
        <f>Tabella211[[#This Row],[Cum_D_fit]]*NOT(ISBLANK(Tabella211[[#This Row],[Cum_deaths]]))</f>
        <v>19729.548473259136</v>
      </c>
      <c r="AC56" s="10">
        <f>Tabella211[[#This Row],[Cum_D_fit]]+CIh</f>
        <v>20279.325618000708</v>
      </c>
      <c r="AD56" s="10">
        <f>MAX(Tabella211[[#This Row],[Cum_D_fit]]-CIh,0)</f>
        <v>19179.771328517563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Tabella211[[#This Row],[Cum_confirmed]]*NOT(ISBLANK(Tabella211[[#This Row],[Cum_confirmed]]))</f>
        <v>159516</v>
      </c>
      <c r="G57" s="50">
        <f>K/(1+EXP(-(Tabella211[[#This Row],[Day]]-t0)/w))</f>
        <v>154421.7491266061</v>
      </c>
      <c r="H57" s="10">
        <f>Tabella211[[#This Row],[Cum_fit]]*(1-Tabella211[[#This Row],[Cum_fit]]/K)/w</f>
        <v>1727.3383596111594</v>
      </c>
      <c r="I57" s="56">
        <f>Tabella211[[#This Row],[Cum_fit]]*NOT(ISBLANK(Tabella211[[#This Row],[Cum_confirmed]]))</f>
        <v>154421.7491266061</v>
      </c>
      <c r="J57" s="10">
        <f>Tabella211[[#This Row],[Cum_fit]]+CI</f>
        <v>159980.45374340157</v>
      </c>
      <c r="K57" s="10">
        <f>MAX(Tabella211[[#This Row],[Cum_fit]]-CI,0)</f>
        <v>148863.04450981063</v>
      </c>
      <c r="L57" s="54">
        <f>'dpc-covid19-ita-andamento-naz'!G51</f>
        <v>103616</v>
      </c>
      <c r="M57" s="54">
        <f>'dpc-covid19-ita-andamento-naz'!H51</f>
        <v>1363</v>
      </c>
      <c r="N57" s="54">
        <f>Tabella211[[#This Row],[New_cases_fit]]-Tabella211[[#This Row],[New_Recovered_fit]]-Tabella211[[#This Row],[New_Deaths_fit]]</f>
        <v>-992.5566330755147</v>
      </c>
      <c r="O57" s="10">
        <f>'dpc-covid19-ita-andamento-naz'!J51</f>
        <v>35435</v>
      </c>
      <c r="P57" s="48">
        <f>Tabella211[[#This Row],[Cum_recov]]-O56</f>
        <v>1224</v>
      </c>
      <c r="Q57" s="60">
        <f>Tabella211[[#This Row],[Cum_recov]]*NOT(ISBLANK(Tabella211[[#This Row],[Cum_recov]]))</f>
        <v>35435</v>
      </c>
      <c r="R57" s="50">
        <f>Kr/(1+EXP(-(Tabella211[[#This Row],[Day]]-t0r)/wr))</f>
        <v>37094.245687437353</v>
      </c>
      <c r="S57" s="10">
        <f>Tabella211[[#This Row],[Cum_R_fit]]*(1-Tabella211[[#This Row],[Cum_R_fit]]/Kr)/wr</f>
        <v>2433.6887220058247</v>
      </c>
      <c r="T57" s="60">
        <f>Tabella211[[#This Row],[Cum_R_fit]]*NOT(ISBLANK(Tabella211[[#This Row],[Cum_recov]]))</f>
        <v>37094.245687437353</v>
      </c>
      <c r="U57" s="10">
        <f>Tabella211[[#This Row],[Cum_R_fit]]+CIr</f>
        <v>39444.331706445912</v>
      </c>
      <c r="V57" s="10">
        <f>MAX(Tabella211[[#This Row],[Cum_R_fit]]-CIr,0)</f>
        <v>34744.159668428794</v>
      </c>
      <c r="W57" s="10">
        <f>'dpc-covid19-ita-andamento-naz'!K51</f>
        <v>20465</v>
      </c>
      <c r="X57" s="26">
        <f>Tabella211[[#This Row],[Cum_deaths]]-W56</f>
        <v>566</v>
      </c>
      <c r="Y57" s="64">
        <f>Tabella211[[#This Row],[Cum_deaths]]*NOT(ISBLANK(Tabella211[[#This Row],[Cum_deaths]]))</f>
        <v>20465</v>
      </c>
      <c r="Z57" s="50">
        <f>Kh/(1+EXP(-(Tabella211[[#This Row],[Day]]-t0h)/wh))</f>
        <v>20035.082995114459</v>
      </c>
      <c r="AA57" s="10">
        <f>Tabella211[[#This Row],[Cum_D_fit]]*(1-Tabella211[[#This Row],[Cum_D_fit]]/Kh)/wh</f>
        <v>286.20627068084934</v>
      </c>
      <c r="AB57" s="64">
        <f>Tabella211[[#This Row],[Cum_D_fit]]*NOT(ISBLANK(Tabella211[[#This Row],[Cum_deaths]]))</f>
        <v>20035.082995114459</v>
      </c>
      <c r="AC57" s="10">
        <f>Tabella211[[#This Row],[Cum_D_fit]]+CIh</f>
        <v>20584.860139856031</v>
      </c>
      <c r="AD57" s="10">
        <f>MAX(Tabella211[[#This Row],[Cum_D_fit]]-CIh,0)</f>
        <v>19485.305850372886</v>
      </c>
    </row>
    <row r="58" spans="2:30" x14ac:dyDescent="0.3">
      <c r="B58" s="9">
        <v>43935</v>
      </c>
      <c r="C58" s="4">
        <f t="shared" si="0"/>
        <v>50</v>
      </c>
      <c r="D58" s="10">
        <f>'dpc-covid19-ita-andamento-naz'!L52</f>
        <v>162488</v>
      </c>
      <c r="E58" s="30">
        <f>'dpc-covid19-ita-andamento-naz'!I52</f>
        <v>2972</v>
      </c>
      <c r="F58" s="56">
        <f>Tabella211[[#This Row],[Cum_confirmed]]*NOT(ISBLANK(Tabella211[[#This Row],[Cum_confirmed]]))</f>
        <v>162488</v>
      </c>
      <c r="G58" s="50">
        <f>K/(1+EXP(-(Tabella211[[#This Row],[Day]]-t0)/w))</f>
        <v>156046.31961461328</v>
      </c>
      <c r="H58" s="10">
        <f>Tabella211[[#This Row],[Cum_fit]]*(1-Tabella211[[#This Row],[Cum_fit]]/K)/w</f>
        <v>1525.228983265416</v>
      </c>
      <c r="I58" s="56">
        <f>Tabella211[[#This Row],[Cum_fit]]*NOT(ISBLANK(Tabella211[[#This Row],[Cum_confirmed]]))</f>
        <v>156046.31961461328</v>
      </c>
      <c r="J58" s="10">
        <f>Tabella211[[#This Row],[Cum_fit]]+CI</f>
        <v>161605.02423140875</v>
      </c>
      <c r="K58" s="10">
        <f>MAX(Tabella211[[#This Row],[Cum_fit]]-CI,0)</f>
        <v>150487.61499781781</v>
      </c>
      <c r="L58" s="54">
        <f>'dpc-covid19-ita-andamento-naz'!G52</f>
        <v>104291</v>
      </c>
      <c r="M58" s="54">
        <f>'dpc-covid19-ita-andamento-naz'!H52</f>
        <v>675</v>
      </c>
      <c r="N58" s="54">
        <f>Tabella211[[#This Row],[New_cases_fit]]-Tabella211[[#This Row],[New_Recovered_fit]]-Tabella211[[#This Row],[New_Deaths_fit]]</f>
        <v>-1262.5107096387194</v>
      </c>
      <c r="O58" s="10">
        <f>'dpc-covid19-ita-andamento-naz'!J52</f>
        <v>37130</v>
      </c>
      <c r="P58" s="48">
        <f>Tabella211[[#This Row],[Cum_recov]]-O57</f>
        <v>1695</v>
      </c>
      <c r="Q58" s="60">
        <f>Tabella211[[#This Row],[Cum_recov]]*NOT(ISBLANK(Tabella211[[#This Row],[Cum_recov]]))</f>
        <v>37130</v>
      </c>
      <c r="R58" s="50">
        <f>Kr/(1+EXP(-(Tabella211[[#This Row],[Day]]-t0r)/wr))</f>
        <v>39579.910425052753</v>
      </c>
      <c r="S58" s="10">
        <f>Tabella211[[#This Row],[Cum_R_fit]]*(1-Tabella211[[#This Row],[Cum_R_fit]]/Kr)/wr</f>
        <v>2537.1092810750279</v>
      </c>
      <c r="T58" s="60">
        <f>Tabella211[[#This Row],[Cum_R_fit]]*NOT(ISBLANK(Tabella211[[#This Row],[Cum_recov]]))</f>
        <v>39579.910425052753</v>
      </c>
      <c r="U58" s="10">
        <f>Tabella211[[#This Row],[Cum_R_fit]]+CIr</f>
        <v>41929.996444061311</v>
      </c>
      <c r="V58" s="10">
        <f>MAX(Tabella211[[#This Row],[Cum_R_fit]]-CIr,0)</f>
        <v>37229.824406044194</v>
      </c>
      <c r="W58" s="10">
        <f>'dpc-covid19-ita-andamento-naz'!K52</f>
        <v>21067</v>
      </c>
      <c r="X58" s="26">
        <f>Tabella211[[#This Row],[Cum_deaths]]-W57</f>
        <v>602</v>
      </c>
      <c r="Y58" s="64">
        <f>Tabella211[[#This Row],[Cum_deaths]]*NOT(ISBLANK(Tabella211[[#This Row],[Cum_deaths]]))</f>
        <v>21067</v>
      </c>
      <c r="Z58" s="50">
        <f>Kh/(1+EXP(-(Tabella211[[#This Row],[Day]]-t0h)/wh))</f>
        <v>20303.19464052104</v>
      </c>
      <c r="AA58" s="10">
        <f>Tabella211[[#This Row],[Cum_D_fit]]*(1-Tabella211[[#This Row],[Cum_D_fit]]/Kh)/wh</f>
        <v>250.63041182910746</v>
      </c>
      <c r="AB58" s="64">
        <f>Tabella211[[#This Row],[Cum_D_fit]]*NOT(ISBLANK(Tabella211[[#This Row],[Cum_deaths]]))</f>
        <v>20303.19464052104</v>
      </c>
      <c r="AC58" s="10">
        <f>Tabella211[[#This Row],[Cum_D_fit]]+CIh</f>
        <v>20852.971785262613</v>
      </c>
      <c r="AD58" s="10">
        <f>MAX(Tabella211[[#This Row],[Cum_D_fit]]-CIh,0)</f>
        <v>19753.417495779468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K/(1+EXP(-(Tabella211[[#This Row],[Day]]-t0)/w))</f>
        <v>157478.90322988198</v>
      </c>
      <c r="H59" s="10">
        <f>Tabella211[[#This Row],[Cum_fit]]*(1-Tabella211[[#This Row],[Cum_fit]]/K)/w</f>
        <v>1343.1986851929332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-1512.2818040382049</v>
      </c>
      <c r="P59" s="48"/>
      <c r="Q59" s="60">
        <f>Tabella211[[#This Row],[Cum_recov]]*NOT(ISBLANK(Tabella211[[#This Row],[Cum_recov]]))</f>
        <v>0</v>
      </c>
      <c r="R59" s="50">
        <f>Kr/(1+EXP(-(Tabella211[[#This Row],[Day]]-t0r)/wr))</f>
        <v>42167.221269352827</v>
      </c>
      <c r="S59" s="10">
        <f>Tabella211[[#This Row],[Cum_R_fit]]*(1-Tabella211[[#This Row],[Cum_R_fit]]/Kr)/wr</f>
        <v>2636.7997234420304</v>
      </c>
      <c r="T59" s="60">
        <f>Tabella211[[#This Row],[Cum_R_fit]]*NOT(ISBLANK(Tabella211[[#This Row],[Cum_recov]]))</f>
        <v>0</v>
      </c>
      <c r="X59" s="26"/>
      <c r="Y59" s="64">
        <f>Tabella211[[#This Row],[Cum_deaths]]*NOT(ISBLANK(Tabella211[[#This Row],[Cum_deaths]]))</f>
        <v>0</v>
      </c>
      <c r="Z59" s="50">
        <f>Kh/(1+EXP(-(Tabella211[[#This Row],[Day]]-t0h)/wh))</f>
        <v>20537.553512282033</v>
      </c>
      <c r="AA59" s="10">
        <f>Tabella211[[#This Row],[Cum_D_fit]]*(1-Tabella211[[#This Row],[Cum_D_fit]]/Kh)/wh</f>
        <v>218.6807657891076</v>
      </c>
      <c r="AB59" s="64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K/(1+EXP(-(Tabella211[[#This Row],[Day]]-t0)/w))</f>
        <v>158739.04006118359</v>
      </c>
      <c r="H60" s="10">
        <f>Tabella211[[#This Row],[Cum_fit]]*(1-Tabella211[[#This Row],[Cum_fit]]/K)/w</f>
        <v>1180.1317659213273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-1741.7272381631578</v>
      </c>
      <c r="P60" s="48"/>
      <c r="Q60" s="60">
        <f>Tabella211[[#This Row],[Cum_recov]]*NOT(ISBLANK(Tabella211[[#This Row],[Cum_recov]]))</f>
        <v>0</v>
      </c>
      <c r="R60" s="50">
        <f>Kr/(1+EXP(-(Tabella211[[#This Row],[Day]]-t0r)/wr))</f>
        <v>44851.899628996289</v>
      </c>
      <c r="S60" s="10">
        <f>Tabella211[[#This Row],[Cum_R_fit]]*(1-Tabella211[[#This Row],[Cum_R_fit]]/Kr)/wr</f>
        <v>2731.6589769969851</v>
      </c>
      <c r="T60" s="60">
        <f>Tabella211[[#This Row],[Cum_R_fit]]*NOT(ISBLANK(Tabella211[[#This Row],[Cum_recov]]))</f>
        <v>0</v>
      </c>
      <c r="X60" s="26"/>
      <c r="Y60" s="64">
        <f>Tabella211[[#This Row],[Cum_deaths]]*NOT(ISBLANK(Tabella211[[#This Row],[Cum_deaths]]))</f>
        <v>0</v>
      </c>
      <c r="Z60" s="50">
        <f>Kh/(1+EXP(-(Tabella211[[#This Row],[Day]]-t0h)/wh))</f>
        <v>20741.713110304434</v>
      </c>
      <c r="AA60" s="10">
        <f>Tabella211[[#This Row],[Cum_D_fit]]*(1-Tabella211[[#This Row],[Cum_D_fit]]/Kh)/wh</f>
        <v>190.2000270875001</v>
      </c>
      <c r="AB60" s="64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K/(1+EXP(-(Tabella211[[#This Row],[Day]]-t0)/w))</f>
        <v>159845.05767308382</v>
      </c>
      <c r="H61" s="10">
        <f>Tabella211[[#This Row],[Cum_fit]]*(1-Tabella211[[#This Row],[Cum_fit]]/K)/w</f>
        <v>1034.7345072833637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-1950.8110149606039</v>
      </c>
      <c r="P61" s="48"/>
      <c r="Q61" s="60">
        <f>Tabella211[[#This Row],[Cum_recov]]*NOT(ISBLANK(Tabella211[[#This Row],[Cum_recov]]))</f>
        <v>0</v>
      </c>
      <c r="R61" s="50">
        <f>Kr/(1+EXP(-(Tabella211[[#This Row],[Day]]-t0r)/wr))</f>
        <v>47628.557197507689</v>
      </c>
      <c r="S61" s="10">
        <f>Tabella211[[#This Row],[Cum_R_fit]]*(1-Tabella211[[#This Row],[Cum_R_fit]]/Kr)/wr</f>
        <v>2820.5725016910978</v>
      </c>
      <c r="T61" s="60">
        <f>Tabella211[[#This Row],[Cum_R_fit]]*NOT(ISBLANK(Tabella211[[#This Row],[Cum_recov]]))</f>
        <v>0</v>
      </c>
      <c r="X61" s="26"/>
      <c r="Y61" s="64">
        <f>Tabella211[[#This Row],[Cum_deaths]]*NOT(ISBLANK(Tabella211[[#This Row],[Cum_deaths]]))</f>
        <v>0</v>
      </c>
      <c r="Z61" s="50">
        <f>Kh/(1+EXP(-(Tabella211[[#This Row],[Day]]-t0h)/wh))</f>
        <v>20919.038520023463</v>
      </c>
      <c r="AA61" s="10">
        <f>Tabella211[[#This Row],[Cum_D_fit]]*(1-Tabella211[[#This Row],[Cum_D_fit]]/Kh)/wh</f>
        <v>164.97302055286968</v>
      </c>
      <c r="AB61" s="64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K/(1+EXP(-(Tabella211[[#This Row],[Day]]-t0)/w))</f>
        <v>160813.93653749977</v>
      </c>
      <c r="H62" s="10">
        <f>Tabella211[[#This Row],[Cum_fit]]*(1-Tabella211[[#This Row],[Cum_fit]]/K)/w</f>
        <v>905.61869565931215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-2139.5678590938605</v>
      </c>
      <c r="P62" s="48"/>
      <c r="Q62" s="60">
        <f>Tabella211[[#This Row],[Cum_recov]]*NOT(ISBLANK(Tabella211[[#This Row],[Cum_recov]]))</f>
        <v>0</v>
      </c>
      <c r="R62" s="50">
        <f>Kr/(1+EXP(-(Tabella211[[#This Row],[Day]]-t0r)/wr))</f>
        <v>50490.694369478704</v>
      </c>
      <c r="S62" s="10">
        <f>Tabella211[[#This Row],[Cum_R_fit]]*(1-Tabella211[[#This Row],[Cum_R_fit]]/Kr)/wr</f>
        <v>2902.4364638083812</v>
      </c>
      <c r="T62" s="60">
        <f>Tabella211[[#This Row],[Cum_R_fit]]*NOT(ISBLANK(Tabella211[[#This Row],[Cum_recov]]))</f>
        <v>0</v>
      </c>
      <c r="X62" s="26"/>
      <c r="Y62" s="64">
        <f>Tabella211[[#This Row],[Cum_deaths]]*NOT(ISBLANK(Tabella211[[#This Row],[Cum_deaths]]))</f>
        <v>0</v>
      </c>
      <c r="Z62" s="50">
        <f>Kh/(1+EXP(-(Tabella211[[#This Row],[Day]]-t0h)/wh))</f>
        <v>21072.660685100505</v>
      </c>
      <c r="AA62" s="10">
        <f>Tabella211[[#This Row],[Cum_D_fit]]*(1-Tabella211[[#This Row],[Cum_D_fit]]/Kh)/wh</f>
        <v>142.75009094479131</v>
      </c>
      <c r="AB62" s="64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K/(1+EXP(-(Tabella211[[#This Row],[Day]]-t0)/w))</f>
        <v>161661.24921812676</v>
      </c>
      <c r="H63" s="10">
        <f>Tabella211[[#This Row],[Cum_fit]]*(1-Tabella211[[#This Row],[Cum_fit]]/K)/w</f>
        <v>791.36598704375547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-2308.0832663875899</v>
      </c>
      <c r="P63" s="48"/>
      <c r="Q63" s="60">
        <f>Tabella211[[#This Row],[Cum_recov]]*NOT(ISBLANK(Tabella211[[#This Row],[Cum_recov]]))</f>
        <v>0</v>
      </c>
      <c r="R63" s="50">
        <f>Kr/(1+EXP(-(Tabella211[[#This Row],[Day]]-t0r)/wr))</f>
        <v>53430.723919277865</v>
      </c>
      <c r="S63" s="10">
        <f>Tabella211[[#This Row],[Cum_R_fit]]*(1-Tabella211[[#This Row],[Cum_R_fit]]/Kr)/wr</f>
        <v>2976.1839500704714</v>
      </c>
      <c r="T63" s="60">
        <f>Tabella211[[#This Row],[Cum_R_fit]]*NOT(ISBLANK(Tabella211[[#This Row],[Cum_recov]]))</f>
        <v>0</v>
      </c>
      <c r="X63" s="26"/>
      <c r="Y63" s="64">
        <f>Tabella211[[#This Row],[Cum_deaths]]*NOT(ISBLANK(Tabella211[[#This Row],[Cum_deaths]]))</f>
        <v>0</v>
      </c>
      <c r="Z63" s="50">
        <f>Kh/(1+EXP(-(Tabella211[[#This Row],[Day]]-t0h)/wh))</f>
        <v>21205.451440947287</v>
      </c>
      <c r="AA63" s="10">
        <f>Tabella211[[#This Row],[Cum_D_fit]]*(1-Tabella211[[#This Row],[Cum_D_fit]]/Kh)/wh</f>
        <v>123.26530336087383</v>
      </c>
      <c r="AB63" s="64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K/(1+EXP(-(Tabella211[[#This Row],[Day]]-t0)/w))</f>
        <v>162401.15537917835</v>
      </c>
      <c r="H64" s="10">
        <f>Tabella211[[#This Row],[Cum_fit]]*(1-Tabella211[[#This Row],[Cum_fit]]/K)/w</f>
        <v>690.57564040068507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-2456.48666625242</v>
      </c>
      <c r="P64" s="48"/>
      <c r="Q64" s="60">
        <f>Tabella211[[#This Row],[Cum_recov]]*NOT(ISBLANK(Tabella211[[#This Row],[Cum_recov]]))</f>
        <v>0</v>
      </c>
      <c r="R64" s="50">
        <f>Kr/(1+EXP(-(Tabella211[[#This Row],[Day]]-t0r)/wr))</f>
        <v>56440.021539283181</v>
      </c>
      <c r="S64" s="10">
        <f>Tabella211[[#This Row],[Cum_R_fit]]*(1-Tabella211[[#This Row],[Cum_R_fit]]/Kr)/wr</f>
        <v>3040.812304265829</v>
      </c>
      <c r="T64" s="60">
        <f>Tabella211[[#This Row],[Cum_R_fit]]*NOT(ISBLANK(Tabella211[[#This Row],[Cum_recov]]))</f>
        <v>0</v>
      </c>
      <c r="X64" s="26"/>
      <c r="Y64" s="64">
        <f>Tabella211[[#This Row],[Cum_deaths]]*NOT(ISBLANK(Tabella211[[#This Row],[Cum_deaths]]))</f>
        <v>0</v>
      </c>
      <c r="Z64" s="50">
        <f>Kh/(1+EXP(-(Tabella211[[#This Row],[Day]]-t0h)/wh))</f>
        <v>21320.01437304978</v>
      </c>
      <c r="AA64" s="10">
        <f>Tabella211[[#This Row],[Cum_D_fit]]*(1-Tabella211[[#This Row],[Cum_D_fit]]/Kh)/wh</f>
        <v>106.25000238727604</v>
      </c>
      <c r="AB64" s="64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K/(1+EXP(-(Tabella211[[#This Row],[Day]]-t0)/w))</f>
        <v>163046.43735279425</v>
      </c>
      <c r="H65" s="10">
        <f>Tabella211[[#This Row],[Cum_fit]]*(1-Tabella211[[#This Row],[Cum_fit]]/K)/w</f>
        <v>601.89835865253872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-2584.9545849917276</v>
      </c>
      <c r="P65" s="48"/>
      <c r="Q65" s="60">
        <f>Tabella211[[#This Row],[Cum_recov]]*NOT(ISBLANK(Tabella211[[#This Row],[Cum_recov]]))</f>
        <v>0</v>
      </c>
      <c r="R65" s="50">
        <f>Kr/(1+EXP(-(Tabella211[[#This Row],[Day]]-t0r)/wr))</f>
        <v>59509.003829474088</v>
      </c>
      <c r="S65" s="10">
        <f>Tabella211[[#This Row],[Cum_R_fit]]*(1-Tabella211[[#This Row],[Cum_R_fit]]/Kr)/wr</f>
        <v>3095.410501164853</v>
      </c>
      <c r="T65" s="60">
        <f>Tabella211[[#This Row],[Cum_R_fit]]*NOT(ISBLANK(Tabella211[[#This Row],[Cum_recov]]))</f>
        <v>0</v>
      </c>
      <c r="X65" s="26"/>
      <c r="Y65" s="64">
        <f>Tabella211[[#This Row],[Cum_deaths]]*NOT(ISBLANK(Tabella211[[#This Row],[Cum_deaths]]))</f>
        <v>0</v>
      </c>
      <c r="Z65" s="50">
        <f>Kh/(1+EXP(-(Tabella211[[#This Row],[Day]]-t0h)/wh))</f>
        <v>21418.68720772993</v>
      </c>
      <c r="AA65" s="10">
        <f>Tabella211[[#This Row],[Cum_D_fit]]*(1-Tabella211[[#This Row],[Cum_D_fit]]/Kh)/wh</f>
        <v>91.442442479413131</v>
      </c>
      <c r="AB65" s="64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K/(1+EXP(-(Tabella211[[#This Row],[Day]]-t0)/w))</f>
        <v>163608.56371953647</v>
      </c>
      <c r="H66" s="10">
        <f>Tabella211[[#This Row],[Cum_fit]]*(1-Tabella211[[#This Row],[Cum_fit]]/K)/w</f>
        <v>524.05890119256662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-2693.7206951215544</v>
      </c>
      <c r="P66" s="48"/>
      <c r="Q66" s="60">
        <f>Tabella211[[#This Row],[Cum_recov]]*NOT(ISBLANK(Tabella211[[#This Row],[Cum_recov]]))</f>
        <v>0</v>
      </c>
      <c r="R66" s="50">
        <f>Kr/(1+EXP(-(Tabella211[[#This Row],[Day]]-t0r)/wr))</f>
        <v>62627.233183737451</v>
      </c>
      <c r="S66" s="10">
        <f>Tabella211[[#This Row],[Cum_R_fit]]*(1-Tabella211[[#This Row],[Cum_R_fit]]/Kr)/wr</f>
        <v>3139.185360904808</v>
      </c>
      <c r="T66" s="60">
        <f>Tabella211[[#This Row],[Cum_R_fit]]*NOT(ISBLANK(Tabella211[[#This Row],[Cum_recov]]))</f>
        <v>0</v>
      </c>
      <c r="X66" s="26"/>
      <c r="Y66" s="64">
        <f>Tabella211[[#This Row],[Cum_deaths]]*NOT(ISBLANK(Tabella211[[#This Row],[Cum_deaths]]))</f>
        <v>0</v>
      </c>
      <c r="Z66" s="50">
        <f>Kh/(1+EXP(-(Tabella211[[#This Row],[Day]]-t0h)/wh))</f>
        <v>21503.552180704744</v>
      </c>
      <c r="AA66" s="10">
        <f>Tabella211[[#This Row],[Cum_D_fit]]*(1-Tabella211[[#This Row],[Cum_D_fit]]/Kh)/wh</f>
        <v>78.594235409312972</v>
      </c>
      <c r="AB66" s="64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K/(1+EXP(-(Tabella211[[#This Row],[Day]]-t0)/w))</f>
        <v>164097.77090867789</v>
      </c>
      <c r="H67" s="10">
        <f>Tabella211[[#This Row],[Cum_fit]]*(1-Tabella211[[#This Row],[Cum_fit]]/K)/w</f>
        <v>455.86988892336512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-2783.0897942386168</v>
      </c>
      <c r="P67" s="48"/>
      <c r="Q67" s="60">
        <f>Tabella211[[#This Row],[Cum_recov]]*NOT(ISBLANK(Tabella211[[#This Row],[Cum_recov]]))</f>
        <v>0</v>
      </c>
      <c r="R67" s="50">
        <f>Kr/(1+EXP(-(Tabella211[[#This Row],[Day]]-t0r)/wr))</f>
        <v>65783.547795476727</v>
      </c>
      <c r="S67" s="10">
        <f>Tabella211[[#This Row],[Cum_R_fit]]*(1-Tabella211[[#This Row],[Cum_R_fit]]/Kr)/wr</f>
        <v>3171.4853684203563</v>
      </c>
      <c r="T67" s="60">
        <f>Tabella211[[#This Row],[Cum_R_fit]]*NOT(ISBLANK(Tabella211[[#This Row],[Cum_recov]]))</f>
        <v>0</v>
      </c>
      <c r="X67" s="26"/>
      <c r="Y67" s="64">
        <f>Tabella211[[#This Row],[Cum_deaths]]*NOT(ISBLANK(Tabella211[[#This Row],[Cum_deaths]]))</f>
        <v>0</v>
      </c>
      <c r="Z67" s="50">
        <f>Kh/(1+EXP(-(Tabella211[[#This Row],[Day]]-t0h)/wh))</f>
        <v>21576.451556501357</v>
      </c>
      <c r="AA67" s="10">
        <f>Tabella211[[#This Row],[Cum_D_fit]]*(1-Tabella211[[#This Row],[Cum_D_fit]]/Kh)/wh</f>
        <v>67.474314741625818</v>
      </c>
      <c r="AB67" s="64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K/(1+EXP(-(Tabella211[[#This Row],[Day]]-t0)/w))</f>
        <v>164523.1550882333</v>
      </c>
      <c r="H68" s="10">
        <f>Tabella211[[#This Row],[Cum_fit]]*(1-Tabella211[[#This Row],[Cum_fit]]/K)/w</f>
        <v>396.23889954456348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-2853.4530389398492</v>
      </c>
      <c r="P68" s="48"/>
      <c r="Q68" s="60">
        <f>Tabella211[[#This Row],[Cum_recov]]*NOT(ISBLANK(Tabella211[[#This Row],[Cum_recov]]))</f>
        <v>0</v>
      </c>
      <c r="R68" s="50">
        <f>Kr/(1+EXP(-(Tabella211[[#This Row],[Day]]-t0r)/wr))</f>
        <v>68966.213785146698</v>
      </c>
      <c r="S68" s="10">
        <f>Tabella211[[#This Row],[Cum_R_fit]]*(1-Tabella211[[#This Row],[Cum_R_fit]]/Kr)/wr</f>
        <v>3191.8209079802664</v>
      </c>
      <c r="T68" s="60">
        <f>Tabella211[[#This Row],[Cum_R_fit]]*NOT(ISBLANK(Tabella211[[#This Row],[Cum_recov]]))</f>
        <v>0</v>
      </c>
      <c r="X68" s="26"/>
      <c r="Y68" s="64">
        <f>Tabella211[[#This Row],[Cum_deaths]]*NOT(ISBLANK(Tabella211[[#This Row],[Cum_deaths]]))</f>
        <v>0</v>
      </c>
      <c r="Z68" s="50">
        <f>Kh/(1+EXP(-(Tabella211[[#This Row],[Day]]-t0h)/wh))</f>
        <v>21639.006130511119</v>
      </c>
      <c r="AA68" s="10">
        <f>Tabella211[[#This Row],[Cum_D_fit]]*(1-Tabella211[[#This Row],[Cum_D_fit]]/Kh)/wh</f>
        <v>57.871030504146539</v>
      </c>
      <c r="AB68" s="64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K/(1+EXP(-(Tabella211[[#This Row],[Day]]-t0)/w))</f>
        <v>164892.76853973939</v>
      </c>
      <c r="H69" s="10">
        <f>Tabella211[[#This Row],[Cum_fit]]*(1-Tabella211[[#This Row],[Cum_fit]]/K)/w</f>
        <v>344.17060535586262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-2905.302136022508</v>
      </c>
      <c r="P69" s="48"/>
      <c r="Q69" s="60">
        <f>Tabella211[[#This Row],[Cum_recov]]*NOT(ISBLANK(Tabella211[[#This Row],[Cum_recov]]))</f>
        <v>0</v>
      </c>
      <c r="R69" s="50">
        <f>Kr/(1+EXP(-(Tabella211[[#This Row],[Day]]-t0r)/wr))</f>
        <v>72163.095321743807</v>
      </c>
      <c r="S69" s="10">
        <f>Tabella211[[#This Row],[Cum_R_fit]]*(1-Tabella211[[#This Row],[Cum_R_fit]]/Kr)/wr</f>
        <v>3199.8798560375699</v>
      </c>
      <c r="T69" s="60">
        <f>Tabella211[[#This Row],[Cum_R_fit]]*NOT(ISBLANK(Tabella211[[#This Row],[Cum_recov]]))</f>
        <v>0</v>
      </c>
      <c r="X69" s="26"/>
      <c r="Y69" s="64">
        <f>Tabella211[[#This Row],[Cum_deaths]]*NOT(ISBLANK(Tabella211[[#This Row],[Cum_deaths]]))</f>
        <v>0</v>
      </c>
      <c r="Z69" s="50">
        <f>Kh/(1+EXP(-(Tabella211[[#This Row],[Day]]-t0h)/wh))</f>
        <v>21692.635108156559</v>
      </c>
      <c r="AA69" s="10">
        <f>Tabella211[[#This Row],[Cum_D_fit]]*(1-Tabella211[[#This Row],[Cum_D_fit]]/Kh)/wh</f>
        <v>49.59288534080067</v>
      </c>
      <c r="AB69" s="64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K/(1+EXP(-(Tabella211[[#This Row],[Day]]-t0)/w))</f>
        <v>165213.71629698615</v>
      </c>
      <c r="H70" s="10">
        <f>Tabella211[[#This Row],[Cum_fit]]*(1-Tabella211[[#This Row],[Cum_fit]]/K)/w</f>
        <v>298.76537400768086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-2939.2406395519138</v>
      </c>
      <c r="P70" s="48"/>
      <c r="Q70" s="60">
        <f>Tabella211[[#This Row],[Cum_recov]]*NOT(ISBLANK(Tabella211[[#This Row],[Cum_recov]]))</f>
        <v>0</v>
      </c>
      <c r="R70" s="50">
        <f>Kr/(1+EXP(-(Tabella211[[#This Row],[Day]]-t0r)/wr))</f>
        <v>75361.837654870396</v>
      </c>
      <c r="S70" s="10">
        <f>Tabella211[[#This Row],[Cum_R_fit]]*(1-Tabella211[[#This Row],[Cum_R_fit]]/Kr)/wr</f>
        <v>3195.5376911901567</v>
      </c>
      <c r="T70" s="60">
        <f>Tabella211[[#This Row],[Cum_R_fit]]*NOT(ISBLANK(Tabella211[[#This Row],[Cum_recov]]))</f>
        <v>0</v>
      </c>
      <c r="X70" s="26"/>
      <c r="Y70" s="64">
        <f>Tabella211[[#This Row],[Cum_deaths]]*NOT(ISBLANK(Tabella211[[#This Row],[Cum_deaths]]))</f>
        <v>0</v>
      </c>
      <c r="Z70" s="50">
        <f>Kh/(1+EXP(-(Tabella211[[#This Row],[Day]]-t0h)/wh))</f>
        <v>21738.576215880566</v>
      </c>
      <c r="AA70" s="10">
        <f>Tabella211[[#This Row],[Cum_D_fit]]*(1-Tabella211[[#This Row],[Cum_D_fit]]/Kh)/wh</f>
        <v>42.468322369437985</v>
      </c>
      <c r="AB70" s="64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K/(1+EXP(-(Tabella211[[#This Row],[Day]]-t0)/w))</f>
        <v>165492.25009575326</v>
      </c>
      <c r="H71" s="10">
        <f>Tabella211[[#This Row],[Cum_fit]]*(1-Tabella211[[#This Row],[Cum_fit]]/K)/w</f>
        <v>259.21545398173367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-2955.9909933712888</v>
      </c>
      <c r="P71" s="48"/>
      <c r="Q71" s="60">
        <f>Tabella211[[#This Row],[Cum_recov]]*NOT(ISBLANK(Tabella211[[#This Row],[Cum_recov]]))</f>
        <v>0</v>
      </c>
      <c r="R71" s="50">
        <f>Kr/(1+EXP(-(Tabella211[[#This Row],[Day]]-t0r)/wr))</f>
        <v>78550.057269861296</v>
      </c>
      <c r="S71" s="10">
        <f>Tabella211[[#This Row],[Cum_R_fit]]*(1-Tabella211[[#This Row],[Cum_R_fit]]/Kr)/wr</f>
        <v>3178.861563968002</v>
      </c>
      <c r="T71" s="60">
        <f>Tabella211[[#This Row],[Cum_R_fit]]*NOT(ISBLANK(Tabella211[[#This Row],[Cum_recov]]))</f>
        <v>0</v>
      </c>
      <c r="X71" s="26"/>
      <c r="Y71" s="64">
        <f>Tabella211[[#This Row],[Cum_deaths]]*NOT(ISBLANK(Tabella211[[#This Row],[Cum_deaths]]))</f>
        <v>0</v>
      </c>
      <c r="Z71" s="50">
        <f>Kh/(1+EXP(-(Tabella211[[#This Row],[Day]]-t0h)/wh))</f>
        <v>21777.905262090684</v>
      </c>
      <c r="AA71" s="10">
        <f>Tabella211[[#This Row],[Cum_D_fit]]*(1-Tabella211[[#This Row],[Cum_D_fit]]/Kh)/wh</f>
        <v>36.344883385020601</v>
      </c>
      <c r="AB71" s="64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K/(1+EXP(-(Tabella211[[#This Row],[Day]]-t0)/w))</f>
        <v>165733.85767130004</v>
      </c>
      <c r="H72" s="10">
        <f>Tabella211[[#This Row],[Cum_fit]]*(1-Tabella211[[#This Row],[Cum_fit]]/K)/w</f>
        <v>224.79960965208525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-2956.3964676808341</v>
      </c>
      <c r="P72" s="48"/>
      <c r="Q72" s="60">
        <f>Tabella211[[#This Row],[Cum_recov]]*NOT(ISBLANK(Tabella211[[#This Row],[Cum_recov]]))</f>
        <v>0</v>
      </c>
      <c r="R72" s="50">
        <f>Kr/(1+EXP(-(Tabella211[[#This Row],[Day]]-t0r)/wr))</f>
        <v>81715.532983575496</v>
      </c>
      <c r="S72" s="10">
        <f>Tabella211[[#This Row],[Cum_R_fit]]*(1-Tabella211[[#This Row],[Cum_R_fit]]/Kr)/wr</f>
        <v>3150.108099554473</v>
      </c>
      <c r="T72" s="60">
        <f>Tabella211[[#This Row],[Cum_R_fit]]*NOT(ISBLANK(Tabella211[[#This Row],[Cum_recov]]))</f>
        <v>0</v>
      </c>
      <c r="X72" s="26"/>
      <c r="Y72" s="64">
        <f>Tabella211[[#This Row],[Cum_deaths]]*NOT(ISBLANK(Tabella211[[#This Row],[Cum_deaths]]))</f>
        <v>0</v>
      </c>
      <c r="Z72" s="50">
        <f>Kh/(1+EXP(-(Tabella211[[#This Row],[Day]]-t0h)/wh))</f>
        <v>21811.55464451883</v>
      </c>
      <c r="AA72" s="10">
        <f>Tabella211[[#This Row],[Cum_D_fit]]*(1-Tabella211[[#This Row],[Cum_D_fit]]/Kh)/wh</f>
        <v>31.08797777844616</v>
      </c>
      <c r="AB72" s="64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K/(1+EXP(-(Tabella211[[#This Row],[Day]]-t0)/w))</f>
        <v>165943.34619482889</v>
      </c>
      <c r="H73" s="10">
        <f>Tabella211[[#This Row],[Cum_fit]]*(1-Tabella211[[#This Row],[Cum_fit]]/K)/w</f>
        <v>194.8768571067416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-2941.417637425553</v>
      </c>
      <c r="P73" s="48"/>
      <c r="Q73" s="60">
        <f>Tabella211[[#This Row],[Cum_recov]]*NOT(ISBLANK(Tabella211[[#This Row],[Cum_recov]]))</f>
        <v>0</v>
      </c>
      <c r="R73" s="50">
        <f>Kr/(1+EXP(-(Tabella211[[#This Row],[Day]]-t0r)/wr))</f>
        <v>84846.391745975488</v>
      </c>
      <c r="S73" s="10">
        <f>Tabella211[[#This Row],[Cum_R_fit]]*(1-Tabella211[[#This Row],[Cum_R_fit]]/Kr)/wr</f>
        <v>3109.7150561211402</v>
      </c>
      <c r="T73" s="60">
        <f>Tabella211[[#This Row],[Cum_R_fit]]*NOT(ISBLANK(Tabella211[[#This Row],[Cum_recov]]))</f>
        <v>0</v>
      </c>
      <c r="X73" s="26"/>
      <c r="Y73" s="64">
        <f>Tabella211[[#This Row],[Cum_deaths]]*NOT(ISBLANK(Tabella211[[#This Row],[Cum_deaths]]))</f>
        <v>0</v>
      </c>
      <c r="Z73" s="50">
        <f>Kh/(1+EXP(-(Tabella211[[#This Row],[Day]]-t0h)/wh))</f>
        <v>21840.330507601342</v>
      </c>
      <c r="AA73" s="10">
        <f>Tabella211[[#This Row],[Cum_D_fit]]*(1-Tabella211[[#This Row],[Cum_D_fit]]/Kh)/wh</f>
        <v>26.579438411154673</v>
      </c>
      <c r="AB73" s="64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K/(1+EXP(-(Tabella211[[#This Row],[Day]]-t0)/w))</f>
        <v>166124.91920163223</v>
      </c>
      <c r="H74" s="10">
        <f>Tabella211[[#This Row],[Cum_fit]]*(1-Tabella211[[#This Row],[Cum_fit]]/K)/w</f>
        <v>168.87977897863263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-2912.123511501567</v>
      </c>
      <c r="P74" s="48"/>
      <c r="Q74" s="60">
        <f>Tabella211[[#This Row],[Cum_recov]]*NOT(ISBLANK(Tabella211[[#This Row],[Cum_recov]]))</f>
        <v>0</v>
      </c>
      <c r="R74" s="50">
        <f>Kr/(1+EXP(-(Tabella211[[#This Row],[Day]]-t0r)/wr))</f>
        <v>87931.283206979177</v>
      </c>
      <c r="S74" s="10">
        <f>Tabella211[[#This Row],[Cum_R_fit]]*(1-Tabella211[[#This Row],[Cum_R_fit]]/Kr)/wr</f>
        <v>3058.2873006383174</v>
      </c>
      <c r="T74" s="60">
        <f>Tabella211[[#This Row],[Cum_R_fit]]*NOT(ISBLANK(Tabella211[[#This Row],[Cum_recov]]))</f>
        <v>0</v>
      </c>
      <c r="X74" s="26"/>
      <c r="Y74" s="64">
        <f>Tabella211[[#This Row],[Cum_deaths]]*NOT(ISBLANK(Tabella211[[#This Row],[Cum_deaths]]))</f>
        <v>0</v>
      </c>
      <c r="Z74" s="50">
        <f>Kh/(1+EXP(-(Tabella211[[#This Row],[Day]]-t0h)/wh))</f>
        <v>21864.928403257232</v>
      </c>
      <c r="AA74" s="10">
        <f>Tabella211[[#This Row],[Cum_D_fit]]*(1-Tabella211[[#This Row],[Cum_D_fit]]/Kh)/wh</f>
        <v>22.715989841882049</v>
      </c>
      <c r="AB74" s="64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K/(1+EXP(-(Tabella211[[#This Row],[Day]]-t0)/w))</f>
        <v>166282.24677069846</v>
      </c>
      <c r="H75" s="10">
        <f>Tabella211[[#This Row],[Cum_fit]]*(1-Tabella211[[#This Row],[Cum_fit]]/K)/w</f>
        <v>146.30775975509502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-2869.67781981084</v>
      </c>
      <c r="P75" s="48"/>
      <c r="Q75" s="60">
        <f>Tabella211[[#This Row],[Cum_recov]]*NOT(ISBLANK(Tabella211[[#This Row],[Cum_recov]]))</f>
        <v>0</v>
      </c>
      <c r="R75" s="50">
        <f>Kr/(1+EXP(-(Tabella211[[#This Row],[Day]]-t0r)/wr))</f>
        <v>90959.537724471928</v>
      </c>
      <c r="S75" s="10">
        <f>Tabella211[[#This Row],[Cum_R_fit]]*(1-Tabella211[[#This Row],[Cum_R_fit]]/Kr)/wr</f>
        <v>2996.5778644839438</v>
      </c>
      <c r="T75" s="60">
        <f>Tabella211[[#This Row],[Cum_R_fit]]*NOT(ISBLANK(Tabella211[[#This Row],[Cum_recov]]))</f>
        <v>0</v>
      </c>
      <c r="X75" s="26"/>
      <c r="Y75" s="64">
        <f>Tabella211[[#This Row],[Cum_deaths]]*NOT(ISBLANK(Tabella211[[#This Row],[Cum_deaths]]))</f>
        <v>0</v>
      </c>
      <c r="Z75" s="50">
        <f>Kh/(1+EXP(-(Tabella211[[#This Row],[Day]]-t0h)/wh))</f>
        <v>21885.947413339574</v>
      </c>
      <c r="AA75" s="10">
        <f>Tabella211[[#This Row],[Cum_D_fit]]*(1-Tabella211[[#This Row],[Cum_D_fit]]/Kh)/wh</f>
        <v>19.407715081991412</v>
      </c>
      <c r="AB75" s="64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K/(1+EXP(-(Tabella211[[#This Row],[Day]]-t0)/w))</f>
        <v>166418.52900168928</v>
      </c>
      <c r="H76" s="10">
        <f>Tabella211[[#This Row],[Cum_fit]]*(1-Tabella211[[#This Row],[Cum_fit]]/K)/w</f>
        <v>126.7203770446861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-2815.3212796199787</v>
      </c>
      <c r="P76" s="48"/>
      <c r="Q76" s="60">
        <f>Tabella211[[#This Row],[Cum_recov]]*NOT(ISBLANK(Tabella211[[#This Row],[Cum_recov]]))</f>
        <v>0</v>
      </c>
      <c r="R76" s="50">
        <f>Kr/(1+EXP(-(Tabella211[[#This Row],[Day]]-t0r)/wr))</f>
        <v>93921.303376694908</v>
      </c>
      <c r="S76" s="10">
        <f>Tabella211[[#This Row],[Cum_R_fit]]*(1-Tabella211[[#This Row],[Cum_R_fit]]/Kr)/wr</f>
        <v>2925.4650791343911</v>
      </c>
      <c r="T76" s="60">
        <f>Tabella211[[#This Row],[Cum_R_fit]]*NOT(ISBLANK(Tabella211[[#This Row],[Cum_recov]]))</f>
        <v>0</v>
      </c>
      <c r="X76" s="26"/>
      <c r="Y76" s="64">
        <f>Tabella211[[#This Row],[Cum_deaths]]*NOT(ISBLANK(Tabella211[[#This Row],[Cum_deaths]]))</f>
        <v>0</v>
      </c>
      <c r="Z76" s="50">
        <f>Kh/(1+EXP(-(Tabella211[[#This Row],[Day]]-t0h)/wh))</f>
        <v>21903.902762721613</v>
      </c>
      <c r="AA76" s="10">
        <f>Tabella211[[#This Row],[Cum_D_fit]]*(1-Tabella211[[#This Row],[Cum_D_fit]]/Kh)/wh</f>
        <v>16.576577530273738</v>
      </c>
      <c r="AB76" s="64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K/(1+EXP(-(Tabella211[[#This Row],[Day]]-t0)/w))</f>
        <v>166536.55302849214</v>
      </c>
      <c r="H77" s="10">
        <f>Tabella211[[#This Row],[Cum_fit]]*(1-Tabella211[[#This Row],[Cum_fit]]/K)/w</f>
        <v>109.73110372082829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-2750.3508803658005</v>
      </c>
      <c r="P77" s="48"/>
      <c r="Q77" s="60">
        <f>Tabella211[[#This Row],[Cum_recov]]*NOT(ISBLANK(Tabella211[[#This Row],[Cum_recov]]))</f>
        <v>0</v>
      </c>
      <c r="R77" s="50">
        <f>Kr/(1+EXP(-(Tabella211[[#This Row],[Day]]-t0r)/wr))</f>
        <v>96807.658628994875</v>
      </c>
      <c r="S77" s="10">
        <f>Tabella211[[#This Row],[Cum_R_fit]]*(1-Tabella211[[#This Row],[Cum_R_fit]]/Kr)/wr</f>
        <v>2845.9269510677941</v>
      </c>
      <c r="T77" s="60">
        <f>Tabella211[[#This Row],[Cum_R_fit]]*NOT(ISBLANK(Tabella211[[#This Row],[Cum_recov]]))</f>
        <v>0</v>
      </c>
      <c r="X77" s="26"/>
      <c r="Y77" s="64">
        <f>Tabella211[[#This Row],[Cum_deaths]]*NOT(ISBLANK(Tabella211[[#This Row],[Cum_deaths]]))</f>
        <v>0</v>
      </c>
      <c r="Z77" s="50">
        <f>Kh/(1+EXP(-(Tabella211[[#This Row],[Day]]-t0h)/wh))</f>
        <v>21919.236997194032</v>
      </c>
      <c r="AA77" s="10">
        <f>Tabella211[[#This Row],[Cum_D_fit]]*(1-Tabella211[[#This Row],[Cum_D_fit]]/Kh)/wh</f>
        <v>14.155033018834931</v>
      </c>
      <c r="AB77" s="64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K/(1+EXP(-(Tabella211[[#This Row],[Day]]-t0)/w))</f>
        <v>166638.74393192524</v>
      </c>
      <c r="H78" s="10">
        <f>Tabella211[[#This Row],[Cum_fit]]*(1-Tabella211[[#This Row],[Cum_fit]]/K)/w</f>
        <v>95.001415801386855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-2676.0973423059531</v>
      </c>
      <c r="P78" s="48"/>
      <c r="Q78" s="60">
        <f>Tabella211[[#This Row],[Cum_recov]]*NOT(ISBLANK(Tabella211[[#This Row],[Cum_recov]]))</f>
        <v>0</v>
      </c>
      <c r="R78" s="50">
        <f>Kr/(1+EXP(-(Tabella211[[#This Row],[Day]]-t0r)/wr))</f>
        <v>99610.698507295951</v>
      </c>
      <c r="S78" s="10">
        <f>Tabella211[[#This Row],[Cum_R_fit]]*(1-Tabella211[[#This Row],[Cum_R_fit]]/Kr)/wr</f>
        <v>2759.014006810004</v>
      </c>
      <c r="T78" s="60">
        <f>Tabella211[[#This Row],[Cum_R_fit]]*NOT(ISBLANK(Tabella211[[#This Row],[Cum_recov]]))</f>
        <v>0</v>
      </c>
      <c r="X78" s="26"/>
      <c r="Y78" s="64">
        <f>Tabella211[[#This Row],[Cum_deaths]]*NOT(ISBLANK(Tabella211[[#This Row],[Cum_deaths]]))</f>
        <v>0</v>
      </c>
      <c r="Z78" s="50">
        <f>Kh/(1+EXP(-(Tabella211[[#This Row],[Day]]-t0h)/wh))</f>
        <v>21932.329827033576</v>
      </c>
      <c r="AA78" s="10">
        <f>Tabella211[[#This Row],[Cum_D_fit]]*(1-Tabella211[[#This Row],[Cum_D_fit]]/Kh)/wh</f>
        <v>12.08475129733603</v>
      </c>
      <c r="AB78" s="64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5.5709167850649019E-12</v>
      </c>
      <c r="F99" s="10">
        <f>E99+CI</f>
        <v>5558.7046167954677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3.0086724514395847E-11</v>
      </c>
      <c r="J99" s="10">
        <f t="shared" ref="J99:J138" si="4">I99+CIh</f>
        <v>549.77714474160098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346.44870703077117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1.2755563931881765E-9</v>
      </c>
      <c r="F100" s="10">
        <f>E100+CI</f>
        <v>5558.7046167967374</v>
      </c>
      <c r="G100" s="10">
        <f>MAX(E100-CI,0)</f>
        <v>0</v>
      </c>
      <c r="H100" s="25">
        <v>1</v>
      </c>
      <c r="I100" s="8">
        <f t="shared" si="3"/>
        <v>4.5477339774438021E-9</v>
      </c>
      <c r="J100" s="10">
        <f t="shared" si="4"/>
        <v>549.77714474611855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3.0274203023700742E-8</v>
      </c>
      <c r="F101" s="10">
        <f>E101+CI</f>
        <v>5558.7046168257366</v>
      </c>
      <c r="G101" s="10">
        <f>MAX(E101-CI,0)</f>
        <v>0</v>
      </c>
      <c r="H101" s="25">
        <v>2</v>
      </c>
      <c r="I101" s="8">
        <f t="shared" si="3"/>
        <v>8.4738590816269158E-8</v>
      </c>
      <c r="J101" s="10">
        <f t="shared" si="4"/>
        <v>549.7771448263095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2.8406289982921169E-7</v>
      </c>
      <c r="F102" s="10">
        <f>E102+CI</f>
        <v>5558.7046170795247</v>
      </c>
      <c r="G102" s="10">
        <f>MAX(E102-CI,0)</f>
        <v>0</v>
      </c>
      <c r="H102" s="25">
        <v>3</v>
      </c>
      <c r="I102" s="8">
        <f t="shared" si="3"/>
        <v>6.7011840784785098E-7</v>
      </c>
      <c r="J102" s="10">
        <f t="shared" si="4"/>
        <v>549.77714541168928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1.6029489974637536E-6</v>
      </c>
      <c r="F103" s="10">
        <f t="shared" ref="F103:F143" si="6">E103+CI</f>
        <v>5558.7046183984112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3.3133727597452182E-6</v>
      </c>
      <c r="J103" s="10">
        <f t="shared" si="4"/>
        <v>549.77714805494361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6.5575656821119324E-6</v>
      </c>
      <c r="F104" s="10">
        <f t="shared" si="6"/>
        <v>5558.7046233530282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1.2172699710214512E-5</v>
      </c>
      <c r="J104" s="10">
        <f t="shared" si="4"/>
        <v>549.77715691427056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2.1486890519640065E-5</v>
      </c>
      <c r="F105" s="10">
        <f t="shared" si="6"/>
        <v>5558.7046382823528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3.6431889343183079E-5</v>
      </c>
      <c r="J105" s="10">
        <f t="shared" si="4"/>
        <v>549.77718117346024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5.9848446357477869E-5</v>
      </c>
      <c r="F106" s="10">
        <f t="shared" si="6"/>
        <v>5558.7046766439089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9.3846773518428721E-5</v>
      </c>
      <c r="J106" s="10">
        <f t="shared" si="4"/>
        <v>549.7772385883444</v>
      </c>
      <c r="K106" s="10">
        <f t="shared" si="5"/>
        <v>0</v>
      </c>
      <c r="L106" s="1"/>
      <c r="M106" s="5" t="s">
        <v>6</v>
      </c>
      <c r="N106" s="7">
        <f>TINV(0.05,df)</f>
        <v>2.0106347576242314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1.4724758506765817E-4</v>
      </c>
      <c r="F107" s="10">
        <f t="shared" si="6"/>
        <v>5558.7047640430474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2.1557236490436383E-4</v>
      </c>
      <c r="J107" s="10">
        <f t="shared" si="4"/>
        <v>549.77736031393579</v>
      </c>
      <c r="K107" s="10">
        <f t="shared" si="5"/>
        <v>0</v>
      </c>
      <c r="L107" s="1"/>
      <c r="M107" s="5" t="s">
        <v>7</v>
      </c>
      <c r="N107" s="1">
        <f>Critical_t*SE_of_y</f>
        <v>5558.7046167954622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3.2850349891074335E-4</v>
      </c>
      <c r="F108" s="10">
        <f t="shared" si="6"/>
        <v>5558.7049452989613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4.5239032078499085E-4</v>
      </c>
      <c r="J108" s="10">
        <f t="shared" si="4"/>
        <v>549.77759713189164</v>
      </c>
      <c r="K108" s="10">
        <f t="shared" si="5"/>
        <v>0</v>
      </c>
      <c r="L108" s="1"/>
      <c r="M108" s="32" t="s">
        <v>67</v>
      </c>
      <c r="N108" s="33">
        <f>t0*_xlfn.GAMMA(w+1)</f>
        <v>126161.05342768104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6.7708876955779851E-4</v>
      </c>
      <c r="F109" s="10">
        <f t="shared" si="6"/>
        <v>5558.7052938842317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8.8242263450452683E-4</v>
      </c>
      <c r="J109" s="10">
        <f t="shared" si="4"/>
        <v>549.77802716420535</v>
      </c>
      <c r="K109" s="10">
        <f t="shared" si="5"/>
        <v>0</v>
      </c>
      <c r="L109" s="1"/>
      <c r="M109" s="23" t="s">
        <v>53</v>
      </c>
      <c r="N109" s="3"/>
      <c r="AB109" s="45">
        <f>MAX($N$24)</f>
        <v>1595.2378494241493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1.3072495873517353E-3</v>
      </c>
      <c r="F110" s="10">
        <f t="shared" si="6"/>
        <v>5558.7059240450499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1.6203854588010545E-3</v>
      </c>
      <c r="J110" s="10">
        <f t="shared" si="4"/>
        <v>549.7787651270296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2.3890775279953895E-3</v>
      </c>
      <c r="F111" s="10">
        <f t="shared" si="6"/>
        <v>5558.7070058729905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2.8284071668053549E-3</v>
      </c>
      <c r="J111" s="10">
        <f t="shared" si="4"/>
        <v>549.77997314873767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4.1667628627223181E-3</v>
      </c>
      <c r="F112" s="10">
        <f t="shared" si="6"/>
        <v>5558.7087835583252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4.7284074232700271E-3</v>
      </c>
      <c r="J112" s="10">
        <f t="shared" si="4"/>
        <v>549.78187314899412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6.980215394466689E-3</v>
      </c>
      <c r="F113" s="10">
        <f t="shared" si="6"/>
        <v>5558.7115970108571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7.6160093023580778E-3</v>
      </c>
      <c r="J113" s="10">
        <f t="shared" si="4"/>
        <v>549.78476075087326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1.1290193089473995E-2</v>
      </c>
      <c r="F114" s="10">
        <f t="shared" si="6"/>
        <v>5558.715906988552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1.1875934389607505E-2</v>
      </c>
      <c r="J114" s="10">
        <f t="shared" si="4"/>
        <v>549.7890206759605</v>
      </c>
      <c r="K114" s="10">
        <f t="shared" si="5"/>
        <v>0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1.7707032421973863E-2</v>
      </c>
      <c r="F115" s="10">
        <f t="shared" si="6"/>
        <v>5558.7223238278839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1.7998811321728973E-2</v>
      </c>
      <c r="J115" s="10">
        <f t="shared" si="4"/>
        <v>549.79514355289257</v>
      </c>
      <c r="K115" s="10">
        <f t="shared" si="5"/>
        <v>0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2.7023028289021148E-2</v>
      </c>
      <c r="F116" s="10">
        <f t="shared" si="6"/>
        <v>5558.7316398237508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2.6599311281688232E-2</v>
      </c>
      <c r="J116" s="10">
        <f t="shared" si="4"/>
        <v>549.80374405285249</v>
      </c>
      <c r="K116" s="10">
        <f t="shared" si="5"/>
        <v>0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4.024846633887693E-2</v>
      </c>
      <c r="F117" s="10">
        <f t="shared" si="6"/>
        <v>5558.7448652618014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3.8435509480335403E-2</v>
      </c>
      <c r="J117" s="10">
        <f t="shared" si="4"/>
        <v>549.81558025105119</v>
      </c>
      <c r="K117" s="10">
        <f t="shared" si="5"/>
        <v>0</v>
      </c>
      <c r="L117" s="1"/>
      <c r="M117" s="2" t="s">
        <v>6</v>
      </c>
      <c r="N117" s="7">
        <f>TINV(0.05,dfh)</f>
        <v>2.0106347576242314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5.8651267202446698E-2</v>
      </c>
      <c r="F118" s="10">
        <f t="shared" si="6"/>
        <v>5558.7632680626648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5.4429359500960638E-2</v>
      </c>
      <c r="J118" s="10">
        <f t="shared" si="4"/>
        <v>549.83157410107185</v>
      </c>
      <c r="K118" s="10">
        <f t="shared" si="5"/>
        <v>0</v>
      </c>
      <c r="L118" s="1"/>
      <c r="M118" s="2" t="s">
        <v>7</v>
      </c>
      <c r="N118" s="1">
        <f>Critical_th*SE_of_yh</f>
        <v>549.77714474157085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8.38001609130926E-2</v>
      </c>
      <c r="F119" s="10">
        <f t="shared" si="6"/>
        <v>5558.7884169563749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7.5688157427068747E-2</v>
      </c>
      <c r="J119" s="10">
        <f t="shared" si="4"/>
        <v>549.85283289899792</v>
      </c>
      <c r="K119" s="10">
        <f t="shared" si="5"/>
        <v>0</v>
      </c>
      <c r="L119" s="1"/>
      <c r="M119" s="34" t="s">
        <v>67</v>
      </c>
      <c r="N119" s="35">
        <f>t0h*_xlfn.GAMMA(wh+1)</f>
        <v>41888.561786620463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0.11761127112854211</v>
      </c>
      <c r="F120" s="10">
        <f t="shared" si="6"/>
        <v>5558.8222280665905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0.10352686477543965</v>
      </c>
      <c r="J120" s="10">
        <f t="shared" si="4"/>
        <v>549.88067160634625</v>
      </c>
      <c r="K120" s="10">
        <f t="shared" si="5"/>
        <v>0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0.16239795292013831</v>
      </c>
      <c r="F121" s="10">
        <f t="shared" si="6"/>
        <v>5558.8670147483826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0.13949115327082937</v>
      </c>
      <c r="J121" s="10">
        <f t="shared" si="4"/>
        <v>549.91663589484165</v>
      </c>
      <c r="K121" s="10">
        <f t="shared" si="5"/>
        <v>0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0.22092369507998549</v>
      </c>
      <c r="F122" s="10">
        <f t="shared" si="6"/>
        <v>5558.9255404905425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0.18538103027876346</v>
      </c>
      <c r="J122" s="10">
        <f t="shared" si="4"/>
        <v>549.96252577184964</v>
      </c>
      <c r="K122" s="10">
        <f t="shared" si="5"/>
        <v>0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0.29645786825755682</v>
      </c>
      <c r="F123" s="10">
        <f t="shared" si="6"/>
        <v>5559.0010746637199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0.24327490111301978</v>
      </c>
      <c r="J123" s="10">
        <f t="shared" si="4"/>
        <v>550.02041964268392</v>
      </c>
      <c r="K123" s="10">
        <f t="shared" si="5"/>
        <v>0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0.3928340738569312</v>
      </c>
      <c r="F124" s="10">
        <f t="shared" si="6"/>
        <v>5559.0974508693189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0.3155539233115095</v>
      </c>
      <c r="J124" s="10">
        <f t="shared" si="4"/>
        <v>550.09269866488239</v>
      </c>
      <c r="K124" s="10">
        <f t="shared" si="5"/>
        <v>0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0.51451082553657146</v>
      </c>
      <c r="F125" s="10">
        <f t="shared" si="6"/>
        <v>5559.2191276209987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0.40492650818924203</v>
      </c>
      <c r="J125" s="10">
        <f t="shared" si="4"/>
        <v>550.18207124976004</v>
      </c>
      <c r="K125" s="10">
        <f t="shared" si="5"/>
        <v>0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0.66663427534513908</v>
      </c>
      <c r="F126" s="10">
        <f t="shared" si="6"/>
        <v>5559.3712510708074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0.51445282639574019</v>
      </c>
      <c r="J126" s="10">
        <f t="shared" si="4"/>
        <v>550.29159756796662</v>
      </c>
      <c r="K126" s="10">
        <f t="shared" si="5"/>
        <v>0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0.85510267995302758</v>
      </c>
      <c r="F127" s="10">
        <f t="shared" si="6"/>
        <v>5559.5597194754155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0.64756917669810388</v>
      </c>
      <c r="J127" s="10">
        <f t="shared" si="4"/>
        <v>550.42471391826894</v>
      </c>
      <c r="K127" s="10">
        <f t="shared" si="5"/>
        <v>0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1.0866322890236395</v>
      </c>
      <c r="F128" s="10">
        <f t="shared" si="6"/>
        <v>5559.7912490844856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0.80811208065749962</v>
      </c>
      <c r="J128" s="10">
        <f t="shared" si="4"/>
        <v>550.5852568222283</v>
      </c>
      <c r="K128" s="10">
        <f t="shared" si="5"/>
        <v>0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1.3688243274097387</v>
      </c>
      <c r="F129" s="10">
        <f t="shared" si="6"/>
        <v>5560.0734411228723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1.0003419701501208</v>
      </c>
      <c r="J129" s="10">
        <f t="shared" si="4"/>
        <v>550.77748671172094</v>
      </c>
      <c r="K129" s="10">
        <f t="shared" si="5"/>
        <v>0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1.7102327354370239</v>
      </c>
      <c r="F130" s="10">
        <f t="shared" si="6"/>
        <v>5560.4148495308991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1.2289663396942472</v>
      </c>
      <c r="J130" s="10">
        <f t="shared" si="4"/>
        <v>551.00611108126509</v>
      </c>
      <c r="K130" s="10">
        <f t="shared" si="5"/>
        <v>0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2.1204323269117937</v>
      </c>
      <c r="F131" s="10">
        <f t="shared" si="6"/>
        <v>5560.8250491223744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1.4991622411800896</v>
      </c>
      <c r="J131" s="10">
        <f t="shared" si="4"/>
        <v>551.27630698275095</v>
      </c>
      <c r="K131" s="10">
        <f t="shared" si="5"/>
        <v>0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2.610087022512229</v>
      </c>
      <c r="F132" s="10">
        <f t="shared" si="6"/>
        <v>5561.3147038179741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1.8165980047626751</v>
      </c>
      <c r="J132" s="10">
        <f t="shared" si="4"/>
        <v>551.59374274633353</v>
      </c>
      <c r="K132" s="10">
        <f t="shared" si="5"/>
        <v>0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3.1910178167336998</v>
      </c>
      <c r="F133" s="10">
        <f t="shared" si="6"/>
        <v>5561.8956346121959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2.1874540762803552</v>
      </c>
      <c r="J133" s="10">
        <f t="shared" si="4"/>
        <v>551.9645988178512</v>
      </c>
      <c r="K133" s="10">
        <f t="shared" si="5"/>
        <v>0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3.8762701393917509</v>
      </c>
      <c r="F134" s="10">
        <f t="shared" si="6"/>
        <v>5562.5808869348539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2.6184428685197645</v>
      </c>
      <c r="J134" s="10">
        <f t="shared" si="4"/>
        <v>552.39558761009062</v>
      </c>
      <c r="K134" s="10">
        <f t="shared" si="5"/>
        <v>0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4.6801802776714903</v>
      </c>
      <c r="F135" s="10">
        <f t="shared" si="6"/>
        <v>5563.384797073134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3.1168275308852285</v>
      </c>
      <c r="J135" s="10">
        <f t="shared" si="4"/>
        <v>552.89397227245604</v>
      </c>
      <c r="K135" s="10">
        <f t="shared" si="5"/>
        <v>0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5.618440531676586</v>
      </c>
      <c r="F136" s="10">
        <f t="shared" si="6"/>
        <v>5564.3230573271385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3.6904395494760607</v>
      </c>
      <c r="J136" s="10">
        <f t="shared" si="4"/>
        <v>553.46758429104693</v>
      </c>
      <c r="K136" s="10">
        <f t="shared" si="5"/>
        <v>0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6.7081627852019619</v>
      </c>
      <c r="F137" s="10">
        <f t="shared" si="6"/>
        <v>5565.4127795806644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4.3476950971640429</v>
      </c>
      <c r="J137" s="10">
        <f t="shared" si="4"/>
        <v>554.12483983873494</v>
      </c>
      <c r="K137" s="10">
        <f t="shared" si="5"/>
        <v>0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7.9679401838603052</v>
      </c>
      <c r="F138" s="10">
        <f t="shared" si="6"/>
        <v>5566.6725569793225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5.0976100609360557</v>
      </c>
      <c r="J138" s="10">
        <f t="shared" si="4"/>
        <v>554.87475480250691</v>
      </c>
      <c r="K138" s="10">
        <f t="shared" si="5"/>
        <v>0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9.4179066245641341</v>
      </c>
      <c r="F139" s="10">
        <f t="shared" si="6"/>
        <v>5568.1225234200265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5.9498136814704417</v>
      </c>
      <c r="J139" s="10">
        <f>I139+CIh</f>
        <v>555.72695842304131</v>
      </c>
      <c r="K139" s="10">
        <f>MAX(I139-CIh,0)</f>
        <v>0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11.079793773536206</v>
      </c>
      <c r="F140" s="10">
        <f t="shared" si="6"/>
        <v>5569.7844105689983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6.9145607475995376</v>
      </c>
      <c r="J140" s="10">
        <f>I140+CIh</f>
        <v>556.69170548917043</v>
      </c>
      <c r="K140" s="10">
        <f>MAX(I140-CIh,0)</f>
        <v>0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12.976985344333288</v>
      </c>
      <c r="F141" s="10">
        <f t="shared" si="6"/>
        <v>5571.6816021397954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8.0027422959333165</v>
      </c>
      <c r="J141" s="10">
        <f>I141+CIh</f>
        <v>557.77988703750418</v>
      </c>
      <c r="K141" s="10">
        <f>MAX(I141-CIh,0)</f>
        <v>0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15.134568382660985</v>
      </c>
      <c r="F142" s="10">
        <f t="shared" si="6"/>
        <v>5573.8391851781234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9.2258947734384549</v>
      </c>
      <c r="J142" s="10">
        <f>I142+CIh</f>
        <v>559.00303951500928</v>
      </c>
      <c r="K142" s="10">
        <f>MAX(I142-CIh,0)</f>
        <v>0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17.579381320887006</v>
      </c>
      <c r="F143" s="10">
        <f t="shared" si="6"/>
        <v>5576.2839981163488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10.596207628150804</v>
      </c>
      <c r="J143" s="10">
        <f>I143+CIh</f>
        <v>560.3733523697216</v>
      </c>
      <c r="K143" s="10">
        <f>MAX(I143-CIh,0)</f>
        <v>0</v>
      </c>
    </row>
    <row r="144" spans="2:14" x14ac:dyDescent="0.3">
      <c r="B144" s="9">
        <v>43926</v>
      </c>
      <c r="C144" s="4">
        <v>46</v>
      </c>
      <c r="E144" s="8">
        <f t="shared" si="2"/>
        <v>20.34005858197823</v>
      </c>
      <c r="I144" s="8">
        <f t="shared" si="3"/>
        <v>12.126529300413363</v>
      </c>
    </row>
    <row r="145" spans="2:9" x14ac:dyDescent="0.3">
      <c r="B145" s="9">
        <v>43927</v>
      </c>
      <c r="C145" s="4">
        <v>47</v>
      </c>
      <c r="E145" s="8">
        <f t="shared" si="2"/>
        <v>23.447071529959238</v>
      </c>
      <c r="I145" s="8">
        <f t="shared" si="3"/>
        <v>13.830371594052359</v>
      </c>
    </row>
    <row r="146" spans="2:9" x14ac:dyDescent="0.3">
      <c r="B146" s="9">
        <v>43928</v>
      </c>
      <c r="C146" s="4">
        <v>48</v>
      </c>
      <c r="E146" s="8">
        <f t="shared" si="2"/>
        <v>26.93276558178821</v>
      </c>
      <c r="I146" s="8">
        <f t="shared" si="3"/>
        <v>15.721912413704077</v>
      </c>
    </row>
    <row r="147" spans="2:9" x14ac:dyDescent="0.3">
      <c r="B147" s="9">
        <v>43929</v>
      </c>
      <c r="C147" s="4">
        <v>49</v>
      </c>
      <c r="E147" s="8">
        <f t="shared" si="2"/>
        <v>30.831393313645666</v>
      </c>
      <c r="I147" s="8">
        <f t="shared" si="3"/>
        <v>17.815996861067902</v>
      </c>
    </row>
    <row r="148" spans="2:9" x14ac:dyDescent="0.3">
      <c r="B148" s="9">
        <v>43930</v>
      </c>
      <c r="C148" s="4">
        <v>50</v>
      </c>
      <c r="E148" s="8">
        <f t="shared" si="2"/>
        <v>35.179143412919146</v>
      </c>
      <c r="I148" s="8">
        <f t="shared" si="3"/>
        <v>20.128136689165249</v>
      </c>
    </row>
    <row r="149" spans="2:9" x14ac:dyDescent="0.3">
      <c r="B149" s="9">
        <v>43931</v>
      </c>
      <c r="C149" s="4">
        <v>51</v>
      </c>
      <c r="E149" s="8">
        <f t="shared" si="2"/>
        <v>40.014165345537265</v>
      </c>
      <c r="I149" s="8">
        <f t="shared" si="3"/>
        <v>22.674508119719942</v>
      </c>
    </row>
    <row r="150" spans="2:9" x14ac:dyDescent="0.3">
      <c r="B150" s="9">
        <v>43932</v>
      </c>
      <c r="C150" s="4">
        <v>52</v>
      </c>
      <c r="E150" s="8">
        <f t="shared" si="2"/>
        <v>45.376589626653654</v>
      </c>
      <c r="I150" s="8">
        <f t="shared" si="3"/>
        <v>25.471948034527152</v>
      </c>
    </row>
    <row r="151" spans="2:9" x14ac:dyDescent="0.3">
      <c r="B151" s="9">
        <v>43933</v>
      </c>
      <c r="C151" s="4">
        <v>53</v>
      </c>
      <c r="E151" s="8">
        <f t="shared" si="2"/>
        <v>51.308543600924281</v>
      </c>
      <c r="I151" s="8">
        <f t="shared" si="3"/>
        <v>28.537948557139565</v>
      </c>
    </row>
    <row r="152" spans="2:9" x14ac:dyDescent="0.3">
      <c r="B152" s="9">
        <v>43934</v>
      </c>
      <c r="C152" s="4">
        <v>54</v>
      </c>
      <c r="E152" s="8">
        <f t="shared" si="2"/>
        <v>57.854162656661302</v>
      </c>
      <c r="I152" s="8">
        <f t="shared" si="3"/>
        <v>31.890650046361113</v>
      </c>
    </row>
    <row r="153" spans="2:9" x14ac:dyDescent="0.3">
      <c r="B153" s="9">
        <v>43935</v>
      </c>
      <c r="C153" s="4">
        <v>55</v>
      </c>
      <c r="E153" s="8">
        <f t="shared" si="2"/>
        <v>65.059596815914858</v>
      </c>
      <c r="I153" s="8">
        <f t="shared" si="3"/>
        <v>35.548832527897844</v>
      </c>
    </row>
    <row r="154" spans="2:9" x14ac:dyDescent="0.3">
      <c r="B154" s="9">
        <v>43936</v>
      </c>
      <c r="C154" s="4">
        <v>56</v>
      </c>
      <c r="E154" s="8">
        <f t="shared" si="2"/>
        <v>72.973012659963302</v>
      </c>
      <c r="I154" s="8">
        <f t="shared" si="3"/>
        <v>39.531905595069425</v>
      </c>
    </row>
    <row r="155" spans="2:9" x14ac:dyDescent="0.3">
      <c r="B155" s="9">
        <v>43937</v>
      </c>
      <c r="C155" s="4">
        <v>57</v>
      </c>
      <c r="E155" s="8">
        <f t="shared" si="2"/>
        <v>81.644590566698582</v>
      </c>
      <c r="I155" s="8">
        <f t="shared" si="3"/>
        <v>43.859896813726266</v>
      </c>
    </row>
    <row r="156" spans="2:9" x14ac:dyDescent="0.3">
      <c r="B156" s="9">
        <v>43938</v>
      </c>
      <c r="C156" s="4">
        <v>58</v>
      </c>
      <c r="E156" s="8">
        <f t="shared" si="2"/>
        <v>91.126517252951757</v>
      </c>
      <c r="I156" s="8">
        <f t="shared" si="3"/>
        <v>48.553438670459123</v>
      </c>
    </row>
    <row r="157" spans="2:9" x14ac:dyDescent="0.3">
      <c r="B157" s="9">
        <v>43939</v>
      </c>
      <c r="C157" s="4">
        <v>59</v>
      </c>
      <c r="E157" s="8">
        <f t="shared" si="2"/>
        <v>101.47297363082687</v>
      </c>
      <c r="I157" s="8">
        <f t="shared" si="3"/>
        <v>53.633754106816774</v>
      </c>
    </row>
    <row r="158" spans="2:9" x14ac:dyDescent="0.3">
      <c r="B158" s="9">
        <v>43940</v>
      </c>
      <c r="C158" s="4">
        <v>60</v>
      </c>
      <c r="E158" s="8">
        <f t="shared" si="2"/>
        <v>112.74011800258151</v>
      </c>
      <c r="I158" s="8">
        <f t="shared" si="3"/>
        <v>59.122640685577629</v>
      </c>
    </row>
    <row r="159" spans="2:9" x14ac:dyDescent="0.3">
      <c r="B159" s="9">
        <v>43941</v>
      </c>
      <c r="C159" s="4">
        <v>61</v>
      </c>
      <c r="E159" s="8">
        <f t="shared" si="2"/>
        <v>124.98606463346083</v>
      </c>
      <c r="I159" s="8">
        <f t="shared" si="3"/>
        <v>65.042453438154837</v>
      </c>
    </row>
    <row r="160" spans="2:9" x14ac:dyDescent="0.3">
      <c r="B160" s="9">
        <v>43942</v>
      </c>
      <c r="C160" s="4">
        <v>62</v>
      </c>
      <c r="E160" s="8">
        <f t="shared" si="2"/>
        <v>138.27085775611943</v>
      </c>
      <c r="I160" s="8">
        <f t="shared" si="3"/>
        <v>71.41608644494525</v>
      </c>
    </row>
    <row r="161" spans="2:9" x14ac:dyDescent="0.3">
      <c r="B161" s="9">
        <v>43943</v>
      </c>
      <c r="C161" s="4">
        <v>63</v>
      </c>
      <c r="E161" s="8">
        <f t="shared" si="2"/>
        <v>152.65644107382505</v>
      </c>
      <c r="I161" s="8">
        <f t="shared" si="3"/>
        <v>78.266953202892211</v>
      </c>
    </row>
    <row r="162" spans="2:9" x14ac:dyDescent="0.3">
      <c r="B162" s="9">
        <v>43944</v>
      </c>
      <c r="C162" s="4">
        <v>64</v>
      </c>
      <c r="E162" s="8">
        <f t="shared" si="2"/>
        <v>168.20662284252705</v>
      </c>
      <c r="I162" s="8">
        <f t="shared" si="3"/>
        <v>85.618965836694699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U78"/>
  <sheetViews>
    <sheetView topLeftCell="W7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109375" style="2" customWidth="1"/>
    <col min="5" max="5" width="15.21875" style="2" customWidth="1"/>
    <col min="6" max="6" width="23.21875" style="2" customWidth="1"/>
    <col min="7" max="7" width="19.109375" style="2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6" width="8.88671875" style="2"/>
    <col min="47" max="47" width="9.5546875" style="2" bestFit="1" customWidth="1"/>
    <col min="48" max="16384" width="8.88671875" style="2"/>
  </cols>
  <sheetData>
    <row r="2" spans="2:47" ht="23.4" x14ac:dyDescent="0.45">
      <c r="B2" s="122" t="s">
        <v>11</v>
      </c>
      <c r="C2" s="122"/>
      <c r="D2" s="122"/>
      <c r="E2" s="122"/>
      <c r="F2" s="122"/>
      <c r="G2" s="122"/>
      <c r="H2" s="122"/>
    </row>
    <row r="3" spans="2:47" ht="17.399999999999999" customHeight="1" thickBot="1" x14ac:dyDescent="0.65">
      <c r="B3" s="12"/>
      <c r="C3" s="13"/>
      <c r="D3" s="13"/>
      <c r="E3" s="13"/>
      <c r="F3" s="13"/>
      <c r="G3" s="13"/>
      <c r="H3" s="12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87" t="s">
        <v>0</v>
      </c>
      <c r="AI3" s="126" t="s">
        <v>71</v>
      </c>
      <c r="AJ3" s="126"/>
      <c r="AK3" s="126"/>
      <c r="AL3" s="126"/>
    </row>
    <row r="4" spans="2:47" ht="20.399999999999999" thickBot="1" x14ac:dyDescent="0.45">
      <c r="B4" s="124" t="s">
        <v>113</v>
      </c>
      <c r="C4" s="124"/>
      <c r="D4" s="124"/>
      <c r="E4" s="124"/>
      <c r="F4" s="124"/>
      <c r="G4" s="124"/>
      <c r="H4" s="12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86" t="s">
        <v>93</v>
      </c>
      <c r="AI4" s="126" t="s">
        <v>71</v>
      </c>
      <c r="AJ4" s="126"/>
      <c r="AK4" s="126"/>
      <c r="AL4" s="126"/>
    </row>
    <row r="5" spans="2:47" ht="18.600000000000001" thickTop="1" thickBot="1" x14ac:dyDescent="0.4">
      <c r="B5" s="125" t="s">
        <v>107</v>
      </c>
      <c r="C5" s="125"/>
      <c r="D5" s="125"/>
      <c r="E5" s="125"/>
      <c r="F5" s="125"/>
      <c r="G5" s="125"/>
      <c r="H5" s="12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86" t="s">
        <v>1</v>
      </c>
      <c r="AI5" s="126" t="s">
        <v>71</v>
      </c>
      <c r="AJ5" s="126"/>
      <c r="AK5" s="126"/>
      <c r="AL5" s="126"/>
    </row>
    <row r="6" spans="2:47" ht="19.2" thickTop="1" thickBot="1" x14ac:dyDescent="0.4">
      <c r="B6" s="27"/>
      <c r="C6" s="13"/>
      <c r="D6" s="13"/>
      <c r="E6" s="13"/>
      <c r="F6" s="13"/>
      <c r="G6" s="13"/>
      <c r="H6" s="12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7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81" t="s">
        <v>84</v>
      </c>
      <c r="Z7" s="8" t="s">
        <v>64</v>
      </c>
      <c r="AA7" s="8" t="s">
        <v>91</v>
      </c>
      <c r="AB7" s="81" t="s">
        <v>85</v>
      </c>
      <c r="AC7" s="8" t="s">
        <v>65</v>
      </c>
      <c r="AD7" s="8" t="s">
        <v>66</v>
      </c>
      <c r="AE7" s="8"/>
      <c r="AF7" s="65" t="s">
        <v>46</v>
      </c>
      <c r="AG7" s="66" t="s">
        <v>94</v>
      </c>
      <c r="AH7" s="3"/>
      <c r="AU7" s="77" t="s">
        <v>72</v>
      </c>
    </row>
    <row r="8" spans="2:47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Kn/(1+EXP(-(Tabella2[[#This Row],[Day]]-t0n)/wn))</f>
        <v>1602.6381370762444</v>
      </c>
      <c r="H8" s="10">
        <f>Tabella2[[#This Row],[Cum_fit]]*(1-Tabella2[[#This Row],[Cum_fit]]/Kn)/wn</f>
        <v>230.74039447986172</v>
      </c>
      <c r="I8" s="56">
        <f>Tabella2[[#This Row],[New_cases_fit]]*NOT(ISBLANK(Tabella2[[#This Row],[New cases]]))</f>
        <v>230.74039447986172</v>
      </c>
      <c r="J8" s="10">
        <f>Tabella2[[#This Row],[New_cases_fit]]+CIn</f>
        <v>1944.6256570800169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158.36016036351296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Kd/(1+EXP(-(Tabella2[[#This Row],[Day]]-t0d)/wd))</f>
        <v>661.45045125979971</v>
      </c>
      <c r="S8" s="10">
        <f>Tabella2[[#This Row],[Cum_R_fit]]*(1-Tabella2[[#This Row],[Cum_R_fit]]/Kd)/wd</f>
        <v>58.010052527517558</v>
      </c>
      <c r="T8" s="60">
        <f>Tabella2[[#This Row],[New_Recovered_fit]]*NOT(ISBLANK(Tabella2[[#This Row],[New recovered]]))</f>
        <v>0</v>
      </c>
      <c r="U8" s="10">
        <f>Tabella2[[#This Row],[New_Recovered_fit]]+CId</f>
        <v>768.25619270052039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4">
        <f>Tabella2[[#This Row],[New deaths]]*NOT(ISBLANK(Tabella2[[#This Row],[New deaths]]))</f>
        <v>0</v>
      </c>
      <c r="Z8" s="50">
        <f>Kt/(1+EXP(-(Tabella2[[#This Row],[Day]]-t0t)/wt))</f>
        <v>90.569627877038954</v>
      </c>
      <c r="AA8" s="10">
        <f>Tabella2[[#This Row],[Cum_D_fit]]*(1-Tabella2[[#This Row],[Cum_D_fit]]/Kt)/wt</f>
        <v>14.370181588831207</v>
      </c>
      <c r="AB8" s="64">
        <f>Tabella2[[#This Row],[New_Deaths_fit]]*NOT(ISBLANK(Tabella2[[#This Row],[New deaths]]))</f>
        <v>0</v>
      </c>
      <c r="AC8" s="10">
        <f>Tabella2[[#This Row],[New_Deaths_fit]]+CIt</f>
        <v>227.57409234500292</v>
      </c>
      <c r="AD8" s="10">
        <f>MAX(Tabella2[[#This Row],[New_Deaths_fit]]-CIt,0)</f>
        <v>0</v>
      </c>
      <c r="AE8" s="8"/>
      <c r="AF8" s="97" t="s">
        <v>0</v>
      </c>
      <c r="AG8" s="98">
        <f>K</f>
        <v>167294.84086578502</v>
      </c>
      <c r="AH8" s="3"/>
      <c r="AU8" s="90">
        <f>MAX($AG$14)</f>
        <v>0.91286328655918414</v>
      </c>
    </row>
    <row r="9" spans="2:47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Kn/(1+EXP(-(Tabella2[[#This Row],[Day]]-t0n)/wn))</f>
        <v>1850.6210350450003</v>
      </c>
      <c r="H9" s="10">
        <f>Tabella2[[#This Row],[Cum_fit]]*(1-Tabella2[[#This Row],[Cum_fit]]/Kn)/wn</f>
        <v>266.04504761015374</v>
      </c>
      <c r="I9" s="56">
        <f>Tabella2[[#This Row],[New_cases_fit]]*NOT(ISBLANK(Tabella2[[#This Row],[New cases]]))</f>
        <v>266.04504761015374</v>
      </c>
      <c r="J9" s="10">
        <f>Tabella2[[#This Row],[New_cases_fit]]+CIn</f>
        <v>1979.9303102103088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185.91719522734954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Kd/(1+EXP(-(Tabella2[[#This Row],[Day]]-t0d)/wd))</f>
        <v>722.06722733501272</v>
      </c>
      <c r="S9" s="10">
        <f>Tabella2[[#This Row],[Cum_R_fit]]*(1-Tabella2[[#This Row],[Cum_R_fit]]/Kd)/wd</f>
        <v>63.299679524545795</v>
      </c>
      <c r="T9" s="60">
        <f>Tabella2[[#This Row],[New_Recovered_fit]]*NOT(ISBLANK(Tabella2[[#This Row],[New recovered]]))</f>
        <v>63.299679524545795</v>
      </c>
      <c r="U9" s="10">
        <f>Tabella2[[#This Row],[New_Recovered_fit]]+CId</f>
        <v>773.54581969754861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4">
        <f>Tabella2[[#This Row],[New deaths]]*NOT(ISBLANK(Tabella2[[#This Row],[New deaths]]))</f>
        <v>3</v>
      </c>
      <c r="Z9" s="50">
        <f>Kt/(1+EXP(-(Tabella2[[#This Row],[Day]]-t0t)/wt))</f>
        <v>106.13676790536346</v>
      </c>
      <c r="AA9" s="10">
        <f>Tabella2[[#This Row],[Cum_D_fit]]*(1-Tabella2[[#This Row],[Cum_D_fit]]/Kt)/wt</f>
        <v>16.828172858258387</v>
      </c>
      <c r="AB9" s="64">
        <f>Tabella2[[#This Row],[New_Deaths_fit]]*NOT(ISBLANK(Tabella2[[#This Row],[New deaths]]))</f>
        <v>16.828172858258387</v>
      </c>
      <c r="AC9" s="10">
        <f>Tabella2[[#This Row],[New_Deaths_fit]]+CIt</f>
        <v>230.03208361443012</v>
      </c>
      <c r="AD9" s="10">
        <f>MAX(Tabella2[[#This Row],[New_Deaths_fit]]-CIt,0)</f>
        <v>0</v>
      </c>
      <c r="AE9" s="8"/>
      <c r="AF9" s="97" t="s">
        <v>108</v>
      </c>
      <c r="AG9" s="99">
        <f>t0</f>
        <v>31.908554116103105</v>
      </c>
      <c r="AH9" s="3"/>
      <c r="AU9" s="91">
        <f>COUNT($AG$8,$AG$9,$AG$10)</f>
        <v>3</v>
      </c>
    </row>
    <row r="10" spans="2:47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Kn/(1+EXP(-(Tabella2[[#This Row],[Day]]-t0n)/wn))</f>
        <v>2136.4805916629098</v>
      </c>
      <c r="H10" s="10">
        <f>Tabella2[[#This Row],[Cum_fit]]*(1-Tabella2[[#This Row],[Cum_fit]]/Kn)/wn</f>
        <v>306.60949542294389</v>
      </c>
      <c r="I10" s="56">
        <f>Tabella2[[#This Row],[New_cases_fit]]*NOT(ISBLANK(Tabella2[[#This Row],[New cases]]))</f>
        <v>306.60949542294389</v>
      </c>
      <c r="J10" s="10">
        <f>Tabella2[[#This Row],[New_cases_fit]]+CIn</f>
        <v>2020.4947580230989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217.8413737422355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Kd/(1+EXP(-(Tabella2[[#This Row],[Day]]-t0d)/wd))</f>
        <v>788.20878310923729</v>
      </c>
      <c r="S10" s="10">
        <f>Tabella2[[#This Row],[Cum_R_fit]]*(1-Tabella2[[#This Row],[Cum_R_fit]]/Kd)/wd</f>
        <v>69.066333580318044</v>
      </c>
      <c r="T10" s="60">
        <f>Tabella2[[#This Row],[New_Recovered_fit]]*NOT(ISBLANK(Tabella2[[#This Row],[New recovered]]))</f>
        <v>69.066333580318044</v>
      </c>
      <c r="U10" s="10">
        <f>Tabella2[[#This Row],[New_Recovered_fit]]+CId</f>
        <v>779.31247375332089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4">
        <f>Tabella2[[#This Row],[New deaths]]*NOT(ISBLANK(Tabella2[[#This Row],[New deaths]]))</f>
        <v>2</v>
      </c>
      <c r="Z10" s="50">
        <f>Kt/(1+EXP(-(Tabella2[[#This Row],[Day]]-t0t)/wt))</f>
        <v>124.36441139740836</v>
      </c>
      <c r="AA10" s="10">
        <f>Tabella2[[#This Row],[Cum_D_fit]]*(1-Tabella2[[#This Row],[Cum_D_fit]]/Kt)/wt</f>
        <v>19.701788100390363</v>
      </c>
      <c r="AB10" s="64">
        <f>Tabella2[[#This Row],[New_Deaths_fit]]*NOT(ISBLANK(Tabella2[[#This Row],[New deaths]]))</f>
        <v>19.701788100390363</v>
      </c>
      <c r="AC10" s="10">
        <f>Tabella2[[#This Row],[New_Deaths_fit]]+CIt</f>
        <v>232.90569885656208</v>
      </c>
      <c r="AD10" s="10">
        <f>MAX(Tabella2[[#This Row],[New_Deaths_fit]]-CIt,0)</f>
        <v>0</v>
      </c>
      <c r="AE10" s="8"/>
      <c r="AF10" s="97" t="s">
        <v>1</v>
      </c>
      <c r="AG10" s="99">
        <f>w</f>
        <v>6.8790959301612045</v>
      </c>
      <c r="AH10" s="3"/>
      <c r="AU10" s="91">
        <f>{32767;32767;0.000001;0;FALSE;FALSE;TRUE;1;1;1;0.0001;TRUE}</f>
        <v>32767</v>
      </c>
    </row>
    <row r="11" spans="2:47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Kn/(1+EXP(-(Tabella2[[#This Row],[Day]]-t0n)/wn))</f>
        <v>2465.8378529687525</v>
      </c>
      <c r="H11" s="10">
        <f>Tabella2[[#This Row],[Cum_fit]]*(1-Tabella2[[#This Row],[Cum_fit]]/Kn)/wn</f>
        <v>353.17034770980371</v>
      </c>
      <c r="I11" s="56">
        <f>Tabella2[[#This Row],[New_cases_fit]]*NOT(ISBLANK(Tabella2[[#This Row],[New cases]]))</f>
        <v>353.17034770980371</v>
      </c>
      <c r="J11" s="10">
        <f>Tabella2[[#This Row],[New_cases_fit]]+CIn</f>
        <v>2067.0556103099589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254.75881295076047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Kd/(1+EXP(-(Tabella2[[#This Row],[Day]]-t0d)/wd))</f>
        <v>860.37286591271572</v>
      </c>
      <c r="S11" s="10">
        <f>Tabella2[[#This Row],[Cum_R_fit]]*(1-Tabella2[[#This Row],[Cum_R_fit]]/Kd)/wd</f>
        <v>75.352018644144962</v>
      </c>
      <c r="T11" s="60">
        <f>Tabella2[[#This Row],[New_Recovered_fit]]*NOT(ISBLANK(Tabella2[[#This Row],[New recovered]]))</f>
        <v>75.352018644144962</v>
      </c>
      <c r="U11" s="10">
        <f>Tabella2[[#This Row],[New_Recovered_fit]]+CId</f>
        <v>785.59815881714781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4">
        <f>Tabella2[[#This Row],[New deaths]]*NOT(ISBLANK(Tabella2[[#This Row],[New deaths]]))</f>
        <v>5</v>
      </c>
      <c r="Z11" s="50">
        <f>Kt/(1+EXP(-(Tabella2[[#This Row],[Day]]-t0t)/wt))</f>
        <v>145.70159717090874</v>
      </c>
      <c r="AA11" s="10">
        <f>Tabella2[[#This Row],[Cum_D_fit]]*(1-Tabella2[[#This Row],[Cum_D_fit]]/Kt)/wt</f>
        <v>23.059516114898276</v>
      </c>
      <c r="AB11" s="64">
        <f>Tabella2[[#This Row],[New_Deaths_fit]]*NOT(ISBLANK(Tabella2[[#This Row],[New deaths]]))</f>
        <v>23.059516114898276</v>
      </c>
      <c r="AC11" s="10">
        <f>Tabella2[[#This Row],[New_Deaths_fit]]+CIt</f>
        <v>236.26342687107001</v>
      </c>
      <c r="AD11" s="10">
        <f>MAX(Tabella2[[#This Row],[New_Deaths_fit]]-CIt,0)</f>
        <v>0</v>
      </c>
      <c r="AE11" s="8"/>
      <c r="AF11" s="67" t="s">
        <v>2</v>
      </c>
      <c r="AG11" s="100">
        <f>AVERAGE(Tabella2[New cases])</f>
        <v>3185.8823529411766</v>
      </c>
      <c r="AH11" s="3"/>
      <c r="AU11" s="91">
        <f>{0;0;1;100;0;FALSE;TRUE;0.075;0;0;FALSE;30}</f>
        <v>0</v>
      </c>
    </row>
    <row r="12" spans="2:47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Kn/(1+EXP(-(Tabella2[[#This Row],[Day]]-t0n)/wn))</f>
        <v>2845.0937864369407</v>
      </c>
      <c r="H12" s="10">
        <f>Tabella2[[#This Row],[Cum_fit]]*(1-Tabella2[[#This Row],[Cum_fit]]/Kn)/wn</f>
        <v>406.55179519372734</v>
      </c>
      <c r="I12" s="56">
        <f>Tabella2[[#This Row],[New_cases_fit]]*NOT(ISBLANK(Tabella2[[#This Row],[New cases]]))</f>
        <v>406.55179519372734</v>
      </c>
      <c r="J12" s="10">
        <f>Tabella2[[#This Row],[New_cases_fit]]+CIn</f>
        <v>2120.4370577938826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297.36908629124167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Kd/(1+EXP(-(Tabella2[[#This Row],[Day]]-t0d)/wd))</f>
        <v>939.10095833892888</v>
      </c>
      <c r="S12" s="10">
        <f>Tabella2[[#This Row],[Cum_R_fit]]*(1-Tabella2[[#This Row],[Cum_R_fit]]/Kd)/wd</f>
        <v>82.202242783269114</v>
      </c>
      <c r="T12" s="60">
        <f>Tabella2[[#This Row],[New_Recovered_fit]]*NOT(ISBLANK(Tabella2[[#This Row],[New recovered]]))</f>
        <v>82.202242783269114</v>
      </c>
      <c r="U12" s="10">
        <f>Tabella2[[#This Row],[New_Recovered_fit]]+CId</f>
        <v>792.44838295627187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4">
        <f>Tabella2[[#This Row],[New deaths]]*NOT(ISBLANK(Tabella2[[#This Row],[New deaths]]))</f>
        <v>4</v>
      </c>
      <c r="Z12" s="50">
        <f>Kt/(1+EXP(-(Tabella2[[#This Row],[Day]]-t0t)/wt))</f>
        <v>170.67105087597523</v>
      </c>
      <c r="AA12" s="10">
        <f>Tabella2[[#This Row],[Cum_D_fit]]*(1-Tabella2[[#This Row],[Cum_D_fit]]/Kt)/wt</f>
        <v>26.980466119216569</v>
      </c>
      <c r="AB12" s="64">
        <f>Tabella2[[#This Row],[New_Deaths_fit]]*NOT(ISBLANK(Tabella2[[#This Row],[New deaths]]))</f>
        <v>26.980466119216569</v>
      </c>
      <c r="AC12" s="10">
        <f>Tabella2[[#This Row],[New_Deaths_fit]]+CIt</f>
        <v>240.1843768753883</v>
      </c>
      <c r="AD12" s="10">
        <f>MAX(Tabella2[[#This Row],[New_Deaths_fit]]-CIt,0)</f>
        <v>0</v>
      </c>
      <c r="AE12" s="1"/>
      <c r="AF12" s="67" t="s">
        <v>3</v>
      </c>
      <c r="AG12" s="100">
        <f>COUNT(Tabella2[New cases])-COUNT(AG8:AG10)</f>
        <v>48</v>
      </c>
      <c r="AU12" s="91">
        <f>{32767;32767;0.000001;0;FALSE;FALSE;FALSE;1;2;1;0.0001;TRUE}</f>
        <v>32767</v>
      </c>
    </row>
    <row r="13" spans="2:47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Kn/(1+EXP(-(Tabella2[[#This Row],[Day]]-t0n)/wn))</f>
        <v>3281.5195390529962</v>
      </c>
      <c r="H13" s="10">
        <f>Tabella2[[#This Row],[Cum_fit]]*(1-Tabella2[[#This Row],[Cum_fit]]/Kn)/wn</f>
        <v>467.67074529363231</v>
      </c>
      <c r="I13" s="56">
        <f>Tabella2[[#This Row],[New_cases_fit]]*NOT(ISBLANK(Tabella2[[#This Row],[New cases]]))</f>
        <v>467.67074529363231</v>
      </c>
      <c r="J13" s="10">
        <f>Tabella2[[#This Row],[New_cases_fit]]+CIn</f>
        <v>2181.5560078937874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346.44870703077117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Kd/(1+EXP(-(Tabella2[[#This Row],[Day]]-t0d)/wd))</f>
        <v>1024.981908772603</v>
      </c>
      <c r="S13" s="10">
        <f>Tabella2[[#This Row],[Cum_R_fit]]*(1-Tabella2[[#This Row],[Cum_R_fit]]/Kd)/wd</f>
        <v>89.666272916612243</v>
      </c>
      <c r="T13" s="60">
        <f>Tabella2[[#This Row],[New_Recovered_fit]]*NOT(ISBLANK(Tabella2[[#This Row],[New recovered]]))</f>
        <v>89.666272916612243</v>
      </c>
      <c r="U13" s="10">
        <f>Tabella2[[#This Row],[New_Recovered_fit]]+CId</f>
        <v>799.91241308961503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4">
        <f>Tabella2[[#This Row],[New deaths]]*NOT(ISBLANK(Tabella2[[#This Row],[New deaths]]))</f>
        <v>8</v>
      </c>
      <c r="Z13" s="50">
        <f>Kt/(1+EXP(-(Tabella2[[#This Row],[Day]]-t0t)/wt))</f>
        <v>199.88049585363544</v>
      </c>
      <c r="AA13" s="10">
        <f>Tabella2[[#This Row],[Cum_D_fit]]*(1-Tabella2[[#This Row],[Cum_D_fit]]/Kt)/wt</f>
        <v>31.55576534624889</v>
      </c>
      <c r="AB13" s="64">
        <f>Tabella2[[#This Row],[New_Deaths_fit]]*NOT(ISBLANK(Tabella2[[#This Row],[New deaths]]))</f>
        <v>31.55576534624889</v>
      </c>
      <c r="AC13" s="10">
        <f>Tabella2[[#This Row],[New_Deaths_fit]]+CIt</f>
        <v>244.7596761024206</v>
      </c>
      <c r="AD13" s="10">
        <f>MAX(Tabella2[[#This Row],[New_Deaths_fit]]-CIt,0)</f>
        <v>0</v>
      </c>
      <c r="AE13" s="1"/>
      <c r="AF13" s="67" t="s">
        <v>4</v>
      </c>
      <c r="AG13" s="101" cm="1">
        <f t="array" ref="AG13">SQRT(SUM((Tabella2[Colonna1]-Tabella2[Colonna2])^2)/dfn)</f>
        <v>852.4100441918572</v>
      </c>
      <c r="AU13" s="92">
        <f>{0;0;1;100;0;FALSE;FALSE;0.075;0;0;FALSE;30}</f>
        <v>0</v>
      </c>
    </row>
    <row r="14" spans="2:47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Kn/(1+EXP(-(Tabella2[[#This Row],[Day]]-t0n)/wn))</f>
        <v>3783.3510512978924</v>
      </c>
      <c r="H14" s="10">
        <f>Tabella2[[#This Row],[Cum_fit]]*(1-Tabella2[[#This Row],[Cum_fit]]/Kn)/wn</f>
        <v>537.54026651904178</v>
      </c>
      <c r="I14" s="56">
        <f>Tabella2[[#This Row],[New_cases_fit]]*NOT(ISBLANK(Tabella2[[#This Row],[New cases]]))</f>
        <v>537.54026651904178</v>
      </c>
      <c r="J14" s="10">
        <f>Tabella2[[#This Row],[New_cases_fit]]+CIn</f>
        <v>2251.4255291191967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402.85282177502881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Kd/(1+EXP(-(Tabella2[[#This Row],[Day]]-t0d)/wd))</f>
        <v>1118.655822242258</v>
      </c>
      <c r="S14" s="10">
        <f>Tabella2[[#This Row],[Cum_R_fit]]*(1-Tabella2[[#This Row],[Cum_R_fit]]/Kd)/wd</f>
        <v>97.797400567047831</v>
      </c>
      <c r="T14" s="60">
        <f>Tabella2[[#This Row],[New_Recovered_fit]]*NOT(ISBLANK(Tabella2[[#This Row],[New recovered]]))</f>
        <v>97.797400567047831</v>
      </c>
      <c r="U14" s="10">
        <f>Tabella2[[#This Row],[New_Recovered_fit]]+CId</f>
        <v>808.04354074005062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4">
        <f>Tabella2[[#This Row],[New deaths]]*NOT(ISBLANK(Tabella2[[#This Row],[New deaths]]))</f>
        <v>5</v>
      </c>
      <c r="Z14" s="50">
        <f>Kt/(1+EXP(-(Tabella2[[#This Row],[Day]]-t0t)/wt))</f>
        <v>234.03540766372913</v>
      </c>
      <c r="AA14" s="10">
        <f>Tabella2[[#This Row],[Cum_D_fit]]*(1-Tabella2[[#This Row],[Cum_D_fit]]/Kt)/wt</f>
        <v>36.890044176965162</v>
      </c>
      <c r="AB14" s="64">
        <f>Tabella2[[#This Row],[New_Deaths_fit]]*NOT(ISBLANK(Tabella2[[#This Row],[New deaths]]))</f>
        <v>36.890044176965162</v>
      </c>
      <c r="AC14" s="10">
        <f>Tabella2[[#This Row],[New_Deaths_fit]]+CIt</f>
        <v>250.0939549331369</v>
      </c>
      <c r="AD14" s="10">
        <f>MAX(Tabella2[[#This Row],[New_Deaths_fit]]-CIt,0)</f>
        <v>0</v>
      </c>
      <c r="AE14" s="1"/>
      <c r="AF14" s="67" t="s">
        <v>109</v>
      </c>
      <c r="AG14" s="102" cm="1">
        <f t="array" ref="AG14">1-SUM((Tabella2[Colonna1]-Tabella2[Colonna2])^2)/SUM((Tabella2[Colonna1]-Mean_of_yn)^2)</f>
        <v>0.91286328655918414</v>
      </c>
      <c r="AU14" s="127" t="s">
        <v>98</v>
      </c>
    </row>
    <row r="15" spans="2:47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Kn/(1+EXP(-(Tabella2[[#This Row],[Day]]-t0n)/wn))</f>
        <v>4359.8859016385895</v>
      </c>
      <c r="H15" s="10">
        <f>Tabella2[[#This Row],[Cum_fit]]*(1-Tabella2[[#This Row],[Cum_fit]]/Kn)/wn</f>
        <v>617.27043290950621</v>
      </c>
      <c r="I15" s="56">
        <f>Tabella2[[#This Row],[New_cases_fit]]*NOT(ISBLANK(Tabella2[[#This Row],[New cases]]))</f>
        <v>617.27043290950621</v>
      </c>
      <c r="J15" s="10">
        <f>Tabella2[[#This Row],[New_cases_fit]]+CIn</f>
        <v>2331.1556955096612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467.51424337487151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Kd/(1+EXP(-(Tabella2[[#This Row],[Day]]-t0d)/wd))</f>
        <v>1220.8182220572721</v>
      </c>
      <c r="S15" s="10">
        <f>Tabella2[[#This Row],[Cum_R_fit]]*(1-Tabella2[[#This Row],[Cum_R_fit]]/Kd)/wd</f>
        <v>106.65321744292925</v>
      </c>
      <c r="T15" s="60">
        <f>Tabella2[[#This Row],[New_Recovered_fit]]*NOT(ISBLANK(Tabella2[[#This Row],[New recovered]]))</f>
        <v>106.65321744292925</v>
      </c>
      <c r="U15" s="10">
        <f>Tabella2[[#This Row],[New_Recovered_fit]]+CId</f>
        <v>816.8993576159321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4">
        <f>Tabella2[[#This Row],[New deaths]]*NOT(ISBLANK(Tabella2[[#This Row],[New deaths]]))</f>
        <v>18</v>
      </c>
      <c r="Z15" s="50">
        <f>Kt/(1+EXP(-(Tabella2[[#This Row],[Day]]-t0t)/wt))</f>
        <v>273.95328303918768</v>
      </c>
      <c r="AA15" s="10">
        <f>Tabella2[[#This Row],[Cum_D_fit]]*(1-Tabella2[[#This Row],[Cum_D_fit]]/Kt)/wt</f>
        <v>43.102972091705425</v>
      </c>
      <c r="AB15" s="64">
        <f>Tabella2[[#This Row],[New_Deaths_fit]]*NOT(ISBLANK(Tabella2[[#This Row],[New deaths]]))</f>
        <v>43.102972091705425</v>
      </c>
      <c r="AC15" s="10">
        <f>Tabella2[[#This Row],[New_Deaths_fit]]+CIt</f>
        <v>256.30688284787715</v>
      </c>
      <c r="AD15" s="10">
        <f>MAX(Tabella2[[#This Row],[New_Deaths_fit]]-CIt,0)</f>
        <v>0</v>
      </c>
      <c r="AE15" s="1"/>
      <c r="AF15" s="67" t="s">
        <v>6</v>
      </c>
      <c r="AG15" s="102">
        <f>TINV(0.05,dfn)</f>
        <v>2.0106347576242314</v>
      </c>
      <c r="AU15" s="128"/>
    </row>
    <row r="16" spans="2:47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Kn/(1+EXP(-(Tabella2[[#This Row],[Day]]-t0n)/wn))</f>
        <v>5021.5792187131492</v>
      </c>
      <c r="H16" s="10">
        <f>Tabella2[[#This Row],[Cum_fit]]*(1-Tabella2[[#This Row],[Cum_fit]]/Kn)/wn</f>
        <v>708.0653950955334</v>
      </c>
      <c r="I16" s="56">
        <f>Tabella2[[#This Row],[New_cases_fit]]*NOT(ISBLANK(Tabella2[[#This Row],[New cases]]))</f>
        <v>708.0653950955334</v>
      </c>
      <c r="J16" s="10">
        <f>Tabella2[[#This Row],[New_cases_fit]]+CIn</f>
        <v>2421.9506576956883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541.43871057781394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Kd/(1+EXP(-(Tabella2[[#This Row],[Day]]-t0d)/wd))</f>
        <v>1332.2244912687672</v>
      </c>
      <c r="S16" s="10">
        <f>Tabella2[[#This Row],[Cum_R_fit]]*(1-Tabella2[[#This Row],[Cum_R_fit]]/Kd)/wd</f>
        <v>116.29589918140492</v>
      </c>
      <c r="T16" s="60">
        <f>Tabella2[[#This Row],[New_Recovered_fit]]*NOT(ISBLANK(Tabella2[[#This Row],[New recovered]]))</f>
        <v>116.29589918140492</v>
      </c>
      <c r="U16" s="10">
        <f>Tabella2[[#This Row],[New_Recovered_fit]]+CId</f>
        <v>826.54203935440773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4">
        <f>Tabella2[[#This Row],[New deaths]]*NOT(ISBLANK(Tabella2[[#This Row],[New deaths]]))</f>
        <v>27</v>
      </c>
      <c r="Z16" s="50">
        <f>Kt/(1+EXP(-(Tabella2[[#This Row],[Day]]-t0t)/wt))</f>
        <v>320.57944670364054</v>
      </c>
      <c r="AA16" s="10">
        <f>Tabella2[[#This Row],[Cum_D_fit]]*(1-Tabella2[[#This Row],[Cum_D_fit]]/Kt)/wt</f>
        <v>50.330785336314577</v>
      </c>
      <c r="AB16" s="64">
        <f>Tabella2[[#This Row],[New_Deaths_fit]]*NOT(ISBLANK(Tabella2[[#This Row],[New deaths]]))</f>
        <v>50.330785336314577</v>
      </c>
      <c r="AC16" s="10">
        <f>Tabella2[[#This Row],[New_Deaths_fit]]+CIt</f>
        <v>263.53469609248629</v>
      </c>
      <c r="AD16" s="10">
        <f>MAX(Tabella2[[#This Row],[New_Deaths_fit]]-CIt,0)</f>
        <v>0</v>
      </c>
      <c r="AE16" s="1"/>
      <c r="AF16" s="67" t="s">
        <v>7</v>
      </c>
      <c r="AG16" s="100">
        <f>Critical_tn*SE_of_yn</f>
        <v>1713.8852626001551</v>
      </c>
      <c r="AU16" s="128"/>
    </row>
    <row r="17" spans="2:47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Kn/(1+EXP(-(Tabella2[[#This Row],[Day]]-t0n)/wn))</f>
        <v>5780.1341752836533</v>
      </c>
      <c r="H17" s="10">
        <f>Tabella2[[#This Row],[Cum_fit]]*(1-Tabella2[[#This Row],[Cum_fit]]/Kn)/wn</f>
        <v>811.21519893714242</v>
      </c>
      <c r="I17" s="56">
        <f>Tabella2[[#This Row],[New_cases_fit]]*NOT(ISBLANK(Tabella2[[#This Row],[New cases]]))</f>
        <v>811.21519893714242</v>
      </c>
      <c r="J17" s="10">
        <f>Tabella2[[#This Row],[New_cases_fit]]+CIn</f>
        <v>2525.1004615372976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625.69498709650497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Kd/(1+EXP(-(Tabella2[[#This Row],[Day]]-t0d)/wd))</f>
        <v>1453.6946010463009</v>
      </c>
      <c r="S17" s="10">
        <f>Tabella2[[#This Row],[Cum_R_fit]]*(1-Tabella2[[#This Row],[Cum_R_fit]]/Kd)/wd</f>
        <v>126.79249500869773</v>
      </c>
      <c r="T17" s="60">
        <f>Tabella2[[#This Row],[New_Recovered_fit]]*NOT(ISBLANK(Tabella2[[#This Row],[New recovered]]))</f>
        <v>126.79249500869773</v>
      </c>
      <c r="U17" s="10">
        <f>Tabella2[[#This Row],[New_Recovered_fit]]+CId</f>
        <v>837.03863518170056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4">
        <f>Tabella2[[#This Row],[New deaths]]*NOT(ISBLANK(Tabella2[[#This Row],[New deaths]]))</f>
        <v>28</v>
      </c>
      <c r="Z17" s="50">
        <f>Kt/(1+EXP(-(Tabella2[[#This Row],[Day]]-t0t)/wt))</f>
        <v>375.00434594396398</v>
      </c>
      <c r="AA17" s="10">
        <f>Tabella2[[#This Row],[Cum_D_fit]]*(1-Tabella2[[#This Row],[Cum_D_fit]]/Kt)/wt</f>
        <v>58.727716831939659</v>
      </c>
      <c r="AB17" s="64">
        <f>Tabella2[[#This Row],[New_Deaths_fit]]*NOT(ISBLANK(Tabella2[[#This Row],[New deaths]]))</f>
        <v>58.727716831939659</v>
      </c>
      <c r="AC17" s="10">
        <f>Tabella2[[#This Row],[New_Deaths_fit]]+CIt</f>
        <v>271.93162758811138</v>
      </c>
      <c r="AD17" s="10">
        <f>MAX(Tabella2[[#This Row],[New_Deaths_fit]]-CIt,0)</f>
        <v>0</v>
      </c>
      <c r="AE17" s="1"/>
      <c r="AF17" s="67" t="s">
        <v>69</v>
      </c>
      <c r="AG17" s="100">
        <f>Kn/(EXP(1)*wn)</f>
        <v>8946.5728045353972</v>
      </c>
      <c r="AU17" s="129"/>
    </row>
    <row r="18" spans="2:47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Kn/(1+EXP(-(Tabella2[[#This Row],[Day]]-t0n)/wn))</f>
        <v>6648.5809327374882</v>
      </c>
      <c r="H18" s="10">
        <f>Tabella2[[#This Row],[Cum_fit]]*(1-Tabella2[[#This Row],[Cum_fit]]/Kn)/wn</f>
        <v>928.08053650713089</v>
      </c>
      <c r="I18" s="56">
        <f>Tabella2[[#This Row],[New_cases_fit]]*NOT(ISBLANK(Tabella2[[#This Row],[New cases]]))</f>
        <v>928.08053650713089</v>
      </c>
      <c r="J18" s="10">
        <f>Tabella2[[#This Row],[New_cases_fit]]+CIn</f>
        <v>2641.9657991072859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721.3981175166906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Kd/(1+EXP(-(Tabella2[[#This Row],[Day]]-t0d)/wd))</f>
        <v>1586.1181304818822</v>
      </c>
      <c r="S18" s="10">
        <f>Tabella2[[#This Row],[Cum_R_fit]]*(1-Tabella2[[#This Row],[Cum_R_fit]]/Kd)/wd</f>
        <v>138.21522038068997</v>
      </c>
      <c r="T18" s="60">
        <f>Tabella2[[#This Row],[New_Recovered_fit]]*NOT(ISBLANK(Tabella2[[#This Row],[New recovered]]))</f>
        <v>138.21522038068997</v>
      </c>
      <c r="U18" s="10">
        <f>Tabella2[[#This Row],[New_Recovered_fit]]+CId</f>
        <v>848.46136055369277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4">
        <f>Tabella2[[#This Row],[New deaths]]*NOT(ISBLANK(Tabella2[[#This Row],[New deaths]]))</f>
        <v>41</v>
      </c>
      <c r="Z18" s="50">
        <f>Kt/(1+EXP(-(Tabella2[[#This Row],[Day]]-t0t)/wt))</f>
        <v>438.48217413937891</v>
      </c>
      <c r="AA18" s="10">
        <f>Tabella2[[#This Row],[Cum_D_fit]]*(1-Tabella2[[#This Row],[Cum_D_fit]]/Kt)/wt</f>
        <v>68.467198609750284</v>
      </c>
      <c r="AB18" s="64">
        <f>Tabella2[[#This Row],[New_Deaths_fit]]*NOT(ISBLANK(Tabella2[[#This Row],[New deaths]]))</f>
        <v>68.467198609750284</v>
      </c>
      <c r="AC18" s="10">
        <f>Tabella2[[#This Row],[New_Deaths_fit]]+CIt</f>
        <v>281.67110936592201</v>
      </c>
      <c r="AD18" s="10">
        <f>MAX(Tabella2[[#This Row],[New_Deaths_fit]]-CIt,0)</f>
        <v>0</v>
      </c>
      <c r="AE18" s="1"/>
      <c r="AF18" s="67" t="s">
        <v>70</v>
      </c>
      <c r="AG18" s="76">
        <f>_xlfn.XLOOKUP(ROUND(t0n,0),Tabella2[Day],Tabella2[Date])</f>
        <v>43917</v>
      </c>
      <c r="AU18" s="93">
        <f>MAX($AG$26)</f>
        <v>0.82254013517328883</v>
      </c>
    </row>
    <row r="19" spans="2:47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Kn/(1+EXP(-(Tabella2[[#This Row],[Day]]-t0n)/wn))</f>
        <v>7641.3359167332374</v>
      </c>
      <c r="H19" s="10">
        <f>Tabella2[[#This Row],[Cum_fit]]*(1-Tabella2[[#This Row],[Cum_fit]]/Kn)/wn</f>
        <v>1060.0682695367493</v>
      </c>
      <c r="I19" s="56">
        <f>Tabella2[[#This Row],[New_cases_fit]]*NOT(ISBLANK(Tabella2[[#This Row],[New cases]]))</f>
        <v>1060.0682695367493</v>
      </c>
      <c r="J19" s="10">
        <f>Tabella2[[#This Row],[New_cases_fit]]+CIn</f>
        <v>2773.9535321369044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829.68386568904441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Kd/(1+EXP(-(Tabella2[[#This Row],[Day]]-t0d)/wd))</f>
        <v>1730.45957899623</v>
      </c>
      <c r="S19" s="10">
        <f>Tabella2[[#This Row],[Cum_R_fit]]*(1-Tabella2[[#This Row],[Cum_R_fit]]/Kd)/wd</f>
        <v>150.64174884403903</v>
      </c>
      <c r="T19" s="60">
        <f>Tabella2[[#This Row],[New_Recovered_fit]]*NOT(ISBLANK(Tabella2[[#This Row],[New recovered]]))</f>
        <v>150.64174884403903</v>
      </c>
      <c r="U19" s="10">
        <f>Tabella2[[#This Row],[New_Recovered_fit]]+CId</f>
        <v>860.88788901704186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4">
        <f>Tabella2[[#This Row],[New deaths]]*NOT(ISBLANK(Tabella2[[#This Row],[New deaths]]))</f>
        <v>49</v>
      </c>
      <c r="Z19" s="50">
        <f>Kt/(1+EXP(-(Tabella2[[#This Row],[Day]]-t0t)/wt))</f>
        <v>512.45050976459811</v>
      </c>
      <c r="AA19" s="10">
        <f>Tabella2[[#This Row],[Cum_D_fit]]*(1-Tabella2[[#This Row],[Cum_D_fit]]/Kt)/wt</f>
        <v>79.742655003665874</v>
      </c>
      <c r="AB19" s="64">
        <f>Tabella2[[#This Row],[New_Deaths_fit]]*NOT(ISBLANK(Tabella2[[#This Row],[New deaths]]))</f>
        <v>79.742655003665874</v>
      </c>
      <c r="AC19" s="10">
        <f>Tabella2[[#This Row],[New_Deaths_fit]]+CIt</f>
        <v>292.9465657598376</v>
      </c>
      <c r="AD19" s="10">
        <f>MAX(Tabella2[[#This Row],[New_Deaths_fit]]-CIt,0)</f>
        <v>0</v>
      </c>
      <c r="AE19" s="1"/>
      <c r="AF19" s="59" t="s">
        <v>81</v>
      </c>
      <c r="AG19" s="74" t="s">
        <v>95</v>
      </c>
      <c r="AU19" s="94">
        <f>COUNT($AG$20,$AG$21,$AG$22)</f>
        <v>3</v>
      </c>
    </row>
    <row r="20" spans="2:47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Kn/(1+EXP(-(Tabella2[[#This Row],[Day]]-t0n)/wn))</f>
        <v>8774.2309830641734</v>
      </c>
      <c r="H20" s="10">
        <f>Tabella2[[#This Row],[Cum_fit]]*(1-Tabella2[[#This Row],[Cum_fit]]/Kn)/wn</f>
        <v>1208.5952517493142</v>
      </c>
      <c r="I20" s="56">
        <f>Tabella2[[#This Row],[New_cases_fit]]*NOT(ISBLANK(Tabella2[[#This Row],[New cases]]))</f>
        <v>1208.5952517493142</v>
      </c>
      <c r="J20" s="10">
        <f>Tabella2[[#This Row],[New_cases_fit]]+CIn</f>
        <v>2922.4805143494696</v>
      </c>
      <c r="K20" s="10">
        <f>MAX(Tabella2[[#This Row],[New_cases_fit]]-CIn,0)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951.67211399139399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Kd/(1+EXP(-(Tabella2[[#This Row],[Day]]-t0d)/wd))</f>
        <v>1887.7639682894796</v>
      </c>
      <c r="S20" s="10">
        <f>Tabella2[[#This Row],[Cum_R_fit]]*(1-Tabella2[[#This Row],[Cum_R_fit]]/Kd)/wd</f>
        <v>164.15549838560005</v>
      </c>
      <c r="T20" s="60">
        <f>Tabella2[[#This Row],[New_Recovered_fit]]*NOT(ISBLANK(Tabella2[[#This Row],[New recovered]]))</f>
        <v>164.15549838560005</v>
      </c>
      <c r="U20" s="10">
        <f>Tabella2[[#This Row],[New_Recovered_fit]]+CId</f>
        <v>874.40163855860283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4">
        <f>Tabella2[[#This Row],[New deaths]]*NOT(ISBLANK(Tabella2[[#This Row],[New deaths]]))</f>
        <v>36</v>
      </c>
      <c r="Z20" s="50">
        <f>Kt/(1+EXP(-(Tabella2[[#This Row],[Day]]-t0t)/wt))</f>
        <v>598.55044405429294</v>
      </c>
      <c r="AA20" s="10">
        <f>Tabella2[[#This Row],[Cum_D_fit]]*(1-Tabella2[[#This Row],[Cum_D_fit]]/Kt)/wt</f>
        <v>92.767639372320147</v>
      </c>
      <c r="AB20" s="64">
        <f>Tabella2[[#This Row],[New_Deaths_fit]]*NOT(ISBLANK(Tabella2[[#This Row],[New deaths]]))</f>
        <v>92.767639372320147</v>
      </c>
      <c r="AC20" s="10">
        <f>Tabella2[[#This Row],[New_Deaths_fit]]+CIt</f>
        <v>305.97155012849186</v>
      </c>
      <c r="AD20" s="10">
        <f>MAX(Tabella2[[#This Row],[New_Deaths_fit]]-CIt,0)</f>
        <v>0</v>
      </c>
      <c r="AE20" s="1"/>
      <c r="AF20" s="109" t="s">
        <v>0</v>
      </c>
      <c r="AG20" s="110">
        <f>Kr</f>
        <v>145286.39577951675</v>
      </c>
      <c r="AU20" s="94">
        <f>{32767;32767;0.000001;0;FALSE;FALSE;TRUE;1;1;1;0.0001;TRUE}</f>
        <v>32767</v>
      </c>
    </row>
    <row r="21" spans="2:47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Kn/(1+EXP(-(Tabella2[[#This Row],[Day]]-t0n)/wn))</f>
        <v>10064.499438178311</v>
      </c>
      <c r="H21" s="10">
        <f>Tabella2[[#This Row],[Cum_fit]]*(1-Tabella2[[#This Row],[Cum_fit]]/Kn)/wn</f>
        <v>1375.037756793422</v>
      </c>
      <c r="I21" s="56">
        <f>Tabella2[[#This Row],[New_cases_fit]]*NOT(ISBLANK(Tabella2[[#This Row],[New cases]]))</f>
        <v>1375.037756793422</v>
      </c>
      <c r="J21" s="10">
        <f>Tabella2[[#This Row],[New_cases_fit]]+CIn</f>
        <v>3088.9230193935773</v>
      </c>
      <c r="K21" s="10">
        <f>MAX(Tabella2[[#This Row],[New_cases_fit]]-CIn,0)</f>
        <v>0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1088.4168628875987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Kd/(1+EXP(-(Tabella2[[#This Row],[Day]]-t0d)/wd))</f>
        <v>2059.162725490688</v>
      </c>
      <c r="S21" s="10">
        <f>Tabella2[[#This Row],[Cum_R_fit]]*(1-Tabella2[[#This Row],[Cum_R_fit]]/Kd)/wd</f>
        <v>178.84590639705365</v>
      </c>
      <c r="T21" s="60">
        <f>Tabella2[[#This Row],[New_Recovered_fit]]*NOT(ISBLANK(Tabella2[[#This Row],[New recovered]]))</f>
        <v>178.84590639705365</v>
      </c>
      <c r="U21" s="10">
        <f>Tabella2[[#This Row],[New_Recovered_fit]]+CId</f>
        <v>889.09204657005648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4">
        <f>Tabella2[[#This Row],[New deaths]]*NOT(ISBLANK(Tabella2[[#This Row],[New deaths]]))</f>
        <v>133</v>
      </c>
      <c r="Z21" s="50">
        <f>Kt/(1+EXP(-(Tabella2[[#This Row],[Day]]-t0t)/wt))</f>
        <v>698.64638465262283</v>
      </c>
      <c r="AA21" s="10">
        <f>Tabella2[[#This Row],[Cum_D_fit]]*(1-Tabella2[[#This Row],[Cum_D_fit]]/Kt)/wt</f>
        <v>107.77498750876966</v>
      </c>
      <c r="AB21" s="64">
        <f>Tabella2[[#This Row],[New_Deaths_fit]]*NOT(ISBLANK(Tabella2[[#This Row],[New deaths]]))</f>
        <v>107.77498750876966</v>
      </c>
      <c r="AC21" s="10">
        <f>Tabella2[[#This Row],[New_Deaths_fit]]+CIt</f>
        <v>320.97889826494139</v>
      </c>
      <c r="AD21" s="10">
        <f>MAX(Tabella2[[#This Row],[New_Deaths_fit]]-CIt,0)</f>
        <v>0</v>
      </c>
      <c r="AE21" s="1"/>
      <c r="AF21" s="109" t="s">
        <v>111</v>
      </c>
      <c r="AG21" s="111">
        <f>t0r</f>
        <v>61.150033316577201</v>
      </c>
      <c r="AU21" s="94">
        <f>{0;0;1;100;0;FALSE;TRUE;0.075;0;0;FALSE;30}</f>
        <v>0</v>
      </c>
    </row>
    <row r="22" spans="2:47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Kn/(1+EXP(-(Tabella2[[#This Row],[Day]]-t0n)/wn))</f>
        <v>11530.703148765959</v>
      </c>
      <c r="H22" s="10">
        <f>Tabella2[[#This Row],[Cum_fit]]*(1-Tabella2[[#This Row],[Cum_fit]]/Kn)/wn</f>
        <v>1560.6637856839659</v>
      </c>
      <c r="I22" s="56">
        <f>Tabella2[[#This Row],[New_cases_fit]]*NOT(ISBLANK(Tabella2[[#This Row],[New cases]]))</f>
        <v>1560.6637856839659</v>
      </c>
      <c r="J22" s="10">
        <f>Tabella2[[#This Row],[New_cases_fit]]+CIn</f>
        <v>3274.549048284121</v>
      </c>
      <c r="K22" s="10">
        <f>MAX(Tabella2[[#This Row],[New_cases_fit]]-CIn,0)</f>
        <v>0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1240.8405314479305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Kd/(1+EXP(-(Tabella2[[#This Row],[Day]]-t0d)/wd))</f>
        <v>2245.8798326394167</v>
      </c>
      <c r="S22" s="10">
        <f>Tabella2[[#This Row],[Cum_R_fit]]*(1-Tabella2[[#This Row],[Cum_R_fit]]/Kd)/wd</f>
        <v>194.80868605271803</v>
      </c>
      <c r="T22" s="60">
        <f>Tabella2[[#This Row],[New_Recovered_fit]]*NOT(ISBLANK(Tabella2[[#This Row],[New recovered]]))</f>
        <v>194.80868605271803</v>
      </c>
      <c r="U22" s="10">
        <f>Tabella2[[#This Row],[New_Recovered_fit]]+CId</f>
        <v>905.05482622572083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4">
        <f>Tabella2[[#This Row],[New deaths]]*NOT(ISBLANK(Tabella2[[#This Row],[New deaths]]))</f>
        <v>97</v>
      </c>
      <c r="Z22" s="50">
        <f>Kt/(1+EXP(-(Tabella2[[#This Row],[Day]]-t0t)/wt))</f>
        <v>814.8443503510174</v>
      </c>
      <c r="AA22" s="10">
        <f>Tabella2[[#This Row],[Cum_D_fit]]*(1-Tabella2[[#This Row],[Cum_D_fit]]/Kt)/wt</f>
        <v>125.01456818331728</v>
      </c>
      <c r="AB22" s="64">
        <f>Tabella2[[#This Row],[New_Deaths_fit]]*NOT(ISBLANK(Tabella2[[#This Row],[New deaths]]))</f>
        <v>125.01456818331728</v>
      </c>
      <c r="AC22" s="10">
        <f>Tabella2[[#This Row],[New_Deaths_fit]]+CIt</f>
        <v>338.21847893948899</v>
      </c>
      <c r="AD22" s="10">
        <f>MAX(Tabella2[[#This Row],[New_Deaths_fit]]-CIt,0)</f>
        <v>0</v>
      </c>
      <c r="AE22" s="1"/>
      <c r="AF22" s="109" t="s">
        <v>1</v>
      </c>
      <c r="AG22" s="111">
        <f>wr</f>
        <v>11.350430037326595</v>
      </c>
      <c r="AU22" s="94">
        <f>{32767;32767;0.000001;0;FALSE;FALSE;FALSE;1;2;1;0.0001;TRUE}</f>
        <v>32767</v>
      </c>
    </row>
    <row r="23" spans="2:47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Kn/(1+EXP(-(Tabella2[[#This Row],[Day]]-t0n)/wn))</f>
        <v>13192.582357041849</v>
      </c>
      <c r="H23" s="10">
        <f>Tabella2[[#This Row],[Cum_fit]]*(1-Tabella2[[#This Row],[Cum_fit]]/Kn)/wn</f>
        <v>1766.5458091450391</v>
      </c>
      <c r="I23" s="56">
        <f>Tabella2[[#This Row],[New_cases_fit]]*NOT(ISBLANK(Tabella2[[#This Row],[New cases]]))</f>
        <v>1766.5458091450391</v>
      </c>
      <c r="J23" s="10">
        <f>Tabella2[[#This Row],[New_cases_fit]]+CIn</f>
        <v>3480.4310717451945</v>
      </c>
      <c r="K23" s="10">
        <f>MAX(Tabella2[[#This Row],[New_cases_fit]]-CIn,0)</f>
        <v>52.660546544884028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1409.6506441301474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Kd/(1+EXP(-(Tabella2[[#This Row],[Day]]-t0d)/wd))</f>
        <v>2449.2382196805565</v>
      </c>
      <c r="S23" s="10">
        <f>Tabella2[[#This Row],[Cum_R_fit]]*(1-Tabella2[[#This Row],[Cum_R_fit]]/Kd)/wd</f>
        <v>212.14605536208393</v>
      </c>
      <c r="T23" s="60">
        <f>Tabella2[[#This Row],[New_Recovered_fit]]*NOT(ISBLANK(Tabella2[[#This Row],[New recovered]]))</f>
        <v>212.14605536208393</v>
      </c>
      <c r="U23" s="10">
        <f>Tabella2[[#This Row],[New_Recovered_fit]]+CId</f>
        <v>922.39219553508678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4">
        <f>Tabella2[[#This Row],[New deaths]]*NOT(ISBLANK(Tabella2[[#This Row],[New deaths]]))</f>
        <v>168</v>
      </c>
      <c r="Z23" s="50">
        <f>Kt/(1+EXP(-(Tabella2[[#This Row],[Day]]-t0t)/wt))</f>
        <v>949.50710210703733</v>
      </c>
      <c r="AA23" s="10">
        <f>Tabella2[[#This Row],[Cum_D_fit]]*(1-Tabella2[[#This Row],[Cum_D_fit]]/Kt)/wt</f>
        <v>144.74910965280787</v>
      </c>
      <c r="AB23" s="64">
        <f>Tabella2[[#This Row],[New_Deaths_fit]]*NOT(ISBLANK(Tabella2[[#This Row],[New deaths]]))</f>
        <v>144.74910965280787</v>
      </c>
      <c r="AC23" s="10">
        <f>Tabella2[[#This Row],[New_Deaths_fit]]+CIt</f>
        <v>357.95302040897957</v>
      </c>
      <c r="AD23" s="10">
        <f>MAX(Tabella2[[#This Row],[New_Deaths_fit]]-CIt,0)</f>
        <v>0</v>
      </c>
      <c r="AE23" s="1"/>
      <c r="AF23" s="112" t="s">
        <v>2</v>
      </c>
      <c r="AG23" s="113">
        <f>AVERAGE(Tabella2[New recovered])</f>
        <v>742.58</v>
      </c>
      <c r="AU23" s="95">
        <f>{0;0;1;100;0;FALSE;FALSE;0.075;0;0;FALSE;30}</f>
        <v>0</v>
      </c>
    </row>
    <row r="24" spans="2:47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Kn/(1+EXP(-(Tabella2[[#This Row],[Day]]-t0n)/wn))</f>
        <v>15070.807705228801</v>
      </c>
      <c r="H24" s="10">
        <f>Tabella2[[#This Row],[Cum_fit]]*(1-Tabella2[[#This Row],[Cum_fit]]/Kn)/wn</f>
        <v>1993.4522575299459</v>
      </c>
      <c r="I24" s="56">
        <f>Tabella2[[#This Row],[New_cases_fit]]*NOT(ISBLANK(Tabella2[[#This Row],[New cases]]))</f>
        <v>1993.4522575299459</v>
      </c>
      <c r="J24" s="10">
        <f>Tabella2[[#This Row],[New_cases_fit]]+CIn</f>
        <v>3707.337520130101</v>
      </c>
      <c r="K24" s="10">
        <f>MAX(Tabella2[[#This Row],[New_cases_fit]]-CIn,0)</f>
        <v>279.56699492979078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1595.2378494241493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Kd/(1+EXP(-(Tabella2[[#This Row],[Day]]-t0d)/wd))</f>
        <v>2670.6663685534136</v>
      </c>
      <c r="S24" s="10">
        <f>Tabella2[[#This Row],[Cum_R_fit]]*(1-Tabella2[[#This Row],[Cum_R_fit]]/Kd)/wd</f>
        <v>230.96692839628832</v>
      </c>
      <c r="T24" s="60">
        <f>Tabella2[[#This Row],[New_Recovered_fit]]*NOT(ISBLANK(Tabella2[[#This Row],[New recovered]]))</f>
        <v>230.96692839628832</v>
      </c>
      <c r="U24" s="10">
        <f>Tabella2[[#This Row],[New_Recovered_fit]]+CId</f>
        <v>941.21306856929118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4">
        <f>Tabella2[[#This Row],[New deaths]]*NOT(ISBLANK(Tabella2[[#This Row],[New deaths]]))</f>
        <v>196</v>
      </c>
      <c r="Z24" s="50">
        <f>Kt/(1+EXP(-(Tabella2[[#This Row],[Day]]-t0t)/wt))</f>
        <v>1105.263883148933</v>
      </c>
      <c r="AA24" s="10">
        <f>Tabella2[[#This Row],[Cum_D_fit]]*(1-Tabella2[[#This Row],[Cum_D_fit]]/Kt)/wt</f>
        <v>167.24747970950818</v>
      </c>
      <c r="AB24" s="64">
        <f>Tabella2[[#This Row],[New_Deaths_fit]]*NOT(ISBLANK(Tabella2[[#This Row],[New deaths]]))</f>
        <v>167.24747970950818</v>
      </c>
      <c r="AC24" s="10">
        <f>Tabella2[[#This Row],[New_Deaths_fit]]+CIt</f>
        <v>380.45139046567988</v>
      </c>
      <c r="AD24" s="10">
        <f>MAX(Tabella2[[#This Row],[New_Deaths_fit]]-CIt,0)</f>
        <v>0</v>
      </c>
      <c r="AE24" s="1"/>
      <c r="AF24" s="112" t="s">
        <v>3</v>
      </c>
      <c r="AG24" s="113">
        <f>COUNT(Tabella2[New recovered])-COUNT(AG20:AG22)</f>
        <v>47</v>
      </c>
      <c r="AU24" s="127" t="s">
        <v>98</v>
      </c>
    </row>
    <row r="25" spans="2:47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Kn/(1+EXP(-(Tabella2[[#This Row],[Day]]-t0n)/wn))</f>
        <v>17186.612931739906</v>
      </c>
      <c r="H25" s="10">
        <f>Tabella2[[#This Row],[Cum_fit]]*(1-Tabella2[[#This Row],[Cum_fit]]/Kn)/wn</f>
        <v>2241.7174898866601</v>
      </c>
      <c r="I25" s="56">
        <f>Tabella2[[#This Row],[New_cases_fit]]*NOT(ISBLANK(Tabella2[[#This Row],[New cases]]))</f>
        <v>2241.7174898866601</v>
      </c>
      <c r="J25" s="10">
        <f>Tabella2[[#This Row],[New_cases_fit]]+CIn</f>
        <v>3955.602752486815</v>
      </c>
      <c r="K25" s="10">
        <f>MAX(Tabella2[[#This Row],[New_cases_fit]]-CIn,0)</f>
        <v>527.83222728650503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1797.5557210450879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Kd/(1+EXP(-(Tabella2[[#This Row],[Day]]-t0d)/wd))</f>
        <v>2911.7050844740329</v>
      </c>
      <c r="S25" s="10">
        <f>Tabella2[[#This Row],[Cum_R_fit]]*(1-Tabella2[[#This Row],[Cum_R_fit]]/Kd)/wd</f>
        <v>251.38705618370113</v>
      </c>
      <c r="T25" s="60">
        <f>Tabella2[[#This Row],[New_Recovered_fit]]*NOT(ISBLANK(Tabella2[[#This Row],[New recovered]]))</f>
        <v>251.38705618370113</v>
      </c>
      <c r="U25" s="10">
        <f>Tabella2[[#This Row],[New_Recovered_fit]]+CId</f>
        <v>961.63319635670393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4">
        <f>Tabella2[[#This Row],[New deaths]]*NOT(ISBLANK(Tabella2[[#This Row],[New deaths]]))</f>
        <v>189</v>
      </c>
      <c r="Z25" s="50">
        <f>Kt/(1+EXP(-(Tabella2[[#This Row],[Day]]-t0t)/wt))</f>
        <v>1285.0118740830799</v>
      </c>
      <c r="AA25" s="10">
        <f>Tabella2[[#This Row],[Cum_D_fit]]*(1-Tabella2[[#This Row],[Cum_D_fit]]/Kt)/wt</f>
        <v>192.77471265787105</v>
      </c>
      <c r="AB25" s="64">
        <f>Tabella2[[#This Row],[New_Deaths_fit]]*NOT(ISBLANK(Tabella2[[#This Row],[New deaths]]))</f>
        <v>192.77471265787105</v>
      </c>
      <c r="AC25" s="10">
        <f>Tabella2[[#This Row],[New_Deaths_fit]]+CIt</f>
        <v>405.97862341404277</v>
      </c>
      <c r="AD25" s="10">
        <f>MAX(Tabella2[[#This Row],[New_Deaths_fit]]-CIt,0)</f>
        <v>0</v>
      </c>
      <c r="AE25" s="1"/>
      <c r="AF25" s="112" t="s">
        <v>4</v>
      </c>
      <c r="AG25" s="114" cm="1">
        <f t="array" ref="AG25">SQRT(SUM((Tabella2[Colonna3]-Tabella2[Colonna4])^2)/dfd)</f>
        <v>353.05057253940095</v>
      </c>
      <c r="AU25" s="128"/>
    </row>
    <row r="26" spans="2:47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Kn/(1+EXP(-(Tabella2[[#This Row],[Day]]-t0n)/wn))</f>
        <v>19561.287488333455</v>
      </c>
      <c r="H26" s="10">
        <f>Tabella2[[#This Row],[Cum_fit]]*(1-Tabella2[[#This Row],[Cum_fit]]/Kn)/wn</f>
        <v>2511.0922390184073</v>
      </c>
      <c r="I26" s="56">
        <f>Tabella2[[#This Row],[New_cases_fit]]*NOT(ISBLANK(Tabella2[[#This Row],[New cases]]))</f>
        <v>2511.0922390184073</v>
      </c>
      <c r="J26" s="10">
        <f>Tabella2[[#This Row],[New_cases_fit]]+CIn</f>
        <v>4224.9775016185622</v>
      </c>
      <c r="K26" s="10">
        <f>MAX(Tabella2[[#This Row],[New_cases_fit]]-CIn,0)</f>
        <v>797.20697641825222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2015.985100076558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Kd/(1+EXP(-(Tabella2[[#This Row],[Day]]-t0d)/wd))</f>
        <v>3174.0143768976168</v>
      </c>
      <c r="S26" s="10">
        <f>Tabella2[[#This Row],[Cum_R_fit]]*(1-Tabella2[[#This Row],[Cum_R_fit]]/Kd)/wd</f>
        <v>273.52910251249631</v>
      </c>
      <c r="T26" s="60">
        <f>Tabella2[[#This Row],[New_Recovered_fit]]*NOT(ISBLANK(Tabella2[[#This Row],[New recovered]]))</f>
        <v>273.52910251249631</v>
      </c>
      <c r="U26" s="10">
        <f>Tabella2[[#This Row],[New_Recovered_fit]]+CId</f>
        <v>983.77524268549905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4">
        <f>Tabella2[[#This Row],[New deaths]]*NOT(ISBLANK(Tabella2[[#This Row],[New deaths]]))</f>
        <v>250</v>
      </c>
      <c r="Z26" s="50">
        <f>Kt/(1+EXP(-(Tabella2[[#This Row],[Day]]-t0t)/wt))</f>
        <v>1491.9057371119873</v>
      </c>
      <c r="AA26" s="10">
        <f>Tabella2[[#This Row],[Cum_D_fit]]*(1-Tabella2[[#This Row],[Cum_D_fit]]/Kt)/wt</f>
        <v>221.57803642935312</v>
      </c>
      <c r="AB26" s="64">
        <f>Tabella2[[#This Row],[New_Deaths_fit]]*NOT(ISBLANK(Tabella2[[#This Row],[New deaths]]))</f>
        <v>221.57803642935312</v>
      </c>
      <c r="AC26" s="10">
        <f>Tabella2[[#This Row],[New_Deaths_fit]]+CIt</f>
        <v>434.78194718552481</v>
      </c>
      <c r="AD26" s="10">
        <f>MAX(Tabella2[[#This Row],[New_Deaths_fit]]-CIt,0)</f>
        <v>8.3741256731813962</v>
      </c>
      <c r="AE26" s="1"/>
      <c r="AF26" s="112" t="s">
        <v>112</v>
      </c>
      <c r="AG26" s="115" cm="1">
        <f t="array" ref="AG26">1-SUM((Tabella2[Colonna3]-Tabella2[Colonna4])^2)/SUM((Tabella2[Colonna3]-Mean_of_yd)^2)</f>
        <v>0.82254013517328883</v>
      </c>
      <c r="AU26" s="128"/>
    </row>
    <row r="27" spans="2:47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Kn/(1+EXP(-(Tabella2[[#This Row],[Day]]-t0n)/wn))</f>
        <v>22215.511863368971</v>
      </c>
      <c r="H27" s="10">
        <f>Tabella2[[#This Row],[Cum_fit]]*(1-Tabella2[[#This Row],[Cum_fit]]/Kn)/wn</f>
        <v>2800.5797775094575</v>
      </c>
      <c r="I27" s="56">
        <f>Tabella2[[#This Row],[New_cases_fit]]*NOT(ISBLANK(Tabella2[[#This Row],[New cases]]))</f>
        <v>2800.5797775094575</v>
      </c>
      <c r="J27" s="10">
        <f>Tabella2[[#This Row],[New_cases_fit]]+CIn</f>
        <v>4514.4650401096123</v>
      </c>
      <c r="K27" s="10">
        <f>MAX(Tabella2[[#This Row],[New_cases_fit]]-CIn,0)</f>
        <v>1086.6945149093024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2249.1889436843771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Kd/(1+EXP(-(Tabella2[[#This Row],[Day]]-t0d)/wd))</f>
        <v>3459.3803766496735</v>
      </c>
      <c r="S27" s="10">
        <f>Tabella2[[#This Row],[Cum_R_fit]]*(1-Tabella2[[#This Row],[Cum_R_fit]]/Kd)/wd</f>
        <v>297.52263736274625</v>
      </c>
      <c r="T27" s="60">
        <f>Tabella2[[#This Row],[New_Recovered_fit]]*NOT(ISBLANK(Tabella2[[#This Row],[New recovered]]))</f>
        <v>297.52263736274625</v>
      </c>
      <c r="U27" s="10">
        <f>Tabella2[[#This Row],[New_Recovered_fit]]+CId</f>
        <v>1007.768777535749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4">
        <f>Tabella2[[#This Row],[New deaths]]*NOT(ISBLANK(Tabella2[[#This Row],[New deaths]]))</f>
        <v>175</v>
      </c>
      <c r="Z27" s="50">
        <f>Kt/(1+EXP(-(Tabella2[[#This Row],[Day]]-t0t)/wt))</f>
        <v>1729.3308894095824</v>
      </c>
      <c r="AA27" s="10">
        <f>Tabella2[[#This Row],[Cum_D_fit]]*(1-Tabella2[[#This Row],[Cum_D_fit]]/Kt)/wt</f>
        <v>253.86819646233428</v>
      </c>
      <c r="AB27" s="64">
        <f>Tabella2[[#This Row],[New_Deaths_fit]]*NOT(ISBLANK(Tabella2[[#This Row],[New deaths]]))</f>
        <v>253.86819646233428</v>
      </c>
      <c r="AC27" s="10">
        <f>Tabella2[[#This Row],[New_Deaths_fit]]+CIt</f>
        <v>467.07210721850601</v>
      </c>
      <c r="AD27" s="10">
        <f>MAX(Tabella2[[#This Row],[New_Deaths_fit]]-CIt,0)</f>
        <v>40.664285706162559</v>
      </c>
      <c r="AE27" s="1"/>
      <c r="AF27" s="112" t="s">
        <v>6</v>
      </c>
      <c r="AG27" s="115">
        <f>TINV(0.05,dfd)</f>
        <v>2.0117405137297668</v>
      </c>
      <c r="AU27" s="129"/>
    </row>
    <row r="28" spans="2:47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Kn/(1+EXP(-(Tabella2[[#This Row],[Day]]-t0n)/wn))</f>
        <v>25168.525685298409</v>
      </c>
      <c r="H28" s="10">
        <f>Tabella2[[#This Row],[Cum_fit]]*(1-Tabella2[[#This Row],[Cum_fit]]/Kn)/wn</f>
        <v>3108.2672953095393</v>
      </c>
      <c r="I28" s="56">
        <f>Tabella2[[#This Row],[New_cases_fit]]*NOT(ISBLANK(Tabella2[[#This Row],[New cases]]))</f>
        <v>3108.2672953095393</v>
      </c>
      <c r="J28" s="10">
        <f>Tabella2[[#This Row],[New_cases_fit]]+CIn</f>
        <v>4822.1525579096942</v>
      </c>
      <c r="K28" s="10">
        <f>MAX(Tabella2[[#This Row],[New_cases_fit]]-CIn,0)</f>
        <v>1394.3820327093842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2494.9677141882148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Kd/(1+EXP(-(Tabella2[[#This Row],[Day]]-t0d)/wd))</f>
        <v>3769.7221970733008</v>
      </c>
      <c r="S28" s="10">
        <f>Tabella2[[#This Row],[Cum_R_fit]]*(1-Tabella2[[#This Row],[Cum_R_fit]]/Kd)/wd</f>
        <v>323.50402792218529</v>
      </c>
      <c r="T28" s="60">
        <f>Tabella2[[#This Row],[New_Recovered_fit]]*NOT(ISBLANK(Tabella2[[#This Row],[New recovered]]))</f>
        <v>323.50402792218529</v>
      </c>
      <c r="U28" s="10">
        <f>Tabella2[[#This Row],[New_Recovered_fit]]+CId</f>
        <v>1033.7501680951882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4">
        <f>Tabella2[[#This Row],[New deaths]]*NOT(ISBLANK(Tabella2[[#This Row],[New deaths]]))</f>
        <v>368</v>
      </c>
      <c r="Z28" s="50">
        <f>Kt/(1+EXP(-(Tabella2[[#This Row],[Day]]-t0t)/wt))</f>
        <v>2000.8555184865886</v>
      </c>
      <c r="AA28" s="10">
        <f>Tabella2[[#This Row],[Cum_D_fit]]*(1-Tabella2[[#This Row],[Cum_D_fit]]/Kt)/wt</f>
        <v>289.79555319913908</v>
      </c>
      <c r="AB28" s="64">
        <f>Tabella2[[#This Row],[New_Deaths_fit]]*NOT(ISBLANK(Tabella2[[#This Row],[New deaths]]))</f>
        <v>289.79555319913908</v>
      </c>
      <c r="AC28" s="10">
        <f>Tabella2[[#This Row],[New_Deaths_fit]]+CIt</f>
        <v>502.99946395531083</v>
      </c>
      <c r="AD28" s="10">
        <f>MAX(Tabella2[[#This Row],[New_Deaths_fit]]-CIt,0)</f>
        <v>76.591642442967355</v>
      </c>
      <c r="AE28" s="1"/>
      <c r="AF28" s="112" t="s">
        <v>7</v>
      </c>
      <c r="AG28" s="113">
        <f>Critical_td*SE_of_yd</f>
        <v>710.2461401730028</v>
      </c>
      <c r="AU28" s="78">
        <f>MAX($AG$38)</f>
        <v>0.93591840294534534</v>
      </c>
    </row>
    <row r="29" spans="2:47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Kn/(1+EXP(-(Tabella2[[#This Row],[Day]]-t0n)/wn))</f>
        <v>28437.13064070743</v>
      </c>
      <c r="H29" s="10">
        <f>Tabella2[[#This Row],[Cum_fit]]*(1-Tabella2[[#This Row],[Cum_fit]]/Kn)/wn</f>
        <v>3431.1670181656136</v>
      </c>
      <c r="I29" s="56">
        <f>Tabella2[[#This Row],[New_cases_fit]]*NOT(ISBLANK(Tabella2[[#This Row],[New cases]]))</f>
        <v>3431.1670181656136</v>
      </c>
      <c r="J29" s="10">
        <f>Tabella2[[#This Row],[New_cases_fit]]+CIn</f>
        <v>5145.052280765769</v>
      </c>
      <c r="K29" s="10">
        <f>MAX(Tabella2[[#This Row],[New_cases_fit]]-CIn,0)</f>
        <v>1717.2817555654585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2750.1300026225613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Kd/(1+EXP(-(Tabella2[[#This Row],[Day]]-t0d)/wd))</f>
        <v>4107.098625511223</v>
      </c>
      <c r="S29" s="10">
        <f>Tabella2[[#This Row],[Cum_R_fit]]*(1-Tabella2[[#This Row],[Cum_R_fit]]/Kd)/wd</f>
        <v>351.61620413706265</v>
      </c>
      <c r="T29" s="60">
        <f>Tabella2[[#This Row],[New_Recovered_fit]]*NOT(ISBLANK(Tabella2[[#This Row],[New recovered]]))</f>
        <v>351.61620413706265</v>
      </c>
      <c r="U29" s="10">
        <f>Tabella2[[#This Row],[New_Recovered_fit]]+CId</f>
        <v>1061.8623443100655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4">
        <f>Tabella2[[#This Row],[New deaths]]*NOT(ISBLANK(Tabella2[[#This Row],[New deaths]]))</f>
        <v>349</v>
      </c>
      <c r="Z29" s="50">
        <f>Kt/(1+EXP(-(Tabella2[[#This Row],[Day]]-t0t)/wt))</f>
        <v>2310.1560003016793</v>
      </c>
      <c r="AA29" s="10">
        <f>Tabella2[[#This Row],[Cum_D_fit]]*(1-Tabella2[[#This Row],[Cum_D_fit]]/Kt)/wt</f>
        <v>329.42081140598975</v>
      </c>
      <c r="AB29" s="64">
        <f>Tabella2[[#This Row],[New_Deaths_fit]]*NOT(ISBLANK(Tabella2[[#This Row],[New deaths]]))</f>
        <v>329.42081140598975</v>
      </c>
      <c r="AC29" s="10">
        <f>Tabella2[[#This Row],[New_Deaths_fit]]+CIt</f>
        <v>542.62472216216145</v>
      </c>
      <c r="AD29" s="10">
        <f>MAX(Tabella2[[#This Row],[New_Deaths_fit]]-CIt,0)</f>
        <v>116.21690064981803</v>
      </c>
      <c r="AE29" s="1"/>
      <c r="AF29" s="88" t="s">
        <v>69</v>
      </c>
      <c r="AG29" s="113">
        <f>Kd/(EXP(1)*wd)</f>
        <v>4708.8857350263343</v>
      </c>
      <c r="AU29" s="79">
        <f>COUNT($AG$32,$AG$33,$AG$34)</f>
        <v>3</v>
      </c>
    </row>
    <row r="30" spans="2:47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Kn/(1+EXP(-(Tabella2[[#This Row],[Day]]-t0n)/wn))</f>
        <v>32034.547432035135</v>
      </c>
      <c r="H30" s="10">
        <f>Tabella2[[#This Row],[Cum_fit]]*(1-Tabella2[[#This Row],[Cum_fit]]/Kn)/wn</f>
        <v>3765.0868982792026</v>
      </c>
      <c r="I30" s="56">
        <f>Tabella2[[#This Row],[New_cases_fit]]*NOT(ISBLANK(Tabella2[[#This Row],[New cases]]))</f>
        <v>3765.0868982792026</v>
      </c>
      <c r="J30" s="10">
        <f>Tabella2[[#This Row],[New_cases_fit]]+CIn</f>
        <v>5478.9721608793579</v>
      </c>
      <c r="K30" s="10">
        <f>MAX(Tabella2[[#This Row],[New_cases_fit]]-CIn,0)</f>
        <v>2051.2016356790473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3010.3977371377673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Kd/(1+EXP(-(Tabella2[[#This Row],[Day]]-t0d)/wd))</f>
        <v>4473.7145068068103</v>
      </c>
      <c r="S30" s="10">
        <f>Tabella2[[#This Row],[Cum_R_fit]]*(1-Tabella2[[#This Row],[Cum_R_fit]]/Kd)/wd</f>
        <v>382.00827254948797</v>
      </c>
      <c r="T30" s="60">
        <f>Tabella2[[#This Row],[New_Recovered_fit]]*NOT(ISBLANK(Tabella2[[#This Row],[New recovered]]))</f>
        <v>382.00827254948797</v>
      </c>
      <c r="U30" s="10">
        <f>Tabella2[[#This Row],[New_Recovered_fit]]+CId</f>
        <v>1092.2544127224908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4">
        <f>Tabella2[[#This Row],[New deaths]]*NOT(ISBLANK(Tabella2[[#This Row],[New deaths]]))</f>
        <v>345</v>
      </c>
      <c r="Z30" s="50">
        <f>Kt/(1+EXP(-(Tabella2[[#This Row],[Day]]-t0t)/wt))</f>
        <v>2660.9105387646455</v>
      </c>
      <c r="AA30" s="10">
        <f>Tabella2[[#This Row],[Cum_D_fit]]*(1-Tabella2[[#This Row],[Cum_D_fit]]/Kt)/wt</f>
        <v>372.68088859194711</v>
      </c>
      <c r="AB30" s="64">
        <f>Tabella2[[#This Row],[New_Deaths_fit]]*NOT(ISBLANK(Tabella2[[#This Row],[New deaths]]))</f>
        <v>372.68088859194711</v>
      </c>
      <c r="AC30" s="10">
        <f>Tabella2[[#This Row],[New_Deaths_fit]]+CIt</f>
        <v>585.8847993481188</v>
      </c>
      <c r="AD30" s="10">
        <f>MAX(Tabella2[[#This Row],[New_Deaths_fit]]-CIt,0)</f>
        <v>159.47697783577539</v>
      </c>
      <c r="AE30" s="1"/>
      <c r="AF30" s="88" t="s">
        <v>70</v>
      </c>
      <c r="AG30" s="89">
        <f>_xlfn.XLOOKUP(ROUND(t0d,0),Tabella2[Day],Tabella2[Date])</f>
        <v>43946</v>
      </c>
      <c r="AU30" s="79">
        <f>{32767;32767;0.000001;0;FALSE;FALSE;TRUE;1;1;1;0.0001;TRUE}</f>
        <v>32767</v>
      </c>
    </row>
    <row r="31" spans="2:47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Kn/(1+EXP(-(Tabella2[[#This Row],[Day]]-t0n)/wn))</f>
        <v>35969.168252492986</v>
      </c>
      <c r="H31" s="10">
        <f>Tabella2[[#This Row],[Cum_fit]]*(1-Tabella2[[#This Row],[Cum_fit]]/Kn)/wn</f>
        <v>4104.5553377923507</v>
      </c>
      <c r="I31" s="56">
        <f>Tabella2[[#This Row],[New_cases_fit]]*NOT(ISBLANK(Tabella2[[#This Row],[New cases]]))</f>
        <v>4104.5553377923507</v>
      </c>
      <c r="J31" s="10">
        <f>Tabella2[[#This Row],[New_cases_fit]]+CIn</f>
        <v>5818.440600392506</v>
      </c>
      <c r="K31" s="10">
        <f>MAX(Tabella2[[#This Row],[New_cases_fit]]-CIn,0)</f>
        <v>2390.6700751921953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3270.3689919253275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Kd/(1+EXP(-(Tabella2[[#This Row],[Day]]-t0d)/wd))</f>
        <v>4871.9266525997791</v>
      </c>
      <c r="S31" s="10">
        <f>Tabella2[[#This Row],[Cum_R_fit]]*(1-Tabella2[[#This Row],[Cum_R_fit]]/Kd)/wd</f>
        <v>414.8349488366303</v>
      </c>
      <c r="T31" s="60">
        <f>Tabella2[[#This Row],[New_Recovered_fit]]*NOT(ISBLANK(Tabella2[[#This Row],[New recovered]]))</f>
        <v>414.8349488366303</v>
      </c>
      <c r="U31" s="10">
        <f>Tabella2[[#This Row],[New_Recovered_fit]]+CId</f>
        <v>1125.0810890096332</v>
      </c>
      <c r="V31" s="10">
        <f>MAX(Tabella2[[#This Row],[New_Recovered_fit]]-CId,0)</f>
        <v>0</v>
      </c>
      <c r="W31" s="10">
        <f>'dpc-covid19-ita-andamento-naz'!K25</f>
        <v>2978</v>
      </c>
      <c r="X31" s="26">
        <f>Tabella2[[#This Row],[Cum_deaths]]-W30</f>
        <v>475</v>
      </c>
      <c r="Y31" s="64">
        <f>Tabella2[[#This Row],[New deaths]]*NOT(ISBLANK(Tabella2[[#This Row],[New deaths]]))</f>
        <v>475</v>
      </c>
      <c r="Z31" s="50">
        <f>Kt/(1+EXP(-(Tabella2[[#This Row],[Day]]-t0t)/wt))</f>
        <v>3056.656808492628</v>
      </c>
      <c r="AA31" s="10">
        <f>Tabella2[[#This Row],[Cum_D_fit]]*(1-Tabella2[[#This Row],[Cum_D_fit]]/Kt)/wt</f>
        <v>419.35139703039295</v>
      </c>
      <c r="AB31" s="64">
        <f>Tabella2[[#This Row],[New_Deaths_fit]]*NOT(ISBLANK(Tabella2[[#This Row],[New deaths]]))</f>
        <v>419.35139703039295</v>
      </c>
      <c r="AC31" s="10">
        <f>Tabella2[[#This Row],[New_Deaths_fit]]+CIt</f>
        <v>632.55530778656464</v>
      </c>
      <c r="AD31" s="10">
        <f>MAX(Tabella2[[#This Row],[New_Deaths_fit]]-CIt,0)</f>
        <v>206.14748627422122</v>
      </c>
      <c r="AE31" s="1"/>
      <c r="AF31" s="23" t="s">
        <v>53</v>
      </c>
      <c r="AG31" s="68" t="s">
        <v>96</v>
      </c>
      <c r="AU31" s="79">
        <f>{0;0;1;100;0;FALSE;TRUE;0.075;0;0;FALSE;30}</f>
        <v>0</v>
      </c>
    </row>
    <row r="32" spans="2:47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Kn/(1+EXP(-(Tabella2[[#This Row],[Day]]-t0n)/wn))</f>
        <v>40243.272255063785</v>
      </c>
      <c r="H32" s="10">
        <f>Tabella2[[#This Row],[Cum_fit]]*(1-Tabella2[[#This Row],[Cum_fit]]/Kn)/wn</f>
        <v>4442.8270168779882</v>
      </c>
      <c r="I32" s="56">
        <f>Tabella2[[#This Row],[New_cases_fit]]*NOT(ISBLANK(Tabella2[[#This Row],[New cases]]))</f>
        <v>4442.8270168779882</v>
      </c>
      <c r="J32" s="10">
        <f>Tabella2[[#This Row],[New_cases_fit]]+CIn</f>
        <v>6156.7122794781435</v>
      </c>
      <c r="K32" s="10">
        <f>MAX(Tabella2[[#This Row],[New_cases_fit]]-CIn,0)</f>
        <v>2728.9417542778328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3523.5627375804502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Kd/(1+EXP(-(Tabella2[[#This Row],[Day]]-t0d)/wd))</f>
        <v>5304.2490789165031</v>
      </c>
      <c r="S32" s="10">
        <f>Tabella2[[#This Row],[Cum_R_fit]]*(1-Tabella2[[#This Row],[Cum_R_fit]]/Kd)/wd</f>
        <v>450.25577608708812</v>
      </c>
      <c r="T32" s="60">
        <f>Tabella2[[#This Row],[New_Recovered_fit]]*NOT(ISBLANK(Tabella2[[#This Row],[New recovered]]))</f>
        <v>450.25577608708812</v>
      </c>
      <c r="U32" s="10">
        <f>Tabella2[[#This Row],[New_Recovered_fit]]+CId</f>
        <v>1160.5019162600909</v>
      </c>
      <c r="V32" s="10">
        <f>MAX(Tabella2[[#This Row],[New_Recovered_fit]]-CId,0)</f>
        <v>0</v>
      </c>
      <c r="W32" s="10">
        <f>'dpc-covid19-ita-andamento-naz'!K26</f>
        <v>3405</v>
      </c>
      <c r="X32" s="26">
        <f>Tabella2[[#This Row],[Cum_deaths]]-W31</f>
        <v>427</v>
      </c>
      <c r="Y32" s="64">
        <f>Tabella2[[#This Row],[New deaths]]*NOT(ISBLANK(Tabella2[[#This Row],[New deaths]]))</f>
        <v>427</v>
      </c>
      <c r="Z32" s="50">
        <f>Kt/(1+EXP(-(Tabella2[[#This Row],[Day]]-t0t)/wt))</f>
        <v>3500.6114768075613</v>
      </c>
      <c r="AA32" s="10">
        <f>Tabella2[[#This Row],[Cum_D_fit]]*(1-Tabella2[[#This Row],[Cum_D_fit]]/Kt)/wt</f>
        <v>469.00850321044976</v>
      </c>
      <c r="AB32" s="64">
        <f>Tabella2[[#This Row],[New_Deaths_fit]]*NOT(ISBLANK(Tabella2[[#This Row],[New deaths]]))</f>
        <v>469.00850321044976</v>
      </c>
      <c r="AC32" s="10">
        <f>Tabella2[[#This Row],[New_Deaths_fit]]+CIt</f>
        <v>682.21241396662151</v>
      </c>
      <c r="AD32" s="10">
        <f>MAX(Tabella2[[#This Row],[New_Deaths_fit]]-CIt,0)</f>
        <v>255.80459245427804</v>
      </c>
      <c r="AE32" s="1"/>
      <c r="AF32" s="69" t="s">
        <v>0</v>
      </c>
      <c r="AG32" s="96">
        <f>Kh</f>
        <v>22008.445086268261</v>
      </c>
      <c r="AU32" s="79"/>
    </row>
    <row r="33" spans="2:47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Kn/(1+EXP(-(Tabella2[[#This Row],[Day]]-t0n)/wn))</f>
        <v>44851.798426307607</v>
      </c>
      <c r="H33" s="10">
        <f>Tabella2[[#This Row],[Cum_fit]]*(1-Tabella2[[#This Row],[Cum_fit]]/Kn)/wn</f>
        <v>4771.995880002105</v>
      </c>
      <c r="I33" s="56">
        <f>Tabella2[[#This Row],[New_cases_fit]]*NOT(ISBLANK(Tabella2[[#This Row],[New cases]]))</f>
        <v>4771.995880002105</v>
      </c>
      <c r="J33" s="10">
        <f>Tabella2[[#This Row],[New_cases_fit]]+CIn</f>
        <v>6485.8811426022603</v>
      </c>
      <c r="K33" s="10">
        <f>MAX(Tabella2[[#This Row],[New_cases_fit]]-CIn,0)</f>
        <v>3058.1106174019496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3762.5673313379411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Kd/(1+EXP(-(Tabella2[[#This Row],[Day]]-t0d)/wd))</f>
        <v>5773.3573399295165</v>
      </c>
      <c r="S33" s="10">
        <f>Tabella2[[#This Row],[Cum_R_fit]]*(1-Tabella2[[#This Row],[Cum_R_fit]]/Kd)/wd</f>
        <v>488.43409255623203</v>
      </c>
      <c r="T33" s="60">
        <f>Tabella2[[#This Row],[New_Recovered_fit]]*NOT(ISBLANK(Tabella2[[#This Row],[New recovered]]))</f>
        <v>488.43409255623203</v>
      </c>
      <c r="U33" s="10">
        <f>Tabella2[[#This Row],[New_Recovered_fit]]+CId</f>
        <v>1198.6802327292348</v>
      </c>
      <c r="V33" s="10">
        <f>MAX(Tabella2[[#This Row],[New_Recovered_fit]]-CId,0)</f>
        <v>0</v>
      </c>
      <c r="W33" s="10">
        <f>'dpc-covid19-ita-andamento-naz'!K27</f>
        <v>4032</v>
      </c>
      <c r="X33" s="26">
        <f>Tabella2[[#This Row],[Cum_deaths]]-W32</f>
        <v>627</v>
      </c>
      <c r="Y33" s="64">
        <f>Tabella2[[#This Row],[New deaths]]*NOT(ISBLANK(Tabella2[[#This Row],[New deaths]]))</f>
        <v>627</v>
      </c>
      <c r="Z33" s="50">
        <f>Kt/(1+EXP(-(Tabella2[[#This Row],[Day]]-t0t)/wt))</f>
        <v>3995.4529953888382</v>
      </c>
      <c r="AA33" s="10">
        <f>Tabella2[[#This Row],[Cum_D_fit]]*(1-Tabella2[[#This Row],[Cum_D_fit]]/Kt)/wt</f>
        <v>520.99445610793168</v>
      </c>
      <c r="AB33" s="64">
        <f>Tabella2[[#This Row],[New_Deaths_fit]]*NOT(ISBLANK(Tabella2[[#This Row],[New deaths]]))</f>
        <v>520.99445610793168</v>
      </c>
      <c r="AC33" s="10">
        <f>Tabella2[[#This Row],[New_Deaths_fit]]+CIt</f>
        <v>734.19836686410338</v>
      </c>
      <c r="AD33" s="10">
        <f>MAX(Tabella2[[#This Row],[New_Deaths_fit]]-CIt,0)</f>
        <v>307.79054535175999</v>
      </c>
      <c r="AE33" s="1"/>
      <c r="AF33" s="69" t="s">
        <v>86</v>
      </c>
      <c r="AG33" s="70">
        <f>t0h</f>
        <v>34.45226803979525</v>
      </c>
      <c r="AU33" s="80"/>
    </row>
    <row r="34" spans="2:47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Kn/(1+EXP(-(Tabella2[[#This Row],[Day]]-t0n)/wn))</f>
        <v>49781.293720428774</v>
      </c>
      <c r="H34" s="10">
        <f>Tabella2[[#This Row],[Cum_fit]]*(1-Tabella2[[#This Row],[Cum_fit]]/Kn)/wn</f>
        <v>5083.2351500132945</v>
      </c>
      <c r="I34" s="56">
        <f>Tabella2[[#This Row],[New_cases_fit]]*NOT(ISBLANK(Tabella2[[#This Row],[New cases]]))</f>
        <v>5083.2351500132945</v>
      </c>
      <c r="J34" s="10">
        <f>Tabella2[[#This Row],[New_cases_fit]]+CIn</f>
        <v>6797.1204126134498</v>
      </c>
      <c r="K34" s="10">
        <f>MAX(Tabella2[[#This Row],[New_cases_fit]]-CIn,0)</f>
        <v>3369.3498874131392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3979.3068148643151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Kd/(1+EXP(-(Tabella2[[#This Row],[Day]]-t0d)/wd))</f>
        <v>6282.091687957166</v>
      </c>
      <c r="S34" s="10">
        <f>Tabella2[[#This Row],[Cum_R_fit]]*(1-Tabella2[[#This Row],[Cum_R_fit]]/Kd)/wd</f>
        <v>529.53570961277569</v>
      </c>
      <c r="T34" s="60">
        <f>Tabella2[[#This Row],[New_Recovered_fit]]*NOT(ISBLANK(Tabella2[[#This Row],[New recovered]]))</f>
        <v>529.53570961277569</v>
      </c>
      <c r="U34" s="10">
        <f>Tabella2[[#This Row],[New_Recovered_fit]]+CId</f>
        <v>1239.7818497857784</v>
      </c>
      <c r="V34" s="10">
        <f>MAX(Tabella2[[#This Row],[New_Recovered_fit]]-CId,0)</f>
        <v>0</v>
      </c>
      <c r="W34" s="10">
        <f>'dpc-covid19-ita-andamento-naz'!K28</f>
        <v>4825</v>
      </c>
      <c r="X34" s="26">
        <f>Tabella2[[#This Row],[Cum_deaths]]-W33</f>
        <v>793</v>
      </c>
      <c r="Y34" s="64">
        <f>Tabella2[[#This Row],[New deaths]]*NOT(ISBLANK(Tabella2[[#This Row],[New deaths]]))</f>
        <v>793</v>
      </c>
      <c r="Z34" s="50">
        <f>Kt/(1+EXP(-(Tabella2[[#This Row],[Day]]-t0t)/wt))</f>
        <v>4543.0741296309052</v>
      </c>
      <c r="AA34" s="10">
        <f>Tabella2[[#This Row],[Cum_D_fit]]*(1-Tabella2[[#This Row],[Cum_D_fit]]/Kt)/wt</f>
        <v>574.39262553620392</v>
      </c>
      <c r="AB34" s="64">
        <f>Tabella2[[#This Row],[New_Deaths_fit]]*NOT(ISBLANK(Tabella2[[#This Row],[New deaths]]))</f>
        <v>574.39262553620392</v>
      </c>
      <c r="AC34" s="10">
        <f>Tabella2[[#This Row],[New_Deaths_fit]]+CIt</f>
        <v>787.59653629237562</v>
      </c>
      <c r="AD34" s="10">
        <f>MAX(Tabella2[[#This Row],[New_Deaths_fit]]-CIt,0)</f>
        <v>361.18871478003223</v>
      </c>
      <c r="AE34" s="1"/>
      <c r="AF34" s="69" t="s">
        <v>1</v>
      </c>
      <c r="AG34" s="70">
        <f>wh</f>
        <v>6.2766718175071121</v>
      </c>
    </row>
    <row r="35" spans="2:47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Kn/(1+EXP(-(Tabella2[[#This Row],[Day]]-t0n)/wn))</f>
        <v>55009.168560036727</v>
      </c>
      <c r="H35" s="10">
        <f>Tabella2[[#This Row],[Cum_fit]]*(1-Tabella2[[#This Row],[Cum_fit]]/Kn)/wn</f>
        <v>5367.1719669993972</v>
      </c>
      <c r="I35" s="56">
        <f>Tabella2[[#This Row],[New_cases_fit]]*NOT(ISBLANK(Tabella2[[#This Row],[New cases]]))</f>
        <v>5367.1719669993972</v>
      </c>
      <c r="J35" s="10">
        <f>Tabella2[[#This Row],[New_cases_fit]]+CIn</f>
        <v>7081.0572295995526</v>
      </c>
      <c r="K35" s="10">
        <f>MAX(Tabella2[[#This Row],[New_cases_fit]]-CIn,0)</f>
        <v>3653.2867043992419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4165.4256218232485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Kd/(1+EXP(-(Tabella2[[#This Row],[Day]]-t0d)/wd))</f>
        <v>6833.4587491674474</v>
      </c>
      <c r="S35" s="10">
        <f>Tabella2[[#This Row],[Cum_R_fit]]*(1-Tabella2[[#This Row],[Cum_R_fit]]/Kd)/wd</f>
        <v>573.72725805638493</v>
      </c>
      <c r="T35" s="60">
        <f>Tabella2[[#This Row],[New_Recovered_fit]]*NOT(ISBLANK(Tabella2[[#This Row],[New recovered]]))</f>
        <v>573.72725805638493</v>
      </c>
      <c r="U35" s="10">
        <f>Tabella2[[#This Row],[New_Recovered_fit]]+CId</f>
        <v>1283.9733982293878</v>
      </c>
      <c r="V35" s="10">
        <f>MAX(Tabella2[[#This Row],[New_Recovered_fit]]-CId,0)</f>
        <v>0</v>
      </c>
      <c r="W35" s="10">
        <f>'dpc-covid19-ita-andamento-naz'!K29</f>
        <v>5476</v>
      </c>
      <c r="X35" s="26">
        <f>Tabella2[[#This Row],[Cum_deaths]]-W34</f>
        <v>651</v>
      </c>
      <c r="Y35" s="64">
        <f>Tabella2[[#This Row],[New deaths]]*NOT(ISBLANK(Tabella2[[#This Row],[New deaths]]))</f>
        <v>651</v>
      </c>
      <c r="Z35" s="50">
        <f>Kt/(1+EXP(-(Tabella2[[#This Row],[Day]]-t0t)/wt))</f>
        <v>5144.3171821646465</v>
      </c>
      <c r="AA35" s="10">
        <f>Tabella2[[#This Row],[Cum_D_fit]]*(1-Tabella2[[#This Row],[Cum_D_fit]]/Kt)/wt</f>
        <v>628.01908711976409</v>
      </c>
      <c r="AB35" s="64">
        <f>Tabella2[[#This Row],[New_Deaths_fit]]*NOT(ISBLANK(Tabella2[[#This Row],[New deaths]]))</f>
        <v>628.01908711976409</v>
      </c>
      <c r="AC35" s="10">
        <f>Tabella2[[#This Row],[New_Deaths_fit]]+CIt</f>
        <v>841.22299787593579</v>
      </c>
      <c r="AD35" s="10">
        <f>MAX(Tabella2[[#This Row],[New_Deaths_fit]]-CIt,0)</f>
        <v>414.8151763635924</v>
      </c>
      <c r="AF35" s="71" t="s">
        <v>2</v>
      </c>
      <c r="AG35" s="35">
        <f>AVERAGE(Tabella2[New deaths])</f>
        <v>421.2</v>
      </c>
      <c r="AJ35" s="1"/>
    </row>
    <row r="36" spans="2:47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Kn/(1+EXP(-(Tabella2[[#This Row],[Day]]-t0n)/wn))</f>
        <v>60503.390811237718</v>
      </c>
      <c r="H36" s="10">
        <f>Tabella2[[#This Row],[Cum_fit]]*(1-Tabella2[[#This Row],[Cum_fit]]/Kn)/wn</f>
        <v>5614.3862112340112</v>
      </c>
      <c r="I36" s="56">
        <f>Tabella2[[#This Row],[New_cases_fit]]*NOT(ISBLANK(Tabella2[[#This Row],[New cases]]))</f>
        <v>5614.3862112340112</v>
      </c>
      <c r="J36" s="10">
        <f>Tabella2[[#This Row],[New_cases_fit]]+CIn</f>
        <v>7328.2714738341665</v>
      </c>
      <c r="K36" s="10">
        <f>MAX(Tabella2[[#This Row],[New_cases_fit]]-CIn,0)</f>
        <v>3900.5009486338558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4312.7739431790105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Kd/(1+EXP(-(Tabella2[[#This Row],[Day]]-t0d)/wd))</f>
        <v>7430.6313616807702</v>
      </c>
      <c r="S36" s="10">
        <f>Tabella2[[#This Row],[Cum_R_fit]]*(1-Tabella2[[#This Row],[Cum_R_fit]]/Kd)/wd</f>
        <v>621.17415924849831</v>
      </c>
      <c r="T36" s="60">
        <f>Tabella2[[#This Row],[New_Recovered_fit]]*NOT(ISBLANK(Tabella2[[#This Row],[New recovered]]))</f>
        <v>621.17415924849831</v>
      </c>
      <c r="U36" s="10">
        <f>Tabella2[[#This Row],[New_Recovered_fit]]+CId</f>
        <v>1331.4202994215011</v>
      </c>
      <c r="V36" s="10">
        <f>MAX(Tabella2[[#This Row],[New_Recovered_fit]]-CId,0)</f>
        <v>0</v>
      </c>
      <c r="W36" s="10">
        <f>'dpc-covid19-ita-andamento-naz'!K30</f>
        <v>6077</v>
      </c>
      <c r="X36" s="26">
        <f>Tabella2[[#This Row],[Cum_deaths]]-W35</f>
        <v>601</v>
      </c>
      <c r="Y36" s="64">
        <f>Tabella2[[#This Row],[New deaths]]*NOT(ISBLANK(Tabella2[[#This Row],[New deaths]]))</f>
        <v>601</v>
      </c>
      <c r="Z36" s="50">
        <f>Kt/(1+EXP(-(Tabella2[[#This Row],[Day]]-t0t)/wt))</f>
        <v>5798.7121600968285</v>
      </c>
      <c r="AA36" s="10">
        <f>Tabella2[[#This Row],[Cum_D_fit]]*(1-Tabella2[[#This Row],[Cum_D_fit]]/Kt)/wt</f>
        <v>680.43810880650244</v>
      </c>
      <c r="AB36" s="64">
        <f>Tabella2[[#This Row],[New_Deaths_fit]]*NOT(ISBLANK(Tabella2[[#This Row],[New deaths]]))</f>
        <v>680.43810880650244</v>
      </c>
      <c r="AC36" s="10">
        <f>Tabella2[[#This Row],[New_Deaths_fit]]+CIt</f>
        <v>893.64201956267414</v>
      </c>
      <c r="AD36" s="10">
        <f>MAX(Tabella2[[#This Row],[New_Deaths_fit]]-CIt,0)</f>
        <v>467.23419805033075</v>
      </c>
      <c r="AF36" s="71" t="s">
        <v>3</v>
      </c>
      <c r="AG36" s="35">
        <f>COUNT(Tabella2[New deaths])-COUNT(AG32:AG34)</f>
        <v>47</v>
      </c>
    </row>
    <row r="37" spans="2:47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Kn/(1+EXP(-(Tabella2[[#This Row],[Day]]-t0n)/wn))</f>
        <v>66222.728207862558</v>
      </c>
      <c r="H37" s="10">
        <f>Tabella2[[#This Row],[Cum_fit]]*(1-Tabella2[[#This Row],[Cum_fit]]/Kn)/wn</f>
        <v>5816.0013450761107</v>
      </c>
      <c r="I37" s="56">
        <f>Tabella2[[#This Row],[New_cases_fit]]*NOT(ISBLANK(Tabella2[[#This Row],[New cases]]))</f>
        <v>5816.0013450761107</v>
      </c>
      <c r="J37" s="10">
        <f>Tabella2[[#This Row],[New_cases_fit]]+CIn</f>
        <v>7529.8866076762661</v>
      </c>
      <c r="K37" s="10">
        <f>MAX(Tabella2[[#This Row],[New_cases_fit]]-CIn,0)</f>
        <v>4102.1160824759554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4413.9554081363558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Kd/(1+EXP(-(Tabella2[[#This Row],[Day]]-t0d)/wd))</f>
        <v>8076.9461788073468</v>
      </c>
      <c r="S37" s="10">
        <f>Tabella2[[#This Row],[Cum_R_fit]]*(1-Tabella2[[#This Row],[Cum_R_fit]]/Kd)/wd</f>
        <v>672.03817692548398</v>
      </c>
      <c r="T37" s="60">
        <f>Tabella2[[#This Row],[New_Recovered_fit]]*NOT(ISBLANK(Tabella2[[#This Row],[New recovered]]))</f>
        <v>672.03817692548398</v>
      </c>
      <c r="U37" s="10">
        <f>Tabella2[[#This Row],[New_Recovered_fit]]+CId</f>
        <v>1382.2843170984868</v>
      </c>
      <c r="V37" s="10">
        <f>MAX(Tabella2[[#This Row],[New_Recovered_fit]]-CId,0)</f>
        <v>0</v>
      </c>
      <c r="W37" s="10">
        <f>'dpc-covid19-ita-andamento-naz'!K31</f>
        <v>6820</v>
      </c>
      <c r="X37" s="26">
        <f>Tabella2[[#This Row],[Cum_deaths]]-W36</f>
        <v>743</v>
      </c>
      <c r="Y37" s="64">
        <f>Tabella2[[#This Row],[New deaths]]*NOT(ISBLANK(Tabella2[[#This Row],[New deaths]]))</f>
        <v>743</v>
      </c>
      <c r="Z37" s="50">
        <f>Kt/(1+EXP(-(Tabella2[[#This Row],[Day]]-t0t)/wt))</f>
        <v>6504.2450668120855</v>
      </c>
      <c r="AA37" s="10">
        <f>Tabella2[[#This Row],[Cum_D_fit]]*(1-Tabella2[[#This Row],[Cum_D_fit]]/Kt)/wt</f>
        <v>730.00776001427096</v>
      </c>
      <c r="AB37" s="64">
        <f>Tabella2[[#This Row],[New_Deaths_fit]]*NOT(ISBLANK(Tabella2[[#This Row],[New deaths]]))</f>
        <v>730.00776001427096</v>
      </c>
      <c r="AC37" s="10">
        <f>Tabella2[[#This Row],[New_Deaths_fit]]+CIt</f>
        <v>943.21167077044265</v>
      </c>
      <c r="AD37" s="10">
        <f>MAX(Tabella2[[#This Row],[New_Deaths_fit]]-CIt,0)</f>
        <v>516.80384925809926</v>
      </c>
      <c r="AF37" s="71" t="s">
        <v>4</v>
      </c>
      <c r="AG37" s="72" cm="1">
        <f t="array" ref="AG37">SQRT(SUM((Tabella2[Colonna5]-Tabella2[Colonna6])^2)/dft)</f>
        <v>105.97982657360302</v>
      </c>
    </row>
    <row r="38" spans="2:47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Kn/(1+EXP(-(Tabella2[[#This Row],[Day]]-t0n)/wn))</f>
        <v>72117.60606253671</v>
      </c>
      <c r="H38" s="10">
        <f>Tabella2[[#This Row],[Cum_fit]]*(1-Tabella2[[#This Row],[Cum_fit]]/Kn)/wn</f>
        <v>5964.3136093834419</v>
      </c>
      <c r="I38" s="56">
        <f>Tabella2[[#This Row],[New_cases_fit]]*NOT(ISBLANK(Tabella2[[#This Row],[New cases]]))</f>
        <v>5964.3136093834419</v>
      </c>
      <c r="J38" s="10">
        <f>Tabella2[[#This Row],[New_cases_fit]]+CIn</f>
        <v>7678.1988719835972</v>
      </c>
      <c r="K38" s="10">
        <f>MAX(Tabella2[[#This Row],[New_cases_fit]]-CIn,0)</f>
        <v>4250.4283467832865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4462.8802655942382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Kd/(1+EXP(-(Tabella2[[#This Row],[Day]]-t0d)/wd))</f>
        <v>8775.8985963886571</v>
      </c>
      <c r="S38" s="10">
        <f>Tabella2[[#This Row],[Cum_R_fit]]*(1-Tabella2[[#This Row],[Cum_R_fit]]/Kd)/wd</f>
        <v>726.47450660237712</v>
      </c>
      <c r="T38" s="60">
        <f>Tabella2[[#This Row],[New_Recovered_fit]]*NOT(ISBLANK(Tabella2[[#This Row],[New recovered]]))</f>
        <v>726.47450660237712</v>
      </c>
      <c r="U38" s="10">
        <f>Tabella2[[#This Row],[New_Recovered_fit]]+CId</f>
        <v>1436.7206467753799</v>
      </c>
      <c r="V38" s="10">
        <f>MAX(Tabella2[[#This Row],[New_Recovered_fit]]-CId,0)</f>
        <v>16.228366429374319</v>
      </c>
      <c r="W38" s="10">
        <f>'dpc-covid19-ita-andamento-naz'!K32</f>
        <v>7503</v>
      </c>
      <c r="X38" s="26">
        <f>Tabella2[[#This Row],[Cum_deaths]]-W37</f>
        <v>683</v>
      </c>
      <c r="Y38" s="64">
        <f>Tabella2[[#This Row],[New deaths]]*NOT(ISBLANK(Tabella2[[#This Row],[New deaths]]))</f>
        <v>683</v>
      </c>
      <c r="Z38" s="50">
        <f>Kt/(1+EXP(-(Tabella2[[#This Row],[Day]]-t0t)/wt))</f>
        <v>7257.1883745598343</v>
      </c>
      <c r="AA38" s="10">
        <f>Tabella2[[#This Row],[Cum_D_fit]]*(1-Tabella2[[#This Row],[Cum_D_fit]]/Kt)/wt</f>
        <v>774.95883718682717</v>
      </c>
      <c r="AB38" s="64">
        <f>Tabella2[[#This Row],[New_Deaths_fit]]*NOT(ISBLANK(Tabella2[[#This Row],[New deaths]]))</f>
        <v>774.95883718682717</v>
      </c>
      <c r="AC38" s="10">
        <f>Tabella2[[#This Row],[New_Deaths_fit]]+CIt</f>
        <v>988.16274794299886</v>
      </c>
      <c r="AD38" s="10">
        <f>MAX(Tabella2[[#This Row],[New_Deaths_fit]]-CIt,0)</f>
        <v>561.75492643065547</v>
      </c>
      <c r="AF38" s="71" t="s">
        <v>87</v>
      </c>
      <c r="AG38" s="73" cm="1">
        <f t="array" ref="AG38">1-SUM((Tabella2[Colonna5]-Tabella2[Colonna6])^2)/SUM((Tabella2[Colonna5]-Mean_of_yt)^2)</f>
        <v>0.93591840294534534</v>
      </c>
    </row>
    <row r="39" spans="2:47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Kn/(1+EXP(-(Tabella2[[#This Row],[Day]]-t0n)/wn))</f>
        <v>78131.584700509353</v>
      </c>
      <c r="H39" s="10">
        <f>Tabella2[[#This Row],[Cum_fit]]*(1-Tabella2[[#This Row],[Cum_fit]]/Kn)/wn</f>
        <v>6053.389779617045</v>
      </c>
      <c r="I39" s="56">
        <f>Tabella2[[#This Row],[New_cases_fit]]*NOT(ISBLANK(Tabella2[[#This Row],[New cases]]))</f>
        <v>6053.389779617045</v>
      </c>
      <c r="J39" s="10">
        <f>Tabella2[[#This Row],[New_cases_fit]]+CIn</f>
        <v>7767.2750422172003</v>
      </c>
      <c r="K39" s="10">
        <f>MAX(Tabella2[[#This Row],[New_cases_fit]]-CIn,0)</f>
        <v>4339.5045170168896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4455.2560883108599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Kd/(1+EXP(-(Tabella2[[#This Row],[Day]]-t0d)/wd))</f>
        <v>9531.1345215073652</v>
      </c>
      <c r="S39" s="10">
        <f>Tabella2[[#This Row],[Cum_R_fit]]*(1-Tabella2[[#This Row],[Cum_R_fit]]/Kd)/wd</f>
        <v>784.62836265333249</v>
      </c>
      <c r="T39" s="60">
        <f>Tabella2[[#This Row],[New_Recovered_fit]]*NOT(ISBLANK(Tabella2[[#This Row],[New recovered]]))</f>
        <v>784.62836265333249</v>
      </c>
      <c r="U39" s="10">
        <f>Tabella2[[#This Row],[New_Recovered_fit]]+CId</f>
        <v>1494.8745028263352</v>
      </c>
      <c r="V39" s="10">
        <f>MAX(Tabella2[[#This Row],[New_Recovered_fit]]-CId,0)</f>
        <v>74.382222480329688</v>
      </c>
      <c r="W39" s="10">
        <f>'dpc-covid19-ita-andamento-naz'!K33</f>
        <v>8165</v>
      </c>
      <c r="X39" s="26">
        <f>Tabella2[[#This Row],[Cum_deaths]]-W38</f>
        <v>662</v>
      </c>
      <c r="Y39" s="64">
        <f>Tabella2[[#This Row],[New deaths]]*NOT(ISBLANK(Tabella2[[#This Row],[New deaths]]))</f>
        <v>662</v>
      </c>
      <c r="Z39" s="50">
        <f>Kt/(1+EXP(-(Tabella2[[#This Row],[Day]]-t0t)/wt))</f>
        <v>8052.0265911395682</v>
      </c>
      <c r="AA39" s="10">
        <f>Tabella2[[#This Row],[Cum_D_fit]]*(1-Tabella2[[#This Row],[Cum_D_fit]]/Kt)/wt</f>
        <v>813.50532865285288</v>
      </c>
      <c r="AB39" s="64">
        <f>Tabella2[[#This Row],[New_Deaths_fit]]*NOT(ISBLANK(Tabella2[[#This Row],[New deaths]]))</f>
        <v>813.50532865285288</v>
      </c>
      <c r="AC39" s="10">
        <f>Tabella2[[#This Row],[New_Deaths_fit]]+CIt</f>
        <v>1026.7092394090246</v>
      </c>
      <c r="AD39" s="10">
        <f>MAX(Tabella2[[#This Row],[New_Deaths_fit]]-CIt,0)</f>
        <v>600.30141789668119</v>
      </c>
      <c r="AF39" s="71" t="s">
        <v>6</v>
      </c>
      <c r="AG39" s="73">
        <f>TINV(0.05,dft)</f>
        <v>2.0117405137297668</v>
      </c>
    </row>
    <row r="40" spans="2:47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Kn/(1+EXP(-(Tabella2[[#This Row],[Day]]-t0n)/wn))</f>
        <v>84203.387360425142</v>
      </c>
      <c r="H40" s="10">
        <f>Tabella2[[#This Row],[Cum_fit]]*(1-Tabella2[[#This Row],[Cum_fit]]/Kn)/wn</f>
        <v>6079.5579839989123</v>
      </c>
      <c r="I40" s="56">
        <f>Tabella2[[#This Row],[New_cases_fit]]*NOT(ISBLANK(Tabella2[[#This Row],[New cases]]))</f>
        <v>6079.5579839989123</v>
      </c>
      <c r="J40" s="10">
        <f>Tabella2[[#This Row],[New_cases_fit]]+CIn</f>
        <v>7793.4432465990676</v>
      </c>
      <c r="K40" s="10">
        <f>MAX(Tabella2[[#This Row],[New_cases_fit]]-CIn,0)</f>
        <v>4365.6727213987569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4388.9486460142025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Kd/(1+EXP(-(Tabella2[[#This Row],[Day]]-t0d)/wd))</f>
        <v>10346.438462619903</v>
      </c>
      <c r="S40" s="10">
        <f>Tabella2[[#This Row],[Cum_R_fit]]*(1-Tabella2[[#This Row],[Cum_R_fit]]/Kd)/wd</f>
        <v>846.63102907274163</v>
      </c>
      <c r="T40" s="60">
        <f>Tabella2[[#This Row],[New_Recovered_fit]]*NOT(ISBLANK(Tabella2[[#This Row],[New recovered]]))</f>
        <v>846.63102907274163</v>
      </c>
      <c r="U40" s="10">
        <f>Tabella2[[#This Row],[New_Recovered_fit]]+CId</f>
        <v>1556.8771692457444</v>
      </c>
      <c r="V40" s="10">
        <f>MAX(Tabella2[[#This Row],[New_Recovered_fit]]-CId,0)</f>
        <v>136.38488889973883</v>
      </c>
      <c r="W40" s="10">
        <f>'dpc-covid19-ita-andamento-naz'!K34</f>
        <v>9134</v>
      </c>
      <c r="X40" s="26">
        <f>Tabella2[[#This Row],[Cum_deaths]]-W39</f>
        <v>969</v>
      </c>
      <c r="Y40" s="64">
        <f>Tabella2[[#This Row],[New deaths]]*NOT(ISBLANK(Tabella2[[#This Row],[New deaths]]))</f>
        <v>969</v>
      </c>
      <c r="Z40" s="50">
        <f>Kt/(1+EXP(-(Tabella2[[#This Row],[Day]]-t0t)/wt))</f>
        <v>8881.5049603855114</v>
      </c>
      <c r="AA40" s="10">
        <f>Tabella2[[#This Row],[Cum_D_fit]]*(1-Tabella2[[#This Row],[Cum_D_fit]]/Kt)/wt</f>
        <v>843.97830891196861</v>
      </c>
      <c r="AB40" s="64">
        <f>Tabella2[[#This Row],[New_Deaths_fit]]*NOT(ISBLANK(Tabella2[[#This Row],[New deaths]]))</f>
        <v>843.97830891196861</v>
      </c>
      <c r="AC40" s="10">
        <f>Tabella2[[#This Row],[New_Deaths_fit]]+CIt</f>
        <v>1057.1822196681403</v>
      </c>
      <c r="AD40" s="10">
        <f>MAX(Tabella2[[#This Row],[New_Deaths_fit]]-CIt,0)</f>
        <v>630.77439815579692</v>
      </c>
      <c r="AF40" s="71" t="s">
        <v>7</v>
      </c>
      <c r="AG40" s="35">
        <f>Critical_tt*SE_of_yt</f>
        <v>213.20391075617172</v>
      </c>
    </row>
    <row r="41" spans="2:47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Kn/(1+EXP(-(Tabella2[[#This Row],[Day]]-t0n)/wn))</f>
        <v>90269.336603474425</v>
      </c>
      <c r="H41" s="10">
        <f>Tabella2[[#This Row],[Cum_fit]]*(1-Tabella2[[#This Row],[Cum_fit]]/Kn)/wn</f>
        <v>6041.724072898458</v>
      </c>
      <c r="I41" s="56">
        <f>Tabella2[[#This Row],[New_cases_fit]]*NOT(ISBLANK(Tabella2[[#This Row],[New cases]]))</f>
        <v>6041.724072898458</v>
      </c>
      <c r="J41" s="10">
        <f>Tabella2[[#This Row],[New_cases_fit]]+CIn</f>
        <v>7755.6093354986133</v>
      </c>
      <c r="K41" s="10">
        <f>MAX(Tabella2[[#This Row],[New_cases_fit]]-CIn,0)</f>
        <v>4327.8388102983026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4264.1599700214319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Kd/(1+EXP(-(Tabella2[[#This Row],[Day]]-t0d)/wd))</f>
        <v>11225.717391517652</v>
      </c>
      <c r="S41" s="10">
        <f>Tabella2[[#This Row],[Cum_R_fit]]*(1-Tabella2[[#This Row],[Cum_R_fit]]/Kd)/wd</f>
        <v>912.59534924076365</v>
      </c>
      <c r="T41" s="60">
        <f>Tabella2[[#This Row],[New_Recovered_fit]]*NOT(ISBLANK(Tabella2[[#This Row],[New recovered]]))</f>
        <v>912.59534924076365</v>
      </c>
      <c r="U41" s="10">
        <f>Tabella2[[#This Row],[New_Recovered_fit]]+CId</f>
        <v>1622.8414894137663</v>
      </c>
      <c r="V41" s="10">
        <f>MAX(Tabella2[[#This Row],[New_Recovered_fit]]-CId,0)</f>
        <v>202.34920906776085</v>
      </c>
      <c r="W41" s="10">
        <f>'dpc-covid19-ita-andamento-naz'!K35</f>
        <v>10023</v>
      </c>
      <c r="X41" s="26">
        <f>Tabella2[[#This Row],[Cum_deaths]]-W40</f>
        <v>889</v>
      </c>
      <c r="Y41" s="64">
        <f>Tabella2[[#This Row],[New deaths]]*NOT(ISBLANK(Tabella2[[#This Row],[New deaths]]))</f>
        <v>889</v>
      </c>
      <c r="Z41" s="50">
        <f>Kt/(1+EXP(-(Tabella2[[#This Row],[Day]]-t0t)/wt))</f>
        <v>9736.817961937486</v>
      </c>
      <c r="AA41" s="10">
        <f>Tabella2[[#This Row],[Cum_D_fit]]*(1-Tabella2[[#This Row],[Cum_D_fit]]/Kt)/wt</f>
        <v>864.96875363626305</v>
      </c>
      <c r="AB41" s="64">
        <f>Tabella2[[#This Row],[New_Deaths_fit]]*NOT(ISBLANK(Tabella2[[#This Row],[New deaths]]))</f>
        <v>864.96875363626305</v>
      </c>
      <c r="AC41" s="10">
        <f>Tabella2[[#This Row],[New_Deaths_fit]]+CIt</f>
        <v>1078.1726643924349</v>
      </c>
      <c r="AD41" s="10">
        <f>MAX(Tabella2[[#This Row],[New_Deaths_fit]]-CIt,0)</f>
        <v>651.76484288009135</v>
      </c>
      <c r="AF41" s="34" t="s">
        <v>69</v>
      </c>
      <c r="AG41" s="35">
        <f>Kt/(EXP(1)*wt)</f>
        <v>1289.9279609945245</v>
      </c>
    </row>
    <row r="42" spans="2:47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Kn/(1+EXP(-(Tabella2[[#This Row],[Day]]-t0n)/wn))</f>
        <v>96265.999560046272</v>
      </c>
      <c r="H42" s="10">
        <f>Tabella2[[#This Row],[Cum_fit]]*(1-Tabella2[[#This Row],[Cum_fit]]/Kn)/wn</f>
        <v>5941.4677034404349</v>
      </c>
      <c r="I42" s="56">
        <f>Tabella2[[#This Row],[New_cases_fit]]*NOT(ISBLANK(Tabella2[[#This Row],[New cases]]))</f>
        <v>5941.4677034404349</v>
      </c>
      <c r="J42" s="10">
        <f>Tabella2[[#This Row],[New_cases_fit]]+CIn</f>
        <v>7655.3529660405902</v>
      </c>
      <c r="K42" s="10">
        <f>MAX(Tabella2[[#This Row],[New_cases_fit]]-CIn,0)</f>
        <v>4227.5824408402796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4083.3969603305609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Kd/(1+EXP(-(Tabella2[[#This Row],[Day]]-t0d)/wd))</f>
        <v>12172.979809184904</v>
      </c>
      <c r="S42" s="10">
        <f>Tabella2[[#This Row],[Cum_R_fit]]*(1-Tabella2[[#This Row],[Cum_R_fit]]/Kd)/wd</f>
        <v>982.61064343609257</v>
      </c>
      <c r="T42" s="60">
        <f>Tabella2[[#This Row],[New_Recovered_fit]]*NOT(ISBLANK(Tabella2[[#This Row],[New recovered]]))</f>
        <v>982.61064343609257</v>
      </c>
      <c r="U42" s="10">
        <f>Tabella2[[#This Row],[New_Recovered_fit]]+CId</f>
        <v>1692.8567836090954</v>
      </c>
      <c r="V42" s="10">
        <f>MAX(Tabella2[[#This Row],[New_Recovered_fit]]-CId,0)</f>
        <v>272.36450326308977</v>
      </c>
      <c r="W42" s="10">
        <f>'dpc-covid19-ita-andamento-naz'!K36</f>
        <v>10779</v>
      </c>
      <c r="X42" s="26">
        <f>Tabella2[[#This Row],[Cum_deaths]]-W41</f>
        <v>756</v>
      </c>
      <c r="Y42" s="64">
        <f>Tabella2[[#This Row],[New deaths]]*NOT(ISBLANK(Tabella2[[#This Row],[New deaths]]))</f>
        <v>756</v>
      </c>
      <c r="Z42" s="50">
        <f>Kt/(1+EXP(-(Tabella2[[#This Row],[Day]]-t0t)/wt))</f>
        <v>10607.937209995287</v>
      </c>
      <c r="AA42" s="10">
        <f>Tabella2[[#This Row],[Cum_D_fit]]*(1-Tabella2[[#This Row],[Cum_D_fit]]/Kt)/wt</f>
        <v>875.4600996737812</v>
      </c>
      <c r="AB42" s="64">
        <f>Tabella2[[#This Row],[New_Deaths_fit]]*NOT(ISBLANK(Tabella2[[#This Row],[New deaths]]))</f>
        <v>875.4600996737812</v>
      </c>
      <c r="AC42" s="10">
        <f>Tabella2[[#This Row],[New_Deaths_fit]]+CIt</f>
        <v>1088.6640104299529</v>
      </c>
      <c r="AD42" s="10">
        <f>MAX(Tabella2[[#This Row],[New_Deaths_fit]]-CIt,0)</f>
        <v>662.25618891760951</v>
      </c>
      <c r="AF42" s="34" t="s">
        <v>70</v>
      </c>
      <c r="AG42" s="75">
        <f>_xlfn.XLOOKUP(ROUND(t0t,0),Tabella2[Day],Tabella2[Date])</f>
        <v>43919</v>
      </c>
    </row>
    <row r="43" spans="2:47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Kn/(1+EXP(-(Tabella2[[#This Row],[Day]]-t0n)/wn))</f>
        <v>102132.81171957769</v>
      </c>
      <c r="H43" s="10">
        <f>Tabella2[[#This Row],[Cum_fit]]*(1-Tabella2[[#This Row],[Cum_fit]]/Kn)/wn</f>
        <v>5782.9038835635893</v>
      </c>
      <c r="I43" s="56">
        <f>Tabella2[[#This Row],[New_cases_fit]]*NOT(ISBLANK(Tabella2[[#This Row],[New cases]]))</f>
        <v>5782.9038835635893</v>
      </c>
      <c r="J43" s="10">
        <f>Tabella2[[#This Row],[New_cases_fit]]+CIn</f>
        <v>7496.7891461637446</v>
      </c>
      <c r="K43" s="10">
        <f>MAX(Tabella2[[#This Row],[New_cases_fit]]-CIn,0)</f>
        <v>4069.0186209634339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3851.2366225192018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Kd/(1+EXP(-(Tabella2[[#This Row],[Day]]-t0d)/wd))</f>
        <v>13192.309445042749</v>
      </c>
      <c r="S43" s="10">
        <f>Tabella2[[#This Row],[Cum_R_fit]]*(1-Tabella2[[#This Row],[Cum_R_fit]]/Kd)/wd</f>
        <v>1056.7370610487144</v>
      </c>
      <c r="T43" s="60">
        <f>Tabella2[[#This Row],[New_Recovered_fit]]*NOT(ISBLANK(Tabella2[[#This Row],[New recovered]]))</f>
        <v>1056.7370610487144</v>
      </c>
      <c r="U43" s="10">
        <f>Tabella2[[#This Row],[New_Recovered_fit]]+CId</f>
        <v>1766.9832012217171</v>
      </c>
      <c r="V43" s="10">
        <f>MAX(Tabella2[[#This Row],[New_Recovered_fit]]-CId,0)</f>
        <v>346.49092087571159</v>
      </c>
      <c r="W43" s="10">
        <f>'dpc-covid19-ita-andamento-naz'!K37</f>
        <v>11591</v>
      </c>
      <c r="X43" s="26">
        <f>Tabella2[[#This Row],[Cum_deaths]]-W42</f>
        <v>812</v>
      </c>
      <c r="Y43" s="64">
        <f>Tabella2[[#This Row],[New deaths]]*NOT(ISBLANK(Tabella2[[#This Row],[New deaths]]))</f>
        <v>812</v>
      </c>
      <c r="Z43" s="50">
        <f>Kt/(1+EXP(-(Tabella2[[#This Row],[Day]]-t0t)/wt))</f>
        <v>11484.05823786391</v>
      </c>
      <c r="AA43" s="10">
        <f>Tabella2[[#This Row],[Cum_D_fit]]*(1-Tabella2[[#This Row],[Cum_D_fit]]/Kt)/wt</f>
        <v>874.93019999567343</v>
      </c>
      <c r="AB43" s="64">
        <f>Tabella2[[#This Row],[New_Deaths_fit]]*NOT(ISBLANK(Tabella2[[#This Row],[New deaths]]))</f>
        <v>874.93019999567343</v>
      </c>
      <c r="AC43" s="10">
        <f>Tabella2[[#This Row],[New_Deaths_fit]]+CIt</f>
        <v>1088.1341107518451</v>
      </c>
      <c r="AD43" s="10">
        <f>MAX(Tabella2[[#This Row],[New_Deaths_fit]]-CIt,0)</f>
        <v>661.72628923950174</v>
      </c>
    </row>
    <row r="44" spans="2:47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Kn/(1+EXP(-(Tabella2[[#This Row],[Day]]-t0n)/wn))</f>
        <v>107814.45214901217</v>
      </c>
      <c r="H44" s="10">
        <f>Tabella2[[#This Row],[Cum_fit]]*(1-Tabella2[[#This Row],[Cum_fit]]/Kn)/wn</f>
        <v>5572.3304692391685</v>
      </c>
      <c r="I44" s="56">
        <f>Tabella2[[#This Row],[New_cases_fit]]*NOT(ISBLANK(Tabella2[[#This Row],[New cases]]))</f>
        <v>5572.3304692391685</v>
      </c>
      <c r="J44" s="10">
        <f>Tabella2[[#This Row],[New_cases_fit]]+CIn</f>
        <v>7286.2157318393238</v>
      </c>
      <c r="K44" s="10">
        <f>MAX(Tabella2[[#This Row],[New_cases_fit]]-CIn,0)</f>
        <v>3858.4452066390131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3573.9254193137658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Kd/(1+EXP(-(Tabella2[[#This Row],[Day]]-t0d)/wd))</f>
        <v>14287.833037359867</v>
      </c>
      <c r="S44" s="10">
        <f>Tabella2[[#This Row],[Cum_R_fit]]*(1-Tabella2[[#This Row],[Cum_R_fit]]/Kd)/wd</f>
        <v>1134.9993980719921</v>
      </c>
      <c r="T44" s="60">
        <f>Tabella2[[#This Row],[New_Recovered_fit]]*NOT(ISBLANK(Tabella2[[#This Row],[New recovered]]))</f>
        <v>1134.9993980719921</v>
      </c>
      <c r="U44" s="10">
        <f>Tabella2[[#This Row],[New_Recovered_fit]]+CId</f>
        <v>1845.2455382449948</v>
      </c>
      <c r="V44" s="10">
        <f>MAX(Tabella2[[#This Row],[New_Recovered_fit]]-CId,0)</f>
        <v>424.75325789898932</v>
      </c>
      <c r="W44" s="10">
        <f>'dpc-covid19-ita-andamento-naz'!K38</f>
        <v>12428</v>
      </c>
      <c r="X44" s="26">
        <f>Tabella2[[#This Row],[Cum_deaths]]-W43</f>
        <v>837</v>
      </c>
      <c r="Y44" s="64">
        <f>Tabella2[[#This Row],[New deaths]]*NOT(ISBLANK(Tabella2[[#This Row],[New deaths]]))</f>
        <v>837</v>
      </c>
      <c r="Z44" s="50">
        <f>Kt/(1+EXP(-(Tabella2[[#This Row],[Day]]-t0t)/wt))</f>
        <v>12354.126584098609</v>
      </c>
      <c r="AA44" s="10">
        <f>Tabella2[[#This Row],[Cum_D_fit]]*(1-Tabella2[[#This Row],[Cum_D_fit]]/Kt)/wt</f>
        <v>863.40565185341075</v>
      </c>
      <c r="AB44" s="64">
        <f>Tabella2[[#This Row],[New_Deaths_fit]]*NOT(ISBLANK(Tabella2[[#This Row],[New deaths]]))</f>
        <v>863.40565185341075</v>
      </c>
      <c r="AC44" s="10">
        <f>Tabella2[[#This Row],[New_Deaths_fit]]+CIt</f>
        <v>1076.6095626095826</v>
      </c>
      <c r="AD44" s="10">
        <f>MAX(Tabella2[[#This Row],[New_Deaths_fit]]-CIt,0)</f>
        <v>650.20174109723905</v>
      </c>
    </row>
    <row r="45" spans="2:47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Kn/(1+EXP(-(Tabella2[[#This Row],[Day]]-t0n)/wn))</f>
        <v>113262.77930223847</v>
      </c>
      <c r="H45" s="10">
        <f>Tabella2[[#This Row],[Cum_fit]]*(1-Tabella2[[#This Row],[Cum_fit]]/Kn)/wn</f>
        <v>5317.7123147462135</v>
      </c>
      <c r="I45" s="56">
        <f>Tabella2[[#This Row],[New_cases_fit]]*NOT(ISBLANK(Tabella2[[#This Row],[New cases]]))</f>
        <v>5317.7123147462135</v>
      </c>
      <c r="J45" s="10">
        <f>Tabella2[[#This Row],[New_cases_fit]]+CIn</f>
        <v>7031.5975773463688</v>
      </c>
      <c r="K45" s="10">
        <f>MAX(Tabella2[[#This Row],[New_cases_fit]]-CIn,0)</f>
        <v>3603.8270521460581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3258.872876778049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Kd/(1+EXP(-(Tabella2[[#This Row],[Day]]-t0d)/wd))</f>
        <v>15463.681687445762</v>
      </c>
      <c r="S45" s="10">
        <f>Tabella2[[#This Row],[Cum_R_fit]]*(1-Tabella2[[#This Row],[Cum_R_fit]]/Kd)/wd</f>
        <v>1217.3804399752346</v>
      </c>
      <c r="T45" s="60">
        <f>Tabella2[[#This Row],[New_Recovered_fit]]*NOT(ISBLANK(Tabella2[[#This Row],[New recovered]]))</f>
        <v>1217.3804399752346</v>
      </c>
      <c r="U45" s="10">
        <f>Tabella2[[#This Row],[New_Recovered_fit]]+CId</f>
        <v>1927.6265801482373</v>
      </c>
      <c r="V45" s="10">
        <f>MAX(Tabella2[[#This Row],[New_Recovered_fit]]-CId,0)</f>
        <v>507.13429980223179</v>
      </c>
      <c r="W45" s="10">
        <f>'dpc-covid19-ita-andamento-naz'!K39</f>
        <v>13155</v>
      </c>
      <c r="X45" s="26">
        <f>Tabella2[[#This Row],[Cum_deaths]]-W44</f>
        <v>727</v>
      </c>
      <c r="Y45" s="64">
        <f>Tabella2[[#This Row],[New deaths]]*NOT(ISBLANK(Tabella2[[#This Row],[New deaths]]))</f>
        <v>727</v>
      </c>
      <c r="Z45" s="50">
        <f>Kt/(1+EXP(-(Tabella2[[#This Row],[Day]]-t0t)/wt))</f>
        <v>13207.390037879733</v>
      </c>
      <c r="AA45" s="10">
        <f>Tabella2[[#This Row],[Cum_D_fit]]*(1-Tabella2[[#This Row],[Cum_D_fit]]/Kt)/wt</f>
        <v>841.45899799292999</v>
      </c>
      <c r="AB45" s="64">
        <f>Tabella2[[#This Row],[New_Deaths_fit]]*NOT(ISBLANK(Tabella2[[#This Row],[New deaths]]))</f>
        <v>841.45899799292999</v>
      </c>
      <c r="AC45" s="10">
        <f>Tabella2[[#This Row],[New_Deaths_fit]]+CIt</f>
        <v>1054.6629087491017</v>
      </c>
      <c r="AD45" s="10">
        <f>MAX(Tabella2[[#This Row],[New_Deaths_fit]]-CIt,0)</f>
        <v>628.2550872367583</v>
      </c>
    </row>
    <row r="46" spans="2:47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Kn/(1+EXP(-(Tabella2[[#This Row],[Day]]-t0n)/wn))</f>
        <v>118438.19804812952</v>
      </c>
      <c r="H46" s="10">
        <f>Tabella2[[#This Row],[Cum_fit]]*(1-Tabella2[[#This Row],[Cum_fit]]/Kn)/wn</f>
        <v>5028.0721214658206</v>
      </c>
      <c r="I46" s="56">
        <f>Tabella2[[#This Row],[New_cases_fit]]*NOT(ISBLANK(Tabella2[[#This Row],[New cases]]))</f>
        <v>5028.0721214658206</v>
      </c>
      <c r="J46" s="10">
        <f>Tabella2[[#This Row],[New_cases_fit]]+CIn</f>
        <v>6741.9573840659759</v>
      </c>
      <c r="K46" s="10">
        <f>MAX(Tabella2[[#This Row],[New_cases_fit]]-CIn,0)</f>
        <v>3314.1868588656653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2914.1088985379702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Kd/(1+EXP(-(Tabella2[[#This Row],[Day]]-t0d)/wd))</f>
        <v>16723.945357654746</v>
      </c>
      <c r="S46" s="10">
        <f>Tabella2[[#This Row],[Cum_R_fit]]*(1-Tabella2[[#This Row],[Cum_R_fit]]/Kd)/wd</f>
        <v>1303.813925701998</v>
      </c>
      <c r="T46" s="60">
        <f>Tabella2[[#This Row],[New_Recovered_fit]]*NOT(ISBLANK(Tabella2[[#This Row],[New recovered]]))</f>
        <v>1303.813925701998</v>
      </c>
      <c r="U46" s="10">
        <f>Tabella2[[#This Row],[New_Recovered_fit]]+CId</f>
        <v>2014.0600658750009</v>
      </c>
      <c r="V46" s="10">
        <f>MAX(Tabella2[[#This Row],[New_Recovered_fit]]-CId,0)</f>
        <v>593.56778552899516</v>
      </c>
      <c r="W46" s="10">
        <f>'dpc-covid19-ita-andamento-naz'!K40</f>
        <v>13915</v>
      </c>
      <c r="X46" s="26">
        <f>Tabella2[[#This Row],[Cum_deaths]]-W45</f>
        <v>760</v>
      </c>
      <c r="Y46" s="64">
        <f>Tabella2[[#This Row],[New deaths]]*NOT(ISBLANK(Tabella2[[#This Row],[New deaths]]))</f>
        <v>760</v>
      </c>
      <c r="Z46" s="50">
        <f>Kt/(1+EXP(-(Tabella2[[#This Row],[Day]]-t0t)/wt))</f>
        <v>14033.919294548674</v>
      </c>
      <c r="AA46" s="10">
        <f>Tabella2[[#This Row],[Cum_D_fit]]*(1-Tabella2[[#This Row],[Cum_D_fit]]/Kt)/wt</f>
        <v>810.14929722585225</v>
      </c>
      <c r="AB46" s="64">
        <f>Tabella2[[#This Row],[New_Deaths_fit]]*NOT(ISBLANK(Tabella2[[#This Row],[New deaths]]))</f>
        <v>810.14929722585225</v>
      </c>
      <c r="AC46" s="10">
        <f>Tabella2[[#This Row],[New_Deaths_fit]]+CIt</f>
        <v>1023.3532079820239</v>
      </c>
      <c r="AD46" s="10">
        <f>MAX(Tabella2[[#This Row],[New_Deaths_fit]]-CIt,0)</f>
        <v>596.94538646968056</v>
      </c>
    </row>
    <row r="47" spans="2:47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Kn/(1+EXP(-(Tabella2[[#This Row],[Day]]-t0n)/wn))</f>
        <v>123310.40246903521</v>
      </c>
      <c r="H47" s="10">
        <f>Tabella2[[#This Row],[Cum_fit]]*(1-Tabella2[[#This Row],[Cum_fit]]/Kn)/wn</f>
        <v>4712.8634035436762</v>
      </c>
      <c r="I47" s="56">
        <f>Tabella2[[#This Row],[New_cases_fit]]*NOT(ISBLANK(Tabella2[[#This Row],[New cases]]))</f>
        <v>4712.8634035436762</v>
      </c>
      <c r="J47" s="10">
        <f>Tabella2[[#This Row],[New_cases_fit]]+CIn</f>
        <v>6426.7486661438315</v>
      </c>
      <c r="K47" s="10">
        <f>MAX(Tabella2[[#This Row],[New_cases_fit]]-CIn,0)</f>
        <v>2998.9781409435209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2547.769707716322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Kd/(1+EXP(-(Tabella2[[#This Row],[Day]]-t0d)/wd))</f>
        <v>18072.620199302866</v>
      </c>
      <c r="S47" s="10">
        <f>Tabella2[[#This Row],[Cum_R_fit]]*(1-Tabella2[[#This Row],[Cum_R_fit]]/Kd)/wd</f>
        <v>1394.1772701546311</v>
      </c>
      <c r="T47" s="60">
        <f>Tabella2[[#This Row],[New_Recovered_fit]]*NOT(ISBLANK(Tabella2[[#This Row],[New recovered]]))</f>
        <v>1394.1772701546311</v>
      </c>
      <c r="U47" s="10">
        <f>Tabella2[[#This Row],[New_Recovered_fit]]+CId</f>
        <v>2104.423410327634</v>
      </c>
      <c r="V47" s="10">
        <f>MAX(Tabella2[[#This Row],[New_Recovered_fit]]-CId,0)</f>
        <v>683.93112998162826</v>
      </c>
      <c r="W47" s="10">
        <f>'dpc-covid19-ita-andamento-naz'!K41</f>
        <v>14681</v>
      </c>
      <c r="X47" s="26">
        <f>Tabella2[[#This Row],[Cum_deaths]]-W46</f>
        <v>766</v>
      </c>
      <c r="Y47" s="64">
        <f>Tabella2[[#This Row],[New deaths]]*NOT(ISBLANK(Tabella2[[#This Row],[New deaths]]))</f>
        <v>766</v>
      </c>
      <c r="Z47" s="50">
        <f>Kt/(1+EXP(-(Tabella2[[#This Row],[Day]]-t0t)/wt))</f>
        <v>14825.044827154848</v>
      </c>
      <c r="AA47" s="10">
        <f>Tabella2[[#This Row],[Cum_D_fit]]*(1-Tabella2[[#This Row],[Cum_D_fit]]/Kt)/wt</f>
        <v>770.91642567272322</v>
      </c>
      <c r="AB47" s="64">
        <f>Tabella2[[#This Row],[New_Deaths_fit]]*NOT(ISBLANK(Tabella2[[#This Row],[New deaths]]))</f>
        <v>770.91642567272322</v>
      </c>
      <c r="AC47" s="10">
        <f>Tabella2[[#This Row],[New_Deaths_fit]]+CIt</f>
        <v>984.12033642889492</v>
      </c>
      <c r="AD47" s="10">
        <f>MAX(Tabella2[[#This Row],[New_Deaths_fit]]-CIt,0)</f>
        <v>557.71251491655153</v>
      </c>
    </row>
    <row r="48" spans="2:47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Kn/(1+EXP(-(Tabella2[[#This Row],[Day]]-t0n)/wn))</f>
        <v>127858.51142482595</v>
      </c>
      <c r="H48" s="10">
        <f>Tabella2[[#This Row],[Cum_fit]]*(1-Tabella2[[#This Row],[Cum_fit]]/Kn)/wn</f>
        <v>4381.3930590311393</v>
      </c>
      <c r="I48" s="56">
        <f>Tabella2[[#This Row],[New_cases_fit]]*NOT(ISBLANK(Tabella2[[#This Row],[New cases]]))</f>
        <v>4381.3930590311393</v>
      </c>
      <c r="J48" s="10">
        <f>Tabella2[[#This Row],[New_cases_fit]]+CIn</f>
        <v>6095.2783216312946</v>
      </c>
      <c r="K48" s="10">
        <f>MAX(Tabella2[[#This Row],[New_cases_fit]]-CIn,0)</f>
        <v>2667.5077964309839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2167.6621842829877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Kd/(1+EXP(-(Tabella2[[#This Row],[Day]]-t0d)/wd))</f>
        <v>19513.548557020844</v>
      </c>
      <c r="S48" s="10">
        <f>Tabella2[[#This Row],[Cum_R_fit]]*(1-Tabella2[[#This Row],[Cum_R_fit]]/Kd)/wd</f>
        <v>1488.2842294398579</v>
      </c>
      <c r="T48" s="60">
        <f>Tabella2[[#This Row],[New_Recovered_fit]]*NOT(ISBLANK(Tabella2[[#This Row],[New recovered]]))</f>
        <v>1488.2842294398579</v>
      </c>
      <c r="U48" s="10">
        <f>Tabella2[[#This Row],[New_Recovered_fit]]+CId</f>
        <v>2198.5303696128608</v>
      </c>
      <c r="V48" s="10">
        <f>MAX(Tabella2[[#This Row],[New_Recovered_fit]]-CId,0)</f>
        <v>778.03808926685508</v>
      </c>
      <c r="W48" s="10">
        <f>'dpc-covid19-ita-andamento-naz'!K42</f>
        <v>15362</v>
      </c>
      <c r="X48" s="26">
        <f>Tabella2[[#This Row],[Cum_deaths]]-W47</f>
        <v>681</v>
      </c>
      <c r="Y48" s="64">
        <f>Tabella2[[#This Row],[New deaths]]*NOT(ISBLANK(Tabella2[[#This Row],[New deaths]]))</f>
        <v>681</v>
      </c>
      <c r="Z48" s="50">
        <f>Kt/(1+EXP(-(Tabella2[[#This Row],[Day]]-t0t)/wt))</f>
        <v>15573.672039677866</v>
      </c>
      <c r="AA48" s="10">
        <f>Tabella2[[#This Row],[Cum_D_fit]]*(1-Tabella2[[#This Row],[Cum_D_fit]]/Kt)/wt</f>
        <v>725.44664530829368</v>
      </c>
      <c r="AB48" s="64">
        <f>Tabella2[[#This Row],[New_Deaths_fit]]*NOT(ISBLANK(Tabella2[[#This Row],[New deaths]]))</f>
        <v>725.44664530829368</v>
      </c>
      <c r="AC48" s="10">
        <f>Tabella2[[#This Row],[New_Deaths_fit]]+CIt</f>
        <v>938.65055606446538</v>
      </c>
      <c r="AD48" s="10">
        <f>MAX(Tabella2[[#This Row],[New_Deaths_fit]]-CIt,0)</f>
        <v>512.24273455212199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Kn/(1+EXP(-(Tabella2[[#This Row],[Day]]-t0n)/wn))</f>
        <v>132070.67319996018</v>
      </c>
      <c r="H49" s="10">
        <f>Tabella2[[#This Row],[Cum_fit]]*(1-Tabella2[[#This Row],[Cum_fit]]/Kn)/wn</f>
        <v>4042.3435202572646</v>
      </c>
      <c r="I49" s="56">
        <f>Tabella2[[#This Row],[New_cases_fit]]*NOT(ISBLANK(Tabella2[[#This Row],[New cases]]))</f>
        <v>4042.3435202572646</v>
      </c>
      <c r="J49" s="10">
        <f>Tabella2[[#This Row],[New_cases_fit]]+CIn</f>
        <v>5756.2287828574199</v>
      </c>
      <c r="K49" s="10">
        <f>MAX(Tabella2[[#This Row],[New_cases_fit]]-CIn,0)</f>
        <v>2328.4582576571092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1780.9359113429769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Kd/(1+EXP(-(Tabella2[[#This Row],[Day]]-t0d)/wd))</f>
        <v>21050.351705522186</v>
      </c>
      <c r="S49" s="10">
        <f>Tabella2[[#This Row],[Cum_R_fit]]*(1-Tabella2[[#This Row],[Cum_R_fit]]/Kd)/wd</f>
        <v>1585.8777440189833</v>
      </c>
      <c r="T49" s="60">
        <f>Tabella2[[#This Row],[New_Recovered_fit]]*NOT(ISBLANK(Tabella2[[#This Row],[New recovered]]))</f>
        <v>1585.8777440189833</v>
      </c>
      <c r="U49" s="10">
        <f>Tabella2[[#This Row],[New_Recovered_fit]]+CId</f>
        <v>2296.1238841919862</v>
      </c>
      <c r="V49" s="10">
        <f>MAX(Tabella2[[#This Row],[New_Recovered_fit]]-CId,0)</f>
        <v>875.63160384598052</v>
      </c>
      <c r="W49" s="10">
        <f>'dpc-covid19-ita-andamento-naz'!K43</f>
        <v>15887</v>
      </c>
      <c r="X49" s="26">
        <f>Tabella2[[#This Row],[Cum_deaths]]-W48</f>
        <v>525</v>
      </c>
      <c r="Y49" s="64">
        <f>Tabella2[[#This Row],[New deaths]]*NOT(ISBLANK(Tabella2[[#This Row],[New deaths]]))</f>
        <v>525</v>
      </c>
      <c r="Z49" s="50">
        <f>Kt/(1+EXP(-(Tabella2[[#This Row],[Day]]-t0t)/wt))</f>
        <v>16274.45613534282</v>
      </c>
      <c r="AA49" s="10">
        <f>Tabella2[[#This Row],[Cum_D_fit]]*(1-Tabella2[[#This Row],[Cum_D_fit]]/Kt)/wt</f>
        <v>675.52986489530451</v>
      </c>
      <c r="AB49" s="64">
        <f>Tabella2[[#This Row],[New_Deaths_fit]]*NOT(ISBLANK(Tabella2[[#This Row],[New deaths]]))</f>
        <v>675.52986489530451</v>
      </c>
      <c r="AC49" s="10">
        <f>Tabella2[[#This Row],[New_Deaths_fit]]+CIt</f>
        <v>888.73377565147621</v>
      </c>
      <c r="AD49" s="10">
        <f>MAX(Tabella2[[#This Row],[New_Deaths_fit]]-CIt,0)</f>
        <v>462.32595413913282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Kn/(1+EXP(-(Tabella2[[#This Row],[Day]]-t0n)/wn))</f>
        <v>135943.25471660061</v>
      </c>
      <c r="H50" s="10">
        <f>Tabella2[[#This Row],[Cum_fit]]*(1-Tabella2[[#This Row],[Cum_fit]]/Kn)/wn</f>
        <v>3703.4225547976675</v>
      </c>
      <c r="I50" s="56">
        <f>Tabella2[[#This Row],[New_cases_fit]]*NOT(ISBLANK(Tabella2[[#This Row],[New cases]]))</f>
        <v>3703.4225547976675</v>
      </c>
      <c r="J50" s="10">
        <f>Tabella2[[#This Row],[New_cases_fit]]+CIn</f>
        <v>5417.3078173978229</v>
      </c>
      <c r="K50" s="10">
        <f>MAX(Tabella2[[#This Row],[New_cases_fit]]-CIn,0)</f>
        <v>1989.5372921975124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1393.8718573410129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Kd/(1+EXP(-(Tabella2[[#This Row],[Day]]-t0d)/wd))</f>
        <v>22686.355636205695</v>
      </c>
      <c r="S50" s="10">
        <f>Tabella2[[#This Row],[Cum_R_fit]]*(1-Tabella2[[#This Row],[Cum_R_fit]]/Kd)/wd</f>
        <v>1686.6232475710904</v>
      </c>
      <c r="T50" s="60">
        <f>Tabella2[[#This Row],[New_Recovered_fit]]*NOT(ISBLANK(Tabella2[[#This Row],[New recovered]]))</f>
        <v>1686.6232475710904</v>
      </c>
      <c r="U50" s="10">
        <f>Tabella2[[#This Row],[New_Recovered_fit]]+CId</f>
        <v>2396.8693877440933</v>
      </c>
      <c r="V50" s="10">
        <f>MAX(Tabella2[[#This Row],[New_Recovered_fit]]-CId,0)</f>
        <v>976.37710739808756</v>
      </c>
      <c r="W50" s="10">
        <f>'dpc-covid19-ita-andamento-naz'!K44</f>
        <v>16523</v>
      </c>
      <c r="X50" s="26">
        <f>Tabella2[[#This Row],[Cum_deaths]]-W49</f>
        <v>636</v>
      </c>
      <c r="Y50" s="64">
        <f>Tabella2[[#This Row],[New deaths]]*NOT(ISBLANK(Tabella2[[#This Row],[New deaths]]))</f>
        <v>636</v>
      </c>
      <c r="Z50" s="50">
        <f>Kt/(1+EXP(-(Tabella2[[#This Row],[Day]]-t0t)/wt))</f>
        <v>16923.838115334325</v>
      </c>
      <c r="AA50" s="10">
        <f>Tabella2[[#This Row],[Cum_D_fit]]*(1-Tabella2[[#This Row],[Cum_D_fit]]/Kt)/wt</f>
        <v>622.92744988556433</v>
      </c>
      <c r="AB50" s="64">
        <f>Tabella2[[#This Row],[New_Deaths_fit]]*NOT(ISBLANK(Tabella2[[#This Row],[New deaths]]))</f>
        <v>622.92744988556433</v>
      </c>
      <c r="AC50" s="10">
        <f>Tabella2[[#This Row],[New_Deaths_fit]]+CIt</f>
        <v>836.13136064173602</v>
      </c>
      <c r="AD50" s="10">
        <f>MAX(Tabella2[[#This Row],[New_Deaths_fit]]-CIt,0)</f>
        <v>409.72353912939263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Kn/(1+EXP(-(Tabella2[[#This Row],[Day]]-t0n)/wn))</f>
        <v>139479.74799401569</v>
      </c>
      <c r="H51" s="10">
        <f>Tabella2[[#This Row],[Cum_fit]]*(1-Tabella2[[#This Row],[Cum_fit]]/Kn)/wn</f>
        <v>3371.1474963617125</v>
      </c>
      <c r="I51" s="56">
        <f>Tabella2[[#This Row],[New_cases_fit]]*NOT(ISBLANK(Tabella2[[#This Row],[New cases]]))</f>
        <v>3371.1474963617125</v>
      </c>
      <c r="J51" s="10">
        <f>Tabella2[[#This Row],[New_cases_fit]]+CIn</f>
        <v>5085.0327589618673</v>
      </c>
      <c r="K51" s="10">
        <f>MAX(Tabella2[[#This Row],[New_cases_fit]]-CIn,0)</f>
        <v>1657.2622337615574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1011.7801918917193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Kd/(1+EXP(-(Tabella2[[#This Row],[Day]]-t0d)/wd))</f>
        <v>24424.510524770005</v>
      </c>
      <c r="S51" s="10">
        <f>Tabella2[[#This Row],[Cum_R_fit]]*(1-Tabella2[[#This Row],[Cum_R_fit]]/Kd)/wd</f>
        <v>1790.1027807550145</v>
      </c>
      <c r="T51" s="60">
        <f>Tabella2[[#This Row],[New_Recovered_fit]]*NOT(ISBLANK(Tabella2[[#This Row],[New recovered]]))</f>
        <v>1790.1027807550145</v>
      </c>
      <c r="U51" s="10">
        <f>Tabella2[[#This Row],[New_Recovered_fit]]+CId</f>
        <v>2500.3489209280174</v>
      </c>
      <c r="V51" s="10">
        <f>MAX(Tabella2[[#This Row],[New_Recovered_fit]]-CId,0)</f>
        <v>1079.8566405820116</v>
      </c>
      <c r="W51" s="10">
        <f>'dpc-covid19-ita-andamento-naz'!K45</f>
        <v>17127</v>
      </c>
      <c r="X51" s="26">
        <f>Tabella2[[#This Row],[Cum_deaths]]-W50</f>
        <v>604</v>
      </c>
      <c r="Y51" s="64">
        <f>Tabella2[[#This Row],[New deaths]]*NOT(ISBLANK(Tabella2[[#This Row],[New deaths]]))</f>
        <v>604</v>
      </c>
      <c r="Z51" s="50">
        <f>Kt/(1+EXP(-(Tabella2[[#This Row],[Day]]-t0t)/wt))</f>
        <v>17519.959931543584</v>
      </c>
      <c r="AA51" s="10">
        <f>Tabella2[[#This Row],[Cum_D_fit]]*(1-Tabella2[[#This Row],[Cum_D_fit]]/Kt)/wt</f>
        <v>569.26452371497874</v>
      </c>
      <c r="AB51" s="64">
        <f>Tabella2[[#This Row],[New_Deaths_fit]]*NOT(ISBLANK(Tabella2[[#This Row],[New deaths]]))</f>
        <v>569.26452371497874</v>
      </c>
      <c r="AC51" s="10">
        <f>Tabella2[[#This Row],[New_Deaths_fit]]+CIt</f>
        <v>782.46843447115043</v>
      </c>
      <c r="AD51" s="10">
        <f>MAX(Tabella2[[#This Row],[New_Deaths_fit]]-CIt,0)</f>
        <v>356.06061295880704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Kn/(1+EXP(-(Tabella2[[#This Row],[Day]]-t0n)/wn))</f>
        <v>142689.52432074895</v>
      </c>
      <c r="H52" s="10">
        <f>Tabella2[[#This Row],[Cum_fit]]*(1-Tabella2[[#This Row],[Cum_fit]]/Kn)/wn</f>
        <v>3050.7536024826386</v>
      </c>
      <c r="I52" s="56">
        <f>Tabella2[[#This Row],[New_cases_fit]]*NOT(ISBLANK(Tabella2[[#This Row],[New cases]]))</f>
        <v>3050.7536024826386</v>
      </c>
      <c r="J52" s="10">
        <f>Tabella2[[#This Row],[New_cases_fit]]+CIn</f>
        <v>4764.6388650827939</v>
      </c>
      <c r="K52" s="10">
        <f>MAX(Tabella2[[#This Row],[New_cases_fit]]-CIn,0)</f>
        <v>1336.8683398824835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638.98906982351934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Kd/(1+EXP(-(Tabella2[[#This Row],[Day]]-t0d)/wd))</f>
        <v>26267.304873860012</v>
      </c>
      <c r="S52" s="10">
        <f>Tabella2[[#This Row],[Cum_R_fit]]*(1-Tabella2[[#This Row],[Cum_R_fit]]/Kd)/wd</f>
        <v>1895.8102950889177</v>
      </c>
      <c r="T52" s="60">
        <f>Tabella2[[#This Row],[New_Recovered_fit]]*NOT(ISBLANK(Tabella2[[#This Row],[New recovered]]))</f>
        <v>1895.8102950889177</v>
      </c>
      <c r="U52" s="10">
        <f>Tabella2[[#This Row],[New_Recovered_fit]]+CId</f>
        <v>2606.0564352619203</v>
      </c>
      <c r="V52" s="10">
        <f>MAX(Tabella2[[#This Row],[New_Recovered_fit]]-CId,0)</f>
        <v>1185.564154915915</v>
      </c>
      <c r="W52" s="10">
        <f>'dpc-covid19-ita-andamento-naz'!K46</f>
        <v>17669</v>
      </c>
      <c r="X52" s="26">
        <f>Tabella2[[#This Row],[Cum_deaths]]-W51</f>
        <v>542</v>
      </c>
      <c r="Y52" s="64">
        <f>Tabella2[[#This Row],[New deaths]]*NOT(ISBLANK(Tabella2[[#This Row],[New deaths]]))</f>
        <v>542</v>
      </c>
      <c r="Z52" s="50">
        <f>Kt/(1+EXP(-(Tabella2[[#This Row],[Day]]-t0t)/wt))</f>
        <v>18062.487577031534</v>
      </c>
      <c r="AA52" s="10">
        <f>Tabella2[[#This Row],[Cum_D_fit]]*(1-Tabella2[[#This Row],[Cum_D_fit]]/Kt)/wt</f>
        <v>515.9542375702016</v>
      </c>
      <c r="AB52" s="64">
        <f>Tabella2[[#This Row],[New_Deaths_fit]]*NOT(ISBLANK(Tabella2[[#This Row],[New deaths]]))</f>
        <v>515.9542375702016</v>
      </c>
      <c r="AC52" s="10">
        <f>Tabella2[[#This Row],[New_Deaths_fit]]+CIt</f>
        <v>729.15814832637329</v>
      </c>
      <c r="AD52" s="10">
        <f>MAX(Tabella2[[#This Row],[New_Deaths_fit]]-CIt,0)</f>
        <v>302.7503268140299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Kn/(1+EXP(-(Tabella2[[#This Row],[Day]]-t0n)/wn))</f>
        <v>145586.55021415278</v>
      </c>
      <c r="H53" s="10">
        <f>Tabella2[[#This Row],[Cum_fit]]*(1-Tabella2[[#This Row],[Cum_fit]]/Kn)/wn</f>
        <v>2746.2050976148244</v>
      </c>
      <c r="I53" s="56">
        <f>Tabella2[[#This Row],[New_cases_fit]]*NOT(ISBLANK(Tabella2[[#This Row],[New cases]]))</f>
        <v>2746.2050976148244</v>
      </c>
      <c r="J53" s="10">
        <f>Tabella2[[#This Row],[New_cases_fit]]+CIn</f>
        <v>4460.0903602149792</v>
      </c>
      <c r="K53" s="10">
        <f>MAX(Tabella2[[#This Row],[New_cases_fit]]-CIn,0)</f>
        <v>1032.3198350146693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278.90129199643644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Kd/(1+EXP(-(Tabella2[[#This Row],[Day]]-t0d)/wd))</f>
        <v>28216.675728926431</v>
      </c>
      <c r="S53" s="10">
        <f>Tabella2[[#This Row],[Cum_R_fit]]*(1-Tabella2[[#This Row],[Cum_R_fit]]/Kd)/wd</f>
        <v>2003.1485678713905</v>
      </c>
      <c r="T53" s="60">
        <f>Tabella2[[#This Row],[New_Recovered_fit]]*NOT(ISBLANK(Tabella2[[#This Row],[New recovered]]))</f>
        <v>2003.1485678713905</v>
      </c>
      <c r="U53" s="10">
        <f>Tabella2[[#This Row],[New_Recovered_fit]]+CId</f>
        <v>2713.3947080443932</v>
      </c>
      <c r="V53" s="10">
        <f>MAX(Tabella2[[#This Row],[New_Recovered_fit]]-CId,0)</f>
        <v>1292.9024276983878</v>
      </c>
      <c r="W53" s="10">
        <f>'dpc-covid19-ita-andamento-naz'!K47</f>
        <v>18279</v>
      </c>
      <c r="X53" s="26">
        <f>Tabella2[[#This Row],[Cum_deaths]]-W52</f>
        <v>610</v>
      </c>
      <c r="Y53" s="64">
        <f>Tabella2[[#This Row],[New deaths]]*NOT(ISBLANK(Tabella2[[#This Row],[New deaths]]))</f>
        <v>610</v>
      </c>
      <c r="Z53" s="50">
        <f>Kt/(1+EXP(-(Tabella2[[#This Row],[Day]]-t0t)/wt))</f>
        <v>18552.375170908163</v>
      </c>
      <c r="AA53" s="10">
        <f>Tabella2[[#This Row],[Cum_D_fit]]*(1-Tabella2[[#This Row],[Cum_D_fit]]/Kt)/wt</f>
        <v>464.15523774699744</v>
      </c>
      <c r="AB53" s="64">
        <f>Tabella2[[#This Row],[New_Deaths_fit]]*NOT(ISBLANK(Tabella2[[#This Row],[New deaths]]))</f>
        <v>464.15523774699744</v>
      </c>
      <c r="AC53" s="10">
        <f>Tabella2[[#This Row],[New_Deaths_fit]]+CIt</f>
        <v>677.35914850316919</v>
      </c>
      <c r="AD53" s="10">
        <f>MAX(Tabella2[[#This Row],[New_Deaths_fit]]-CIt,0)</f>
        <v>250.95132699082572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Kn/(1+EXP(-(Tabella2[[#This Row],[Day]]-t0n)/wn))</f>
        <v>148188.15476182848</v>
      </c>
      <c r="H54" s="10">
        <f>Tabella2[[#This Row],[Cum_fit]]*(1-Tabella2[[#This Row],[Cum_fit]]/Kn)/wn</f>
        <v>2460.2823165237037</v>
      </c>
      <c r="I54" s="56">
        <f>Tabella2[[#This Row],[New_cases_fit]]*NOT(ISBLANK(Tabella2[[#This Row],[New cases]]))</f>
        <v>2460.2823165237037</v>
      </c>
      <c r="J54" s="10">
        <f>Tabella2[[#This Row],[New_cases_fit]]+CIn</f>
        <v>4174.1675791238586</v>
      </c>
      <c r="K54" s="10">
        <f>MAX(Tabella2[[#This Row],[New_cases_fit]]-CIn,0)</f>
        <v>746.39705392354858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-65.904612772771031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Kd/(1+EXP(-(Tabella2[[#This Row],[Day]]-t0d)/wd))</f>
        <v>30273.916797818241</v>
      </c>
      <c r="S54" s="10">
        <f>Tabella2[[#This Row],[Cum_R_fit]]*(1-Tabella2[[#This Row],[Cum_R_fit]]/Kd)/wd</f>
        <v>2111.4281687155403</v>
      </c>
      <c r="T54" s="60">
        <f>Tabella2[[#This Row],[New_Recovered_fit]]*NOT(ISBLANK(Tabella2[[#This Row],[New recovered]]))</f>
        <v>2111.4281687155403</v>
      </c>
      <c r="U54" s="10">
        <f>Tabella2[[#This Row],[New_Recovered_fit]]+CId</f>
        <v>2821.6743088885432</v>
      </c>
      <c r="V54" s="10">
        <f>MAX(Tabella2[[#This Row],[New_Recovered_fit]]-CId,0)</f>
        <v>1401.1820285425374</v>
      </c>
      <c r="W54" s="10">
        <f>'dpc-covid19-ita-andamento-naz'!K48</f>
        <v>18849</v>
      </c>
      <c r="X54" s="26">
        <f>Tabella2[[#This Row],[Cum_deaths]]-W53</f>
        <v>570</v>
      </c>
      <c r="Y54" s="64">
        <f>Tabella2[[#This Row],[New deaths]]*NOT(ISBLANK(Tabella2[[#This Row],[New deaths]]))</f>
        <v>570</v>
      </c>
      <c r="Z54" s="50">
        <f>Kt/(1+EXP(-(Tabella2[[#This Row],[Day]]-t0t)/wt))</f>
        <v>18991.601770855625</v>
      </c>
      <c r="AA54" s="10">
        <f>Tabella2[[#This Row],[Cum_D_fit]]*(1-Tabella2[[#This Row],[Cum_D_fit]]/Kt)/wt</f>
        <v>414.75876058093439</v>
      </c>
      <c r="AB54" s="64">
        <f>Tabella2[[#This Row],[New_Deaths_fit]]*NOT(ISBLANK(Tabella2[[#This Row],[New deaths]]))</f>
        <v>414.75876058093439</v>
      </c>
      <c r="AC54" s="10">
        <f>Tabella2[[#This Row],[New_Deaths_fit]]+CIt</f>
        <v>627.96267133710614</v>
      </c>
      <c r="AD54" s="10">
        <f>MAX(Tabella2[[#This Row],[New_Deaths_fit]]-CIt,0)</f>
        <v>201.55484982476267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50">
        <f>Kn/(1+EXP(-(Tabella2[[#This Row],[Day]]-t0n)/wn))</f>
        <v>150513.91089223372</v>
      </c>
      <c r="H55" s="10">
        <f>Tabella2[[#This Row],[Cum_fit]]*(1-Tabella2[[#This Row],[Cum_fit]]/Kn)/wn</f>
        <v>2194.7181316160772</v>
      </c>
      <c r="I55" s="56">
        <f>Tabella2[[#This Row],[New_cases_fit]]*NOT(ISBLANK(Tabella2[[#This Row],[New cases]]))</f>
        <v>2194.7181316160772</v>
      </c>
      <c r="J55" s="10">
        <f>Tabella2[[#This Row],[New_cases_fit]]+CIn</f>
        <v>3908.6033942162321</v>
      </c>
      <c r="K55" s="10">
        <f>MAX(Tabella2[[#This Row],[New_cases_fit]]-CIn,0)</f>
        <v>480.83286901592214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-393.54973285953281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50">
        <f>Kd/(1+EXP(-(Tabella2[[#This Row],[Day]]-t0d)/wd))</f>
        <v>32439.586746034951</v>
      </c>
      <c r="S55" s="10">
        <f>Tabella2[[#This Row],[Cum_R_fit]]*(1-Tabella2[[#This Row],[Cum_R_fit]]/Kd)/wd</f>
        <v>2219.8689157267363</v>
      </c>
      <c r="T55" s="60">
        <f>Tabella2[[#This Row],[New_Recovered_fit]]*NOT(ISBLANK(Tabella2[[#This Row],[New recovered]]))</f>
        <v>2219.8689157267363</v>
      </c>
      <c r="U55" s="10">
        <f>Tabella2[[#This Row],[New_Recovered_fit]]+CId</f>
        <v>2930.1150558997392</v>
      </c>
      <c r="V55" s="10">
        <f>MAX(Tabella2[[#This Row],[New_Recovered_fit]]-CId,0)</f>
        <v>1509.6227755537334</v>
      </c>
      <c r="W55" s="10">
        <f>'dpc-covid19-ita-andamento-naz'!K49</f>
        <v>19468</v>
      </c>
      <c r="X55" s="26">
        <f>Tabella2[[#This Row],[Cum_deaths]]-W54</f>
        <v>619</v>
      </c>
      <c r="Y55" s="64">
        <f>Tabella2[[#This Row],[New deaths]]*NOT(ISBLANK(Tabella2[[#This Row],[New deaths]]))</f>
        <v>619</v>
      </c>
      <c r="Z55" s="50">
        <f>Kt/(1+EXP(-(Tabella2[[#This Row],[Day]]-t0t)/wt))</f>
        <v>19382.907491275524</v>
      </c>
      <c r="AA55" s="10">
        <f>Tabella2[[#This Row],[Cum_D_fit]]*(1-Tabella2[[#This Row],[Cum_D_fit]]/Kt)/wt</f>
        <v>368.39894874887375</v>
      </c>
      <c r="AB55" s="64">
        <f>Tabella2[[#This Row],[New_Deaths_fit]]*NOT(ISBLANK(Tabella2[[#This Row],[New deaths]]))</f>
        <v>368.39894874887375</v>
      </c>
      <c r="AC55" s="10">
        <f>Tabella2[[#This Row],[New_Deaths_fit]]+CIt</f>
        <v>581.60285950504544</v>
      </c>
      <c r="AD55" s="10">
        <f>MAX(Tabella2[[#This Row],[New_Deaths_fit]]-CIt,0)</f>
        <v>155.19503799270203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Tabella2[[#This Row],[New cases]]*NOT(ISBLANK(Tabella2[[#This Row],[New cases]]))</f>
        <v>4092</v>
      </c>
      <c r="G56" s="50">
        <f>Kn/(1+EXP(-(Tabella2[[#This Row],[Day]]-t0n)/wn))</f>
        <v>152584.66764509384</v>
      </c>
      <c r="H56" s="10">
        <f>Tabella2[[#This Row],[Cum_fit]]*(1-Tabella2[[#This Row],[Cum_fit]]/Kn)/wn</f>
        <v>1950.3599439894474</v>
      </c>
      <c r="I56" s="56">
        <f>Tabella2[[#This Row],[New_cases_fit]]*NOT(ISBLANK(Tabella2[[#This Row],[New cases]]))</f>
        <v>1950.3599439894474</v>
      </c>
      <c r="J56" s="10">
        <f>Tabella2[[#This Row],[New_cases_fit]]+CIn</f>
        <v>3664.2452065896023</v>
      </c>
      <c r="K56" s="10">
        <f>MAX(Tabella2[[#This Row],[New_cases_fit]]-CIn,0)</f>
        <v>236.4746813892923</v>
      </c>
      <c r="L56" s="54">
        <f>'dpc-covid19-ita-andamento-naz'!G50</f>
        <v>102253</v>
      </c>
      <c r="M56" s="54">
        <f>'dpc-covid19-ita-andamento-naz'!H50</f>
        <v>1984</v>
      </c>
      <c r="N56" s="54">
        <f>Tabella2[[#This Row],[New_cases_fit]]-Tabella2[[#This Row],[New_Recovered_fit]]-Tabella2[[#This Row],[New_Deaths_fit]]</f>
        <v>-702.72329514713965</v>
      </c>
      <c r="O56" s="10">
        <f>'dpc-covid19-ita-andamento-naz'!J50</f>
        <v>34211</v>
      </c>
      <c r="P56" s="48">
        <f>Tabella2[[#This Row],[Cum_recov]]-O55</f>
        <v>1677</v>
      </c>
      <c r="Q56" s="60">
        <f>Tabella2[[#This Row],[New recovered]]*NOT(ISBLANK(Tabella2[[#This Row],[New recovered]]))</f>
        <v>1677</v>
      </c>
      <c r="R56" s="50">
        <f>Kd/(1+EXP(-(Tabella2[[#This Row],[Day]]-t0d)/wd))</f>
        <v>34713.420364813639</v>
      </c>
      <c r="S56" s="10">
        <f>Tabella2[[#This Row],[Cum_R_fit]]*(1-Tabella2[[#This Row],[Cum_R_fit]]/Kd)/wd</f>
        <v>2327.6042286227171</v>
      </c>
      <c r="T56" s="60">
        <f>Tabella2[[#This Row],[New_Recovered_fit]]*NOT(ISBLANK(Tabella2[[#This Row],[New recovered]]))</f>
        <v>2327.6042286227171</v>
      </c>
      <c r="U56" s="10">
        <f>Tabella2[[#This Row],[New_Recovered_fit]]+CId</f>
        <v>3037.85036879572</v>
      </c>
      <c r="V56" s="10">
        <f>MAX(Tabella2[[#This Row],[New_Recovered_fit]]-CId,0)</f>
        <v>1617.3580884497142</v>
      </c>
      <c r="W56" s="10">
        <f>'dpc-covid19-ita-andamento-naz'!K50</f>
        <v>19899</v>
      </c>
      <c r="X56" s="26">
        <f>Tabella2[[#This Row],[Cum_deaths]]-W55</f>
        <v>431</v>
      </c>
      <c r="Y56" s="64">
        <f>Tabella2[[#This Row],[New deaths]]*NOT(ISBLANK(Tabella2[[#This Row],[New deaths]]))</f>
        <v>431</v>
      </c>
      <c r="Z56" s="50">
        <f>Kt/(1+EXP(-(Tabella2[[#This Row],[Day]]-t0t)/wt))</f>
        <v>19729.548473259136</v>
      </c>
      <c r="AA56" s="10">
        <f>Tabella2[[#This Row],[Cum_D_fit]]*(1-Tabella2[[#This Row],[Cum_D_fit]]/Kt)/wt</f>
        <v>325.47901051387004</v>
      </c>
      <c r="AB56" s="64">
        <f>Tabella2[[#This Row],[New_Deaths_fit]]*NOT(ISBLANK(Tabella2[[#This Row],[New deaths]]))</f>
        <v>325.47901051387004</v>
      </c>
      <c r="AC56" s="10">
        <f>Tabella2[[#This Row],[New_Deaths_fit]]+CIt</f>
        <v>538.68292127004179</v>
      </c>
      <c r="AD56" s="10">
        <f>MAX(Tabella2[[#This Row],[New_Deaths_fit]]-CIt,0)</f>
        <v>112.27509975769831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Tabella2[[#This Row],[New cases]]*NOT(ISBLANK(Tabella2[[#This Row],[New cases]]))</f>
        <v>3153</v>
      </c>
      <c r="G57" s="50">
        <f>Kn/(1+EXP(-(Tabella2[[#This Row],[Day]]-t0n)/wn))</f>
        <v>154421.7491266061</v>
      </c>
      <c r="H57" s="10">
        <f>Tabella2[[#This Row],[Cum_fit]]*(1-Tabella2[[#This Row],[Cum_fit]]/Kn)/wn</f>
        <v>1727.3383596111594</v>
      </c>
      <c r="I57" s="56">
        <f>Tabella2[[#This Row],[New_cases_fit]]*NOT(ISBLANK(Tabella2[[#This Row],[New cases]]))</f>
        <v>1727.3383596111594</v>
      </c>
      <c r="J57" s="10">
        <f>Tabella2[[#This Row],[New_cases_fit]]+CIn</f>
        <v>3441.2236222113143</v>
      </c>
      <c r="K57" s="10">
        <f>MAX(Tabella2[[#This Row],[New_cases_fit]]-CIn,0)</f>
        <v>13.453097011004274</v>
      </c>
      <c r="L57" s="54">
        <f>'dpc-covid19-ita-andamento-naz'!G51</f>
        <v>103616</v>
      </c>
      <c r="M57" s="54">
        <f>'dpc-covid19-ita-andamento-naz'!H51</f>
        <v>1363</v>
      </c>
      <c r="N57" s="54">
        <f>Tabella2[[#This Row],[New_cases_fit]]-Tabella2[[#This Row],[New_Recovered_fit]]-Tabella2[[#This Row],[New_Deaths_fit]]</f>
        <v>-992.5566330755147</v>
      </c>
      <c r="O57" s="10">
        <f>'dpc-covid19-ita-andamento-naz'!J51</f>
        <v>35435</v>
      </c>
      <c r="P57" s="48">
        <f>Tabella2[[#This Row],[Cum_recov]]-O56</f>
        <v>1224</v>
      </c>
      <c r="Q57" s="60">
        <f>Tabella2[[#This Row],[New recovered]]*NOT(ISBLANK(Tabella2[[#This Row],[New recovered]]))</f>
        <v>1224</v>
      </c>
      <c r="R57" s="50">
        <f>Kd/(1+EXP(-(Tabella2[[#This Row],[Day]]-t0d)/wd))</f>
        <v>37094.245687437353</v>
      </c>
      <c r="S57" s="10">
        <f>Tabella2[[#This Row],[Cum_R_fit]]*(1-Tabella2[[#This Row],[Cum_R_fit]]/Kd)/wd</f>
        <v>2433.6887220058247</v>
      </c>
      <c r="T57" s="60">
        <f>Tabella2[[#This Row],[New_Recovered_fit]]*NOT(ISBLANK(Tabella2[[#This Row],[New recovered]]))</f>
        <v>2433.6887220058247</v>
      </c>
      <c r="U57" s="10">
        <f>Tabella2[[#This Row],[New_Recovered_fit]]+CId</f>
        <v>3143.9348621788276</v>
      </c>
      <c r="V57" s="10">
        <f>MAX(Tabella2[[#This Row],[New_Recovered_fit]]-CId,0)</f>
        <v>1723.4425818328218</v>
      </c>
      <c r="W57" s="10">
        <f>'dpc-covid19-ita-andamento-naz'!K51</f>
        <v>20465</v>
      </c>
      <c r="X57" s="26">
        <f>Tabella2[[#This Row],[Cum_deaths]]-W56</f>
        <v>566</v>
      </c>
      <c r="Y57" s="64">
        <f>Tabella2[[#This Row],[New deaths]]*NOT(ISBLANK(Tabella2[[#This Row],[New deaths]]))</f>
        <v>566</v>
      </c>
      <c r="Z57" s="50">
        <f>Kt/(1+EXP(-(Tabella2[[#This Row],[Day]]-t0t)/wt))</f>
        <v>20035.082995114459</v>
      </c>
      <c r="AA57" s="10">
        <f>Tabella2[[#This Row],[Cum_D_fit]]*(1-Tabella2[[#This Row],[Cum_D_fit]]/Kt)/wt</f>
        <v>286.20627068084934</v>
      </c>
      <c r="AB57" s="64">
        <f>Tabella2[[#This Row],[New_Deaths_fit]]*NOT(ISBLANK(Tabella2[[#This Row],[New deaths]]))</f>
        <v>286.20627068084934</v>
      </c>
      <c r="AC57" s="10">
        <f>Tabella2[[#This Row],[New_Deaths_fit]]+CIt</f>
        <v>499.41018143702104</v>
      </c>
      <c r="AD57" s="10">
        <f>MAX(Tabella2[[#This Row],[New_Deaths_fit]]-CIt,0)</f>
        <v>73.00235992467762</v>
      </c>
    </row>
    <row r="58" spans="2:30" x14ac:dyDescent="0.3">
      <c r="B58" s="9">
        <v>43935</v>
      </c>
      <c r="C58" s="4">
        <f t="shared" si="0"/>
        <v>50</v>
      </c>
      <c r="D58" s="10">
        <f>'dpc-covid19-ita-andamento-naz'!L52</f>
        <v>162488</v>
      </c>
      <c r="E58" s="30">
        <f>'dpc-covid19-ita-andamento-naz'!I52</f>
        <v>2972</v>
      </c>
      <c r="F58" s="56">
        <f>Tabella2[[#This Row],[New cases]]*NOT(ISBLANK(Tabella2[[#This Row],[New cases]]))</f>
        <v>2972</v>
      </c>
      <c r="G58" s="50">
        <f>Kn/(1+EXP(-(Tabella2[[#This Row],[Day]]-t0n)/wn))</f>
        <v>156046.31961461328</v>
      </c>
      <c r="H58" s="10">
        <f>Tabella2[[#This Row],[Cum_fit]]*(1-Tabella2[[#This Row],[Cum_fit]]/Kn)/wn</f>
        <v>1525.228983265416</v>
      </c>
      <c r="I58" s="56">
        <f>Tabella2[[#This Row],[New_cases_fit]]*NOT(ISBLANK(Tabella2[[#This Row],[New cases]]))</f>
        <v>1525.228983265416</v>
      </c>
      <c r="J58" s="10">
        <f>Tabella2[[#This Row],[New_cases_fit]]+CIn</f>
        <v>3239.1142458655713</v>
      </c>
      <c r="K58" s="10">
        <f>MAX(Tabella2[[#This Row],[New_cases_fit]]-CIn,0)</f>
        <v>0</v>
      </c>
      <c r="L58" s="54">
        <f>'dpc-covid19-ita-andamento-naz'!G52</f>
        <v>104291</v>
      </c>
      <c r="M58" s="54">
        <f>'dpc-covid19-ita-andamento-naz'!H52</f>
        <v>675</v>
      </c>
      <c r="N58" s="54">
        <f>Tabella2[[#This Row],[New_cases_fit]]-Tabella2[[#This Row],[New_Recovered_fit]]-Tabella2[[#This Row],[New_Deaths_fit]]</f>
        <v>-1262.5107096387194</v>
      </c>
      <c r="O58" s="10">
        <f>'dpc-covid19-ita-andamento-naz'!J52</f>
        <v>37130</v>
      </c>
      <c r="P58" s="48">
        <f>Tabella2[[#This Row],[Cum_recov]]-O57</f>
        <v>1695</v>
      </c>
      <c r="Q58" s="60">
        <f>Tabella2[[#This Row],[New recovered]]*NOT(ISBLANK(Tabella2[[#This Row],[New recovered]]))</f>
        <v>1695</v>
      </c>
      <c r="R58" s="50">
        <f>Kd/(1+EXP(-(Tabella2[[#This Row],[Day]]-t0d)/wd))</f>
        <v>39579.910425052753</v>
      </c>
      <c r="S58" s="10">
        <f>Tabella2[[#This Row],[Cum_R_fit]]*(1-Tabella2[[#This Row],[Cum_R_fit]]/Kd)/wd</f>
        <v>2537.1092810750279</v>
      </c>
      <c r="T58" s="60">
        <f>Tabella2[[#This Row],[New_Recovered_fit]]*NOT(ISBLANK(Tabella2[[#This Row],[New recovered]]))</f>
        <v>2537.1092810750279</v>
      </c>
      <c r="U58" s="10">
        <f>Tabella2[[#This Row],[New_Recovered_fit]]+CId</f>
        <v>3247.3554212480308</v>
      </c>
      <c r="V58" s="10">
        <f>MAX(Tabella2[[#This Row],[New_Recovered_fit]]-CId,0)</f>
        <v>1826.863140902025</v>
      </c>
      <c r="W58" s="10">
        <f>'dpc-covid19-ita-andamento-naz'!K52</f>
        <v>21067</v>
      </c>
      <c r="X58" s="26">
        <f>Tabella2[[#This Row],[Cum_deaths]]-W57</f>
        <v>602</v>
      </c>
      <c r="Y58" s="64">
        <f>Tabella2[[#This Row],[New deaths]]*NOT(ISBLANK(Tabella2[[#This Row],[New deaths]]))</f>
        <v>602</v>
      </c>
      <c r="Z58" s="50">
        <f>Kt/(1+EXP(-(Tabella2[[#This Row],[Day]]-t0t)/wt))</f>
        <v>20303.19464052104</v>
      </c>
      <c r="AA58" s="10">
        <f>Tabella2[[#This Row],[Cum_D_fit]]*(1-Tabella2[[#This Row],[Cum_D_fit]]/Kt)/wt</f>
        <v>250.63041182910746</v>
      </c>
      <c r="AB58" s="64">
        <f>Tabella2[[#This Row],[New_Deaths_fit]]*NOT(ISBLANK(Tabella2[[#This Row],[New deaths]]))</f>
        <v>250.63041182910746</v>
      </c>
      <c r="AC58" s="10">
        <f>Tabella2[[#This Row],[New_Deaths_fit]]+CIt</f>
        <v>463.83432258527921</v>
      </c>
      <c r="AD58" s="10">
        <f>MAX(Tabella2[[#This Row],[New_Deaths_fit]]-CIt,0)</f>
        <v>37.426501072935736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Kn/(1+EXP(-(Tabella2[[#This Row],[Day]]-t0n)/wn))</f>
        <v>157478.90322988198</v>
      </c>
      <c r="H59" s="10">
        <f>Tabella2[[#This Row],[Cum_fit]]*(1-Tabella2[[#This Row],[Cum_fit]]/Kn)/wn</f>
        <v>1343.1986851929332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-1512.2818040382049</v>
      </c>
      <c r="P59" s="48"/>
      <c r="Q59" s="60">
        <f>Tabella2[[#This Row],[New recovered]]*NOT(ISBLANK(Tabella2[[#This Row],[New recovered]]))</f>
        <v>0</v>
      </c>
      <c r="R59" s="50">
        <f>Kd/(1+EXP(-(Tabella2[[#This Row],[Day]]-t0d)/wd))</f>
        <v>42167.221269352827</v>
      </c>
      <c r="S59" s="10">
        <f>Tabella2[[#This Row],[Cum_R_fit]]*(1-Tabella2[[#This Row],[Cum_R_fit]]/Kd)/wd</f>
        <v>2636.7997234420304</v>
      </c>
      <c r="T59" s="60">
        <f>Tabella2[[#This Row],[New_Recovered_fit]]*NOT(ISBLANK(Tabella2[[#This Row],[New recovered]]))</f>
        <v>0</v>
      </c>
      <c r="X59" s="26"/>
      <c r="Y59" s="64">
        <f>Tabella2[[#This Row],[New deaths]]*NOT(ISBLANK(Tabella2[[#This Row],[New deaths]]))</f>
        <v>0</v>
      </c>
      <c r="Z59" s="50">
        <f>Kt/(1+EXP(-(Tabella2[[#This Row],[Day]]-t0t)/wt))</f>
        <v>20537.553512282033</v>
      </c>
      <c r="AA59" s="10">
        <f>Tabella2[[#This Row],[Cum_D_fit]]*(1-Tabella2[[#This Row],[Cum_D_fit]]/Kt)/wt</f>
        <v>218.6807657891076</v>
      </c>
      <c r="AB59" s="64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Kn/(1+EXP(-(Tabella2[[#This Row],[Day]]-t0n)/wn))</f>
        <v>158739.04006118359</v>
      </c>
      <c r="H60" s="10">
        <f>Tabella2[[#This Row],[Cum_fit]]*(1-Tabella2[[#This Row],[Cum_fit]]/Kn)/wn</f>
        <v>1180.1317659213273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-1741.7272381631578</v>
      </c>
      <c r="P60" s="48"/>
      <c r="Q60" s="60">
        <f>Tabella2[[#This Row],[New recovered]]*NOT(ISBLANK(Tabella2[[#This Row],[New recovered]]))</f>
        <v>0</v>
      </c>
      <c r="R60" s="50">
        <f>Kd/(1+EXP(-(Tabella2[[#This Row],[Day]]-t0d)/wd))</f>
        <v>44851.899628996289</v>
      </c>
      <c r="S60" s="10">
        <f>Tabella2[[#This Row],[Cum_R_fit]]*(1-Tabella2[[#This Row],[Cum_R_fit]]/Kd)/wd</f>
        <v>2731.6589769969851</v>
      </c>
      <c r="T60" s="60">
        <f>Tabella2[[#This Row],[New_Recovered_fit]]*NOT(ISBLANK(Tabella2[[#This Row],[New recovered]]))</f>
        <v>0</v>
      </c>
      <c r="X60" s="26"/>
      <c r="Y60" s="64">
        <f>Tabella2[[#This Row],[New deaths]]*NOT(ISBLANK(Tabella2[[#This Row],[New deaths]]))</f>
        <v>0</v>
      </c>
      <c r="Z60" s="50">
        <f>Kt/(1+EXP(-(Tabella2[[#This Row],[Day]]-t0t)/wt))</f>
        <v>20741.713110304434</v>
      </c>
      <c r="AA60" s="10">
        <f>Tabella2[[#This Row],[Cum_D_fit]]*(1-Tabella2[[#This Row],[Cum_D_fit]]/Kt)/wt</f>
        <v>190.2000270875001</v>
      </c>
      <c r="AB60" s="64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Kn/(1+EXP(-(Tabella2[[#This Row],[Day]]-t0n)/wn))</f>
        <v>159845.05767308382</v>
      </c>
      <c r="H61" s="10">
        <f>Tabella2[[#This Row],[Cum_fit]]*(1-Tabella2[[#This Row],[Cum_fit]]/Kn)/wn</f>
        <v>1034.7345072833637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-1950.8110149606039</v>
      </c>
      <c r="P61" s="48"/>
      <c r="Q61" s="60">
        <f>Tabella2[[#This Row],[New recovered]]*NOT(ISBLANK(Tabella2[[#This Row],[New recovered]]))</f>
        <v>0</v>
      </c>
      <c r="R61" s="50">
        <f>Kd/(1+EXP(-(Tabella2[[#This Row],[Day]]-t0d)/wd))</f>
        <v>47628.557197507689</v>
      </c>
      <c r="S61" s="10">
        <f>Tabella2[[#This Row],[Cum_R_fit]]*(1-Tabella2[[#This Row],[Cum_R_fit]]/Kd)/wd</f>
        <v>2820.5725016910978</v>
      </c>
      <c r="T61" s="60">
        <f>Tabella2[[#This Row],[New_Recovered_fit]]*NOT(ISBLANK(Tabella2[[#This Row],[New recovered]]))</f>
        <v>0</v>
      </c>
      <c r="X61" s="26"/>
      <c r="Y61" s="64">
        <f>Tabella2[[#This Row],[New deaths]]*NOT(ISBLANK(Tabella2[[#This Row],[New deaths]]))</f>
        <v>0</v>
      </c>
      <c r="Z61" s="50">
        <f>Kt/(1+EXP(-(Tabella2[[#This Row],[Day]]-t0t)/wt))</f>
        <v>20919.038520023463</v>
      </c>
      <c r="AA61" s="10">
        <f>Tabella2[[#This Row],[Cum_D_fit]]*(1-Tabella2[[#This Row],[Cum_D_fit]]/Kt)/wt</f>
        <v>164.97302055286968</v>
      </c>
      <c r="AB61" s="64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Kn/(1+EXP(-(Tabella2[[#This Row],[Day]]-t0n)/wn))</f>
        <v>160813.93653749977</v>
      </c>
      <c r="H62" s="10">
        <f>Tabella2[[#This Row],[Cum_fit]]*(1-Tabella2[[#This Row],[Cum_fit]]/Kn)/wn</f>
        <v>905.61869565931215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-2139.5678590938605</v>
      </c>
      <c r="P62" s="48"/>
      <c r="Q62" s="60">
        <f>Tabella2[[#This Row],[New recovered]]*NOT(ISBLANK(Tabella2[[#This Row],[New recovered]]))</f>
        <v>0</v>
      </c>
      <c r="R62" s="50">
        <f>Kd/(1+EXP(-(Tabella2[[#This Row],[Day]]-t0d)/wd))</f>
        <v>50490.694369478704</v>
      </c>
      <c r="S62" s="10">
        <f>Tabella2[[#This Row],[Cum_R_fit]]*(1-Tabella2[[#This Row],[Cum_R_fit]]/Kd)/wd</f>
        <v>2902.4364638083812</v>
      </c>
      <c r="T62" s="60">
        <f>Tabella2[[#This Row],[New_Recovered_fit]]*NOT(ISBLANK(Tabella2[[#This Row],[New recovered]]))</f>
        <v>0</v>
      </c>
      <c r="X62" s="26"/>
      <c r="Y62" s="64">
        <f>Tabella2[[#This Row],[New deaths]]*NOT(ISBLANK(Tabella2[[#This Row],[New deaths]]))</f>
        <v>0</v>
      </c>
      <c r="Z62" s="50">
        <f>Kt/(1+EXP(-(Tabella2[[#This Row],[Day]]-t0t)/wt))</f>
        <v>21072.660685100505</v>
      </c>
      <c r="AA62" s="10">
        <f>Tabella2[[#This Row],[Cum_D_fit]]*(1-Tabella2[[#This Row],[Cum_D_fit]]/Kt)/wt</f>
        <v>142.75009094479131</v>
      </c>
      <c r="AB62" s="64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Kn/(1+EXP(-(Tabella2[[#This Row],[Day]]-t0n)/wn))</f>
        <v>161661.24921812676</v>
      </c>
      <c r="H63" s="10">
        <f>Tabella2[[#This Row],[Cum_fit]]*(1-Tabella2[[#This Row],[Cum_fit]]/Kn)/wn</f>
        <v>791.36598704375547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-2308.0832663875899</v>
      </c>
      <c r="P63" s="48"/>
      <c r="Q63" s="60">
        <f>Tabella2[[#This Row],[New recovered]]*NOT(ISBLANK(Tabella2[[#This Row],[New recovered]]))</f>
        <v>0</v>
      </c>
      <c r="R63" s="50">
        <f>Kd/(1+EXP(-(Tabella2[[#This Row],[Day]]-t0d)/wd))</f>
        <v>53430.723919277865</v>
      </c>
      <c r="S63" s="10">
        <f>Tabella2[[#This Row],[Cum_R_fit]]*(1-Tabella2[[#This Row],[Cum_R_fit]]/Kd)/wd</f>
        <v>2976.1839500704714</v>
      </c>
      <c r="T63" s="60">
        <f>Tabella2[[#This Row],[New_Recovered_fit]]*NOT(ISBLANK(Tabella2[[#This Row],[New recovered]]))</f>
        <v>0</v>
      </c>
      <c r="X63" s="26"/>
      <c r="Y63" s="64">
        <f>Tabella2[[#This Row],[New deaths]]*NOT(ISBLANK(Tabella2[[#This Row],[New deaths]]))</f>
        <v>0</v>
      </c>
      <c r="Z63" s="50">
        <f>Kt/(1+EXP(-(Tabella2[[#This Row],[Day]]-t0t)/wt))</f>
        <v>21205.451440947287</v>
      </c>
      <c r="AA63" s="10">
        <f>Tabella2[[#This Row],[Cum_D_fit]]*(1-Tabella2[[#This Row],[Cum_D_fit]]/Kt)/wt</f>
        <v>123.26530336087383</v>
      </c>
      <c r="AB63" s="64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Kn/(1+EXP(-(Tabella2[[#This Row],[Day]]-t0n)/wn))</f>
        <v>162401.15537917835</v>
      </c>
      <c r="H64" s="10">
        <f>Tabella2[[#This Row],[Cum_fit]]*(1-Tabella2[[#This Row],[Cum_fit]]/Kn)/wn</f>
        <v>690.57564040068507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-2456.48666625242</v>
      </c>
      <c r="P64" s="48"/>
      <c r="Q64" s="60">
        <f>Tabella2[[#This Row],[New recovered]]*NOT(ISBLANK(Tabella2[[#This Row],[New recovered]]))</f>
        <v>0</v>
      </c>
      <c r="R64" s="50">
        <f>Kd/(1+EXP(-(Tabella2[[#This Row],[Day]]-t0d)/wd))</f>
        <v>56440.021539283181</v>
      </c>
      <c r="S64" s="10">
        <f>Tabella2[[#This Row],[Cum_R_fit]]*(1-Tabella2[[#This Row],[Cum_R_fit]]/Kd)/wd</f>
        <v>3040.812304265829</v>
      </c>
      <c r="T64" s="60">
        <f>Tabella2[[#This Row],[New_Recovered_fit]]*NOT(ISBLANK(Tabella2[[#This Row],[New recovered]]))</f>
        <v>0</v>
      </c>
      <c r="X64" s="26"/>
      <c r="Y64" s="64">
        <f>Tabella2[[#This Row],[New deaths]]*NOT(ISBLANK(Tabella2[[#This Row],[New deaths]]))</f>
        <v>0</v>
      </c>
      <c r="Z64" s="50">
        <f>Kt/(1+EXP(-(Tabella2[[#This Row],[Day]]-t0t)/wt))</f>
        <v>21320.01437304978</v>
      </c>
      <c r="AA64" s="10">
        <f>Tabella2[[#This Row],[Cum_D_fit]]*(1-Tabella2[[#This Row],[Cum_D_fit]]/Kt)/wt</f>
        <v>106.25000238727604</v>
      </c>
      <c r="AB64" s="64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Kn/(1+EXP(-(Tabella2[[#This Row],[Day]]-t0n)/wn))</f>
        <v>163046.43735279425</v>
      </c>
      <c r="H65" s="10">
        <f>Tabella2[[#This Row],[Cum_fit]]*(1-Tabella2[[#This Row],[Cum_fit]]/Kn)/wn</f>
        <v>601.89835865253872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-2584.9545849917276</v>
      </c>
      <c r="P65" s="48"/>
      <c r="Q65" s="60">
        <f>Tabella2[[#This Row],[New recovered]]*NOT(ISBLANK(Tabella2[[#This Row],[New recovered]]))</f>
        <v>0</v>
      </c>
      <c r="R65" s="50">
        <f>Kd/(1+EXP(-(Tabella2[[#This Row],[Day]]-t0d)/wd))</f>
        <v>59509.003829474088</v>
      </c>
      <c r="S65" s="10">
        <f>Tabella2[[#This Row],[Cum_R_fit]]*(1-Tabella2[[#This Row],[Cum_R_fit]]/Kd)/wd</f>
        <v>3095.410501164853</v>
      </c>
      <c r="T65" s="60">
        <f>Tabella2[[#This Row],[New_Recovered_fit]]*NOT(ISBLANK(Tabella2[[#This Row],[New recovered]]))</f>
        <v>0</v>
      </c>
      <c r="X65" s="26"/>
      <c r="Y65" s="64">
        <f>Tabella2[[#This Row],[New deaths]]*NOT(ISBLANK(Tabella2[[#This Row],[New deaths]]))</f>
        <v>0</v>
      </c>
      <c r="Z65" s="50">
        <f>Kt/(1+EXP(-(Tabella2[[#This Row],[Day]]-t0t)/wt))</f>
        <v>21418.68720772993</v>
      </c>
      <c r="AA65" s="10">
        <f>Tabella2[[#This Row],[Cum_D_fit]]*(1-Tabella2[[#This Row],[Cum_D_fit]]/Kt)/wt</f>
        <v>91.442442479413131</v>
      </c>
      <c r="AB65" s="64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Kn/(1+EXP(-(Tabella2[[#This Row],[Day]]-t0n)/wn))</f>
        <v>163608.56371953647</v>
      </c>
      <c r="H66" s="10">
        <f>Tabella2[[#This Row],[Cum_fit]]*(1-Tabella2[[#This Row],[Cum_fit]]/Kn)/wn</f>
        <v>524.05890119256662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-2693.7206951215544</v>
      </c>
      <c r="P66" s="48"/>
      <c r="Q66" s="60">
        <f>Tabella2[[#This Row],[New recovered]]*NOT(ISBLANK(Tabella2[[#This Row],[New recovered]]))</f>
        <v>0</v>
      </c>
      <c r="R66" s="50">
        <f>Kd/(1+EXP(-(Tabella2[[#This Row],[Day]]-t0d)/wd))</f>
        <v>62627.233183737451</v>
      </c>
      <c r="S66" s="10">
        <f>Tabella2[[#This Row],[Cum_R_fit]]*(1-Tabella2[[#This Row],[Cum_R_fit]]/Kd)/wd</f>
        <v>3139.185360904808</v>
      </c>
      <c r="T66" s="60">
        <f>Tabella2[[#This Row],[New_Recovered_fit]]*NOT(ISBLANK(Tabella2[[#This Row],[New recovered]]))</f>
        <v>0</v>
      </c>
      <c r="X66" s="26"/>
      <c r="Y66" s="64">
        <f>Tabella2[[#This Row],[New deaths]]*NOT(ISBLANK(Tabella2[[#This Row],[New deaths]]))</f>
        <v>0</v>
      </c>
      <c r="Z66" s="50">
        <f>Kt/(1+EXP(-(Tabella2[[#This Row],[Day]]-t0t)/wt))</f>
        <v>21503.552180704744</v>
      </c>
      <c r="AA66" s="10">
        <f>Tabella2[[#This Row],[Cum_D_fit]]*(1-Tabella2[[#This Row],[Cum_D_fit]]/Kt)/wt</f>
        <v>78.594235409312972</v>
      </c>
      <c r="AB66" s="64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Kn/(1+EXP(-(Tabella2[[#This Row],[Day]]-t0n)/wn))</f>
        <v>164097.77090867789</v>
      </c>
      <c r="H67" s="10">
        <f>Tabella2[[#This Row],[Cum_fit]]*(1-Tabella2[[#This Row],[Cum_fit]]/Kn)/wn</f>
        <v>455.86988892336512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-2783.0897942386168</v>
      </c>
      <c r="P67" s="48"/>
      <c r="Q67" s="60">
        <f>Tabella2[[#This Row],[New recovered]]*NOT(ISBLANK(Tabella2[[#This Row],[New recovered]]))</f>
        <v>0</v>
      </c>
      <c r="R67" s="50">
        <f>Kd/(1+EXP(-(Tabella2[[#This Row],[Day]]-t0d)/wd))</f>
        <v>65783.547795476727</v>
      </c>
      <c r="S67" s="10">
        <f>Tabella2[[#This Row],[Cum_R_fit]]*(1-Tabella2[[#This Row],[Cum_R_fit]]/Kd)/wd</f>
        <v>3171.4853684203563</v>
      </c>
      <c r="T67" s="60">
        <f>Tabella2[[#This Row],[New_Recovered_fit]]*NOT(ISBLANK(Tabella2[[#This Row],[New recovered]]))</f>
        <v>0</v>
      </c>
      <c r="X67" s="26"/>
      <c r="Y67" s="64">
        <f>Tabella2[[#This Row],[New deaths]]*NOT(ISBLANK(Tabella2[[#This Row],[New deaths]]))</f>
        <v>0</v>
      </c>
      <c r="Z67" s="50">
        <f>Kt/(1+EXP(-(Tabella2[[#This Row],[Day]]-t0t)/wt))</f>
        <v>21576.451556501357</v>
      </c>
      <c r="AA67" s="10">
        <f>Tabella2[[#This Row],[Cum_D_fit]]*(1-Tabella2[[#This Row],[Cum_D_fit]]/Kt)/wt</f>
        <v>67.474314741625818</v>
      </c>
      <c r="AB67" s="64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Kn/(1+EXP(-(Tabella2[[#This Row],[Day]]-t0n)/wn))</f>
        <v>164523.1550882333</v>
      </c>
      <c r="H68" s="10">
        <f>Tabella2[[#This Row],[Cum_fit]]*(1-Tabella2[[#This Row],[Cum_fit]]/Kn)/wn</f>
        <v>396.23889954456348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-2853.4530389398492</v>
      </c>
      <c r="P68" s="48"/>
      <c r="Q68" s="60">
        <f>Tabella2[[#This Row],[New recovered]]*NOT(ISBLANK(Tabella2[[#This Row],[New recovered]]))</f>
        <v>0</v>
      </c>
      <c r="R68" s="50">
        <f>Kd/(1+EXP(-(Tabella2[[#This Row],[Day]]-t0d)/wd))</f>
        <v>68966.213785146698</v>
      </c>
      <c r="S68" s="10">
        <f>Tabella2[[#This Row],[Cum_R_fit]]*(1-Tabella2[[#This Row],[Cum_R_fit]]/Kd)/wd</f>
        <v>3191.8209079802664</v>
      </c>
      <c r="T68" s="60">
        <f>Tabella2[[#This Row],[New_Recovered_fit]]*NOT(ISBLANK(Tabella2[[#This Row],[New recovered]]))</f>
        <v>0</v>
      </c>
      <c r="X68" s="26"/>
      <c r="Y68" s="64">
        <f>Tabella2[[#This Row],[New deaths]]*NOT(ISBLANK(Tabella2[[#This Row],[New deaths]]))</f>
        <v>0</v>
      </c>
      <c r="Z68" s="50">
        <f>Kt/(1+EXP(-(Tabella2[[#This Row],[Day]]-t0t)/wt))</f>
        <v>21639.006130511119</v>
      </c>
      <c r="AA68" s="10">
        <f>Tabella2[[#This Row],[Cum_D_fit]]*(1-Tabella2[[#This Row],[Cum_D_fit]]/Kt)/wt</f>
        <v>57.871030504146539</v>
      </c>
      <c r="AB68" s="64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Kn/(1+EXP(-(Tabella2[[#This Row],[Day]]-t0n)/wn))</f>
        <v>164892.76853973939</v>
      </c>
      <c r="H69" s="10">
        <f>Tabella2[[#This Row],[Cum_fit]]*(1-Tabella2[[#This Row],[Cum_fit]]/Kn)/wn</f>
        <v>344.17060535586262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-2905.302136022508</v>
      </c>
      <c r="P69" s="48"/>
      <c r="Q69" s="60">
        <f>Tabella2[[#This Row],[New recovered]]*NOT(ISBLANK(Tabella2[[#This Row],[New recovered]]))</f>
        <v>0</v>
      </c>
      <c r="R69" s="50">
        <f>Kd/(1+EXP(-(Tabella2[[#This Row],[Day]]-t0d)/wd))</f>
        <v>72163.095321743807</v>
      </c>
      <c r="S69" s="10">
        <f>Tabella2[[#This Row],[Cum_R_fit]]*(1-Tabella2[[#This Row],[Cum_R_fit]]/Kd)/wd</f>
        <v>3199.8798560375699</v>
      </c>
      <c r="T69" s="60">
        <f>Tabella2[[#This Row],[New_Recovered_fit]]*NOT(ISBLANK(Tabella2[[#This Row],[New recovered]]))</f>
        <v>0</v>
      </c>
      <c r="X69" s="26"/>
      <c r="Y69" s="64">
        <f>Tabella2[[#This Row],[New deaths]]*NOT(ISBLANK(Tabella2[[#This Row],[New deaths]]))</f>
        <v>0</v>
      </c>
      <c r="Z69" s="50">
        <f>Kt/(1+EXP(-(Tabella2[[#This Row],[Day]]-t0t)/wt))</f>
        <v>21692.635108156559</v>
      </c>
      <c r="AA69" s="10">
        <f>Tabella2[[#This Row],[Cum_D_fit]]*(1-Tabella2[[#This Row],[Cum_D_fit]]/Kt)/wt</f>
        <v>49.59288534080067</v>
      </c>
      <c r="AB69" s="64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Kn/(1+EXP(-(Tabella2[[#This Row],[Day]]-t0n)/wn))</f>
        <v>165213.71629698615</v>
      </c>
      <c r="H70" s="10">
        <f>Tabella2[[#This Row],[Cum_fit]]*(1-Tabella2[[#This Row],[Cum_fit]]/Kn)/wn</f>
        <v>298.76537400768086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-2939.2406395519138</v>
      </c>
      <c r="P70" s="48"/>
      <c r="Q70" s="60">
        <f>Tabella2[[#This Row],[New recovered]]*NOT(ISBLANK(Tabella2[[#This Row],[New recovered]]))</f>
        <v>0</v>
      </c>
      <c r="R70" s="50">
        <f>Kd/(1+EXP(-(Tabella2[[#This Row],[Day]]-t0d)/wd))</f>
        <v>75361.837654870396</v>
      </c>
      <c r="S70" s="10">
        <f>Tabella2[[#This Row],[Cum_R_fit]]*(1-Tabella2[[#This Row],[Cum_R_fit]]/Kd)/wd</f>
        <v>3195.5376911901567</v>
      </c>
      <c r="T70" s="60">
        <f>Tabella2[[#This Row],[New_Recovered_fit]]*NOT(ISBLANK(Tabella2[[#This Row],[New recovered]]))</f>
        <v>0</v>
      </c>
      <c r="X70" s="26"/>
      <c r="Y70" s="64">
        <f>Tabella2[[#This Row],[New deaths]]*NOT(ISBLANK(Tabella2[[#This Row],[New deaths]]))</f>
        <v>0</v>
      </c>
      <c r="Z70" s="50">
        <f>Kt/(1+EXP(-(Tabella2[[#This Row],[Day]]-t0t)/wt))</f>
        <v>21738.576215880566</v>
      </c>
      <c r="AA70" s="10">
        <f>Tabella2[[#This Row],[Cum_D_fit]]*(1-Tabella2[[#This Row],[Cum_D_fit]]/Kt)/wt</f>
        <v>42.468322369437985</v>
      </c>
      <c r="AB70" s="64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Kn/(1+EXP(-(Tabella2[[#This Row],[Day]]-t0n)/wn))</f>
        <v>165492.25009575326</v>
      </c>
      <c r="H71" s="10">
        <f>Tabella2[[#This Row],[Cum_fit]]*(1-Tabella2[[#This Row],[Cum_fit]]/Kn)/wn</f>
        <v>259.21545398173367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-2955.9909933712888</v>
      </c>
      <c r="P71" s="48"/>
      <c r="Q71" s="60">
        <f>Tabella2[[#This Row],[New recovered]]*NOT(ISBLANK(Tabella2[[#This Row],[New recovered]]))</f>
        <v>0</v>
      </c>
      <c r="R71" s="50">
        <f>Kd/(1+EXP(-(Tabella2[[#This Row],[Day]]-t0d)/wd))</f>
        <v>78550.057269861296</v>
      </c>
      <c r="S71" s="10">
        <f>Tabella2[[#This Row],[Cum_R_fit]]*(1-Tabella2[[#This Row],[Cum_R_fit]]/Kd)/wd</f>
        <v>3178.861563968002</v>
      </c>
      <c r="T71" s="60">
        <f>Tabella2[[#This Row],[New_Recovered_fit]]*NOT(ISBLANK(Tabella2[[#This Row],[New recovered]]))</f>
        <v>0</v>
      </c>
      <c r="X71" s="26"/>
      <c r="Y71" s="64">
        <f>Tabella2[[#This Row],[New deaths]]*NOT(ISBLANK(Tabella2[[#This Row],[New deaths]]))</f>
        <v>0</v>
      </c>
      <c r="Z71" s="50">
        <f>Kt/(1+EXP(-(Tabella2[[#This Row],[Day]]-t0t)/wt))</f>
        <v>21777.905262090684</v>
      </c>
      <c r="AA71" s="10">
        <f>Tabella2[[#This Row],[Cum_D_fit]]*(1-Tabella2[[#This Row],[Cum_D_fit]]/Kt)/wt</f>
        <v>36.344883385020601</v>
      </c>
      <c r="AB71" s="64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Kn/(1+EXP(-(Tabella2[[#This Row],[Day]]-t0n)/wn))</f>
        <v>165733.85767130004</v>
      </c>
      <c r="H72" s="10">
        <f>Tabella2[[#This Row],[Cum_fit]]*(1-Tabella2[[#This Row],[Cum_fit]]/Kn)/wn</f>
        <v>224.79960965208525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-2956.3964676808341</v>
      </c>
      <c r="P72" s="48"/>
      <c r="Q72" s="60">
        <f>Tabella2[[#This Row],[New recovered]]*NOT(ISBLANK(Tabella2[[#This Row],[New recovered]]))</f>
        <v>0</v>
      </c>
      <c r="R72" s="50">
        <f>Kd/(1+EXP(-(Tabella2[[#This Row],[Day]]-t0d)/wd))</f>
        <v>81715.532983575496</v>
      </c>
      <c r="S72" s="10">
        <f>Tabella2[[#This Row],[Cum_R_fit]]*(1-Tabella2[[#This Row],[Cum_R_fit]]/Kd)/wd</f>
        <v>3150.108099554473</v>
      </c>
      <c r="T72" s="60">
        <f>Tabella2[[#This Row],[New_Recovered_fit]]*NOT(ISBLANK(Tabella2[[#This Row],[New recovered]]))</f>
        <v>0</v>
      </c>
      <c r="X72" s="26"/>
      <c r="Y72" s="64">
        <f>Tabella2[[#This Row],[New deaths]]*NOT(ISBLANK(Tabella2[[#This Row],[New deaths]]))</f>
        <v>0</v>
      </c>
      <c r="Z72" s="50">
        <f>Kt/(1+EXP(-(Tabella2[[#This Row],[Day]]-t0t)/wt))</f>
        <v>21811.55464451883</v>
      </c>
      <c r="AA72" s="10">
        <f>Tabella2[[#This Row],[Cum_D_fit]]*(1-Tabella2[[#This Row],[Cum_D_fit]]/Kt)/wt</f>
        <v>31.08797777844616</v>
      </c>
      <c r="AB72" s="64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Kn/(1+EXP(-(Tabella2[[#This Row],[Day]]-t0n)/wn))</f>
        <v>165943.34619482889</v>
      </c>
      <c r="H73" s="10">
        <f>Tabella2[[#This Row],[Cum_fit]]*(1-Tabella2[[#This Row],[Cum_fit]]/Kn)/wn</f>
        <v>194.8768571067416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-2941.417637425553</v>
      </c>
      <c r="P73" s="48"/>
      <c r="Q73" s="60">
        <f>Tabella2[[#This Row],[New recovered]]*NOT(ISBLANK(Tabella2[[#This Row],[New recovered]]))</f>
        <v>0</v>
      </c>
      <c r="R73" s="50">
        <f>Kd/(1+EXP(-(Tabella2[[#This Row],[Day]]-t0d)/wd))</f>
        <v>84846.391745975488</v>
      </c>
      <c r="S73" s="10">
        <f>Tabella2[[#This Row],[Cum_R_fit]]*(1-Tabella2[[#This Row],[Cum_R_fit]]/Kd)/wd</f>
        <v>3109.7150561211402</v>
      </c>
      <c r="T73" s="60">
        <f>Tabella2[[#This Row],[New_Recovered_fit]]*NOT(ISBLANK(Tabella2[[#This Row],[New recovered]]))</f>
        <v>0</v>
      </c>
      <c r="X73" s="26"/>
      <c r="Y73" s="64">
        <f>Tabella2[[#This Row],[New deaths]]*NOT(ISBLANK(Tabella2[[#This Row],[New deaths]]))</f>
        <v>0</v>
      </c>
      <c r="Z73" s="50">
        <f>Kt/(1+EXP(-(Tabella2[[#This Row],[Day]]-t0t)/wt))</f>
        <v>21840.330507601342</v>
      </c>
      <c r="AA73" s="10">
        <f>Tabella2[[#This Row],[Cum_D_fit]]*(1-Tabella2[[#This Row],[Cum_D_fit]]/Kt)/wt</f>
        <v>26.579438411154673</v>
      </c>
      <c r="AB73" s="64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Kn/(1+EXP(-(Tabella2[[#This Row],[Day]]-t0n)/wn))</f>
        <v>166124.91920163223</v>
      </c>
      <c r="H74" s="10">
        <f>Tabella2[[#This Row],[Cum_fit]]*(1-Tabella2[[#This Row],[Cum_fit]]/Kn)/wn</f>
        <v>168.87977897863263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-2912.123511501567</v>
      </c>
      <c r="P74" s="48"/>
      <c r="Q74" s="60">
        <f>Tabella2[[#This Row],[New recovered]]*NOT(ISBLANK(Tabella2[[#This Row],[New recovered]]))</f>
        <v>0</v>
      </c>
      <c r="R74" s="50">
        <f>Kd/(1+EXP(-(Tabella2[[#This Row],[Day]]-t0d)/wd))</f>
        <v>87931.283206979177</v>
      </c>
      <c r="S74" s="10">
        <f>Tabella2[[#This Row],[Cum_R_fit]]*(1-Tabella2[[#This Row],[Cum_R_fit]]/Kd)/wd</f>
        <v>3058.2873006383174</v>
      </c>
      <c r="T74" s="60">
        <f>Tabella2[[#This Row],[New_Recovered_fit]]*NOT(ISBLANK(Tabella2[[#This Row],[New recovered]]))</f>
        <v>0</v>
      </c>
      <c r="X74" s="26"/>
      <c r="Y74" s="64">
        <f>Tabella2[[#This Row],[New deaths]]*NOT(ISBLANK(Tabella2[[#This Row],[New deaths]]))</f>
        <v>0</v>
      </c>
      <c r="Z74" s="50">
        <f>Kt/(1+EXP(-(Tabella2[[#This Row],[Day]]-t0t)/wt))</f>
        <v>21864.928403257232</v>
      </c>
      <c r="AA74" s="10">
        <f>Tabella2[[#This Row],[Cum_D_fit]]*(1-Tabella2[[#This Row],[Cum_D_fit]]/Kt)/wt</f>
        <v>22.715989841882049</v>
      </c>
      <c r="AB74" s="64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Kn/(1+EXP(-(Tabella2[[#This Row],[Day]]-t0n)/wn))</f>
        <v>166282.24677069846</v>
      </c>
      <c r="H75" s="10">
        <f>Tabella2[[#This Row],[Cum_fit]]*(1-Tabella2[[#This Row],[Cum_fit]]/Kn)/wn</f>
        <v>146.30775975509502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-2869.67781981084</v>
      </c>
      <c r="P75" s="48"/>
      <c r="Q75" s="60">
        <f>Tabella2[[#This Row],[New recovered]]*NOT(ISBLANK(Tabella2[[#This Row],[New recovered]]))</f>
        <v>0</v>
      </c>
      <c r="R75" s="50">
        <f>Kd/(1+EXP(-(Tabella2[[#This Row],[Day]]-t0d)/wd))</f>
        <v>90959.537724471928</v>
      </c>
      <c r="S75" s="10">
        <f>Tabella2[[#This Row],[Cum_R_fit]]*(1-Tabella2[[#This Row],[Cum_R_fit]]/Kd)/wd</f>
        <v>2996.5778644839438</v>
      </c>
      <c r="T75" s="60">
        <f>Tabella2[[#This Row],[New_Recovered_fit]]*NOT(ISBLANK(Tabella2[[#This Row],[New recovered]]))</f>
        <v>0</v>
      </c>
      <c r="X75" s="26"/>
      <c r="Y75" s="64">
        <f>Tabella2[[#This Row],[New deaths]]*NOT(ISBLANK(Tabella2[[#This Row],[New deaths]]))</f>
        <v>0</v>
      </c>
      <c r="Z75" s="50">
        <f>Kt/(1+EXP(-(Tabella2[[#This Row],[Day]]-t0t)/wt))</f>
        <v>21885.947413339574</v>
      </c>
      <c r="AA75" s="10">
        <f>Tabella2[[#This Row],[Cum_D_fit]]*(1-Tabella2[[#This Row],[Cum_D_fit]]/Kt)/wt</f>
        <v>19.407715081991412</v>
      </c>
      <c r="AB75" s="64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Kn/(1+EXP(-(Tabella2[[#This Row],[Day]]-t0n)/wn))</f>
        <v>166418.52900168928</v>
      </c>
      <c r="H76" s="10">
        <f>Tabella2[[#This Row],[Cum_fit]]*(1-Tabella2[[#This Row],[Cum_fit]]/Kn)/wn</f>
        <v>126.7203770446861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-2815.3212796199787</v>
      </c>
      <c r="P76" s="48"/>
      <c r="Q76" s="60">
        <f>Tabella2[[#This Row],[New recovered]]*NOT(ISBLANK(Tabella2[[#This Row],[New recovered]]))</f>
        <v>0</v>
      </c>
      <c r="R76" s="50">
        <f>Kd/(1+EXP(-(Tabella2[[#This Row],[Day]]-t0d)/wd))</f>
        <v>93921.303376694908</v>
      </c>
      <c r="S76" s="10">
        <f>Tabella2[[#This Row],[Cum_R_fit]]*(1-Tabella2[[#This Row],[Cum_R_fit]]/Kd)/wd</f>
        <v>2925.4650791343911</v>
      </c>
      <c r="T76" s="60">
        <f>Tabella2[[#This Row],[New_Recovered_fit]]*NOT(ISBLANK(Tabella2[[#This Row],[New recovered]]))</f>
        <v>0</v>
      </c>
      <c r="X76" s="26"/>
      <c r="Y76" s="64">
        <f>Tabella2[[#This Row],[New deaths]]*NOT(ISBLANK(Tabella2[[#This Row],[New deaths]]))</f>
        <v>0</v>
      </c>
      <c r="Z76" s="50">
        <f>Kt/(1+EXP(-(Tabella2[[#This Row],[Day]]-t0t)/wt))</f>
        <v>21903.902762721613</v>
      </c>
      <c r="AA76" s="10">
        <f>Tabella2[[#This Row],[Cum_D_fit]]*(1-Tabella2[[#This Row],[Cum_D_fit]]/Kt)/wt</f>
        <v>16.576577530273738</v>
      </c>
      <c r="AB76" s="64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Kn/(1+EXP(-(Tabella2[[#This Row],[Day]]-t0n)/wn))</f>
        <v>166536.55302849214</v>
      </c>
      <c r="H77" s="10">
        <f>Tabella2[[#This Row],[Cum_fit]]*(1-Tabella2[[#This Row],[Cum_fit]]/Kn)/wn</f>
        <v>109.73110372082829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-2750.3508803658005</v>
      </c>
      <c r="P77" s="48"/>
      <c r="Q77" s="60">
        <f>Tabella2[[#This Row],[New recovered]]*NOT(ISBLANK(Tabella2[[#This Row],[New recovered]]))</f>
        <v>0</v>
      </c>
      <c r="R77" s="50">
        <f>Kd/(1+EXP(-(Tabella2[[#This Row],[Day]]-t0d)/wd))</f>
        <v>96807.658628994875</v>
      </c>
      <c r="S77" s="10">
        <f>Tabella2[[#This Row],[Cum_R_fit]]*(1-Tabella2[[#This Row],[Cum_R_fit]]/Kd)/wd</f>
        <v>2845.9269510677941</v>
      </c>
      <c r="T77" s="60">
        <f>Tabella2[[#This Row],[New_Recovered_fit]]*NOT(ISBLANK(Tabella2[[#This Row],[New recovered]]))</f>
        <v>0</v>
      </c>
      <c r="X77" s="26"/>
      <c r="Y77" s="64">
        <f>Tabella2[[#This Row],[New deaths]]*NOT(ISBLANK(Tabella2[[#This Row],[New deaths]]))</f>
        <v>0</v>
      </c>
      <c r="Z77" s="50">
        <f>Kt/(1+EXP(-(Tabella2[[#This Row],[Day]]-t0t)/wt))</f>
        <v>21919.236997194032</v>
      </c>
      <c r="AA77" s="10">
        <f>Tabella2[[#This Row],[Cum_D_fit]]*(1-Tabella2[[#This Row],[Cum_D_fit]]/Kt)/wt</f>
        <v>14.155033018834931</v>
      </c>
      <c r="AB77" s="64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Kn/(1+EXP(-(Tabella2[[#This Row],[Day]]-t0n)/wn))</f>
        <v>166638.74393192524</v>
      </c>
      <c r="H78" s="10">
        <f>Tabella2[[#This Row],[Cum_fit]]*(1-Tabella2[[#This Row],[Cum_fit]]/Kn)/wn</f>
        <v>95.001415801386855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-2676.0973423059531</v>
      </c>
      <c r="P78" s="48"/>
      <c r="Q78" s="60">
        <f>Tabella2[[#This Row],[New recovered]]*NOT(ISBLANK(Tabella2[[#This Row],[New recovered]]))</f>
        <v>0</v>
      </c>
      <c r="R78" s="50">
        <f>Kd/(1+EXP(-(Tabella2[[#This Row],[Day]]-t0d)/wd))</f>
        <v>99610.698507295951</v>
      </c>
      <c r="S78" s="10">
        <f>Tabella2[[#This Row],[Cum_R_fit]]*(1-Tabella2[[#This Row],[Cum_R_fit]]/Kd)/wd</f>
        <v>2759.014006810004</v>
      </c>
      <c r="T78" s="60">
        <f>Tabella2[[#This Row],[New_Recovered_fit]]*NOT(ISBLANK(Tabella2[[#This Row],[New recovered]]))</f>
        <v>0</v>
      </c>
      <c r="X78" s="26"/>
      <c r="Y78" s="64">
        <f>Tabella2[[#This Row],[New deaths]]*NOT(ISBLANK(Tabella2[[#This Row],[New deaths]]))</f>
        <v>0</v>
      </c>
      <c r="Z78" s="50">
        <f>Kt/(1+EXP(-(Tabella2[[#This Row],[Day]]-t0t)/wt))</f>
        <v>21932.329827033576</v>
      </c>
      <c r="AA78" s="10">
        <f>Tabella2[[#This Row],[Cum_D_fit]]*(1-Tabella2[[#This Row],[Cum_D_fit]]/Kt)/wt</f>
        <v>12.08475129733603</v>
      </c>
      <c r="AB78" s="64">
        <f>Tabella2[[#This Row],[New_Deaths_fit]]*NOT(ISBLANK(Tabella2[[#This Row],[New deaths]]))</f>
        <v>0</v>
      </c>
    </row>
  </sheetData>
  <mergeCells count="9">
    <mergeCell ref="AU14:AU17"/>
    <mergeCell ref="AU24:AU27"/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Cumul_confirmed - Boltzmann</vt:lpstr>
      <vt:lpstr>New_confirmed - Boltzmann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2020-04-14T22:36:54Z</dcterms:modified>
</cp:coreProperties>
</file>