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C4A0D39F-5347-44A6-B320-E5D3340FC2D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confirmed - Boltzmann fit" sheetId="12" r:id="rId2"/>
    <sheet name="New_confirmed - Boltzmann fit" sheetId="19" r:id="rId3"/>
  </sheets>
  <definedNames>
    <definedName name="_xlcn.WorksheetConnection_COVID19ItalycasestrendBfit.xlsxdpc_covid19_ita_andamento_nazionale1" hidden="1">dpc_covid19_ita_andamento_nazionale</definedName>
    <definedName name="CI">'Cumul_confirmed - Boltzmann fit'!$N$15</definedName>
    <definedName name="CId">'New_confirmed - Boltzmann fit'!$R$26</definedName>
    <definedName name="CIh">'Cumul_confirmed - Boltzmann fit'!$N$26</definedName>
    <definedName name="CIn">'New_confirmed - Boltzmann fit'!$R$15</definedName>
    <definedName name="Critical_t">'Cumul_confirmed - Boltzmann fit'!$N$14</definedName>
    <definedName name="Critical_td">'New_confirmed - Boltzmann fit'!$R$25</definedName>
    <definedName name="Critical_th">'Cumul_confirmed - Boltzmann fit'!$N$25</definedName>
    <definedName name="Critical_tn">'New_confirmed - Boltzmann fit'!$R$14</definedName>
    <definedName name="DatiEsterni_1" localSheetId="0" hidden="1">'dpc-covid19-ita-andamento-naz'!$A$1:$O$41</definedName>
    <definedName name="DatiEsterni_2" localSheetId="0" hidden="1">'dpc-covid19-ita-andamento-naz'!#REF!</definedName>
    <definedName name="df">'Cumul_confirmed - Boltzmann fit'!$N$11</definedName>
    <definedName name="dfd">'New_confirmed - Boltzmann fit'!$R$22</definedName>
    <definedName name="dfh">'Cumul_confirmed - Boltzmann fit'!$N$22</definedName>
    <definedName name="dfn">'New_confirmed - Boltzmann fit'!$R$11</definedName>
    <definedName name="dpc_covid19_ita_andamento_nazionale_1" localSheetId="1" hidden="1">'Cumul_confirmed - Boltzmann fit'!#REF!</definedName>
    <definedName name="E_end">'New_confirmed - Boltzmann fit'!$E$47</definedName>
    <definedName name="E_start">'New_confirmed - Boltzmann fit'!$E$7</definedName>
    <definedName name="G_end">'New_confirmed - Boltzmann fit'!$G$47</definedName>
    <definedName name="G_start">'New_confirmed - Boltzmann fit'!$G$7</definedName>
    <definedName name="K">'Cumul_confirmed - Boltzmann fit'!$N$7</definedName>
    <definedName name="K_end">'New_confirmed - Boltzmann fit'!$K$47</definedName>
    <definedName name="K_start">'New_confirmed - Boltzmann fit'!$K$7</definedName>
    <definedName name="Kd">'New_confirmed - Boltzmann fit'!$R$18</definedName>
    <definedName name="Kh">'Cumul_confirmed - Boltzmann fit'!$N$18</definedName>
    <definedName name="Kn">'New_confirmed - Boltzmann fit'!$R$7</definedName>
    <definedName name="M_end">'New_confirmed - Boltzmann fit'!$M$47</definedName>
    <definedName name="M_start">'New_confirmed - Boltzmann fit'!$M$7</definedName>
    <definedName name="Mean_of_y">'Cumul_confirmed - Boltzmann fit'!$N$10</definedName>
    <definedName name="Mean_of_yd">'New_confirmed - Boltzmann fit'!$R$21</definedName>
    <definedName name="Mean_of_yh">'Cumul_confirmed - Boltzmann fit'!$N$21</definedName>
    <definedName name="Mean_of_yn">'New_confirmed - Boltzmann fit'!$R$10</definedName>
    <definedName name="RSQ">'Cumul_confirmed - Boltzmann fit'!$N$13</definedName>
    <definedName name="RSQd">'New_confirmed - Boltzmann fit'!$R$24</definedName>
    <definedName name="RSQh">'Cumul_confirmed - Boltzmann fit'!$N$24</definedName>
    <definedName name="RSQn">'New_confirmed - Boltzmann fit'!$R$13</definedName>
    <definedName name="SE_of_y">'Cumul_confirmed - Boltzmann fit'!$N$12</definedName>
    <definedName name="SE_of_yd">'New_confirmed - Boltzmann fit'!$R$23</definedName>
    <definedName name="SE_of_yh">'Cumul_confirmed - Boltzmann fit'!$N$23</definedName>
    <definedName name="SE_of_yn">'New_confirmed - Boltzmann fit'!$R$12</definedName>
    <definedName name="solver_adj" localSheetId="1" hidden="1">'Cumul_confirmed - Boltzmann fit'!$N$7,'Cumul_confirmed - Boltzmann fit'!$N$8,'Cumul_confirmed - Boltzmann fit'!$N$9</definedName>
    <definedName name="solver_adj" localSheetId="2" hidden="1">'New_confirmed - Boltzmann fit'!$R$18,'New_confirmed - Boltzmann fit'!$R$19,'New_confirmed - Boltzmann fit'!$R$20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Boltzmann fit'!$N$7</definedName>
    <definedName name="solver_lhs1" localSheetId="2" hidden="1">'New_confirmed - Boltzmann fit'!$R$18</definedName>
    <definedName name="solver_lhs2" localSheetId="1" hidden="1">'Cumul_confirmed - Boltzmann fit'!$N$8</definedName>
    <definedName name="solver_lhs2" localSheetId="2" hidden="1">'New_confirmed - Boltzmann fit'!$R$19</definedName>
    <definedName name="solver_lhs3" localSheetId="1" hidden="1">'Cumul_confirmed - Boltzmann fit'!$N$9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'Cumul_confirmed - Boltzmann fit'!$N$13</definedName>
    <definedName name="solver_opt" localSheetId="2" hidden="1">'New_confirmed - Boltzmann fit'!$R$24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el3" localSheetId="1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'Cumul_confirmed - Boltzmann fit'!$N$8</definedName>
    <definedName name="t0d">'New_confirmed - Boltzmann fit'!$R$19</definedName>
    <definedName name="t0h">'Cumul_confirmed - Boltzmann fit'!$N$19</definedName>
    <definedName name="t0n">'New_confirmed - Boltzmann fit'!$R$8</definedName>
    <definedName name="w">'Cumul_confirmed - Boltzmann fit'!$N$9</definedName>
    <definedName name="wd">'New_confirmed - Boltzmann fit'!$R$20</definedName>
    <definedName name="wh">'Cumul_confirmed - Boltzmann fit'!$N$20</definedName>
    <definedName name="wn">'New_confirmed - Boltzmann fit'!$R$9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22" i="19" l="1"/>
  <c r="AF21" i="19"/>
  <c r="AF20" i="19"/>
  <c r="AF19" i="19"/>
  <c r="AF18" i="19"/>
  <c r="AF12" i="19" l="1"/>
  <c r="AF11" i="19"/>
  <c r="AF10" i="19"/>
  <c r="AF9" i="19"/>
  <c r="AF8" i="19"/>
  <c r="R22" i="19"/>
  <c r="R21" i="19"/>
  <c r="R11" i="19"/>
  <c r="R10" i="19"/>
  <c r="K47" i="19"/>
  <c r="K48" i="19"/>
  <c r="K49" i="19"/>
  <c r="K50" i="19"/>
  <c r="J48" i="19"/>
  <c r="J49" i="19"/>
  <c r="J50" i="19"/>
  <c r="E47" i="19"/>
  <c r="E48" i="19"/>
  <c r="E49" i="19"/>
  <c r="E50" i="19"/>
  <c r="D47" i="19"/>
  <c r="D48" i="19"/>
  <c r="D49" i="19"/>
  <c r="D50" i="19"/>
  <c r="AB12" i="12"/>
  <c r="AB11" i="12"/>
  <c r="AB10" i="12"/>
  <c r="AB9" i="12"/>
  <c r="AB8" i="12"/>
  <c r="AB22" i="12"/>
  <c r="AB21" i="12"/>
  <c r="AB20" i="12"/>
  <c r="AB19" i="12"/>
  <c r="AB18" i="12"/>
  <c r="H47" i="12" l="1"/>
  <c r="H48" i="12"/>
  <c r="H49" i="12"/>
  <c r="H50" i="12"/>
  <c r="D46" i="12"/>
  <c r="D47" i="12"/>
  <c r="D48" i="12"/>
  <c r="D49" i="12"/>
  <c r="D50" i="12"/>
  <c r="J46" i="19" l="1"/>
  <c r="J47" i="19"/>
  <c r="L70" i="19" l="1"/>
  <c r="F70" i="19"/>
  <c r="L69" i="19"/>
  <c r="F69" i="19"/>
  <c r="L68" i="19"/>
  <c r="F68" i="19"/>
  <c r="L67" i="19"/>
  <c r="F67" i="19"/>
  <c r="L66" i="19"/>
  <c r="F66" i="19"/>
  <c r="L65" i="19"/>
  <c r="F65" i="19"/>
  <c r="L64" i="19"/>
  <c r="F64" i="19"/>
  <c r="L63" i="19"/>
  <c r="F63" i="19"/>
  <c r="L62" i="19"/>
  <c r="F62" i="19"/>
  <c r="L61" i="19"/>
  <c r="F61" i="19"/>
  <c r="L60" i="19"/>
  <c r="F60" i="19"/>
  <c r="L59" i="19"/>
  <c r="F59" i="19"/>
  <c r="L58" i="19"/>
  <c r="F58" i="19"/>
  <c r="L57" i="19"/>
  <c r="F57" i="19"/>
  <c r="L56" i="19"/>
  <c r="F56" i="19"/>
  <c r="L55" i="19"/>
  <c r="F55" i="19"/>
  <c r="L54" i="19"/>
  <c r="F54" i="19"/>
  <c r="L53" i="19"/>
  <c r="F53" i="19"/>
  <c r="L52" i="19"/>
  <c r="F52" i="19"/>
  <c r="L51" i="19"/>
  <c r="F51" i="19"/>
  <c r="L50" i="19"/>
  <c r="F50" i="19"/>
  <c r="L49" i="19"/>
  <c r="F49" i="19"/>
  <c r="L48" i="19"/>
  <c r="F48" i="19"/>
  <c r="L47" i="19"/>
  <c r="F47" i="19"/>
  <c r="L46" i="19"/>
  <c r="F46" i="19"/>
  <c r="D46" i="19"/>
  <c r="L45" i="19"/>
  <c r="J45" i="19"/>
  <c r="F45" i="19"/>
  <c r="D45" i="19"/>
  <c r="L44" i="19"/>
  <c r="J44" i="19"/>
  <c r="F44" i="19"/>
  <c r="D44" i="19"/>
  <c r="L43" i="19"/>
  <c r="J43" i="19"/>
  <c r="F43" i="19"/>
  <c r="D43" i="19"/>
  <c r="L42" i="19"/>
  <c r="J42" i="19"/>
  <c r="F42" i="19"/>
  <c r="D42" i="19"/>
  <c r="L41" i="19"/>
  <c r="J41" i="19"/>
  <c r="F41" i="19"/>
  <c r="D41" i="19"/>
  <c r="L40" i="19"/>
  <c r="J40" i="19"/>
  <c r="F40" i="19"/>
  <c r="D40" i="19"/>
  <c r="L39" i="19"/>
  <c r="J39" i="19"/>
  <c r="F39" i="19"/>
  <c r="D39" i="19"/>
  <c r="L38" i="19"/>
  <c r="J38" i="19"/>
  <c r="F38" i="19"/>
  <c r="D38" i="19"/>
  <c r="L37" i="19"/>
  <c r="J37" i="19"/>
  <c r="F37" i="19"/>
  <c r="D37" i="19"/>
  <c r="L36" i="19"/>
  <c r="J36" i="19"/>
  <c r="F36" i="19"/>
  <c r="D36" i="19"/>
  <c r="L35" i="19"/>
  <c r="J35" i="19"/>
  <c r="F35" i="19"/>
  <c r="D35" i="19"/>
  <c r="L34" i="19"/>
  <c r="J34" i="19"/>
  <c r="F34" i="19"/>
  <c r="D34" i="19"/>
  <c r="L33" i="19"/>
  <c r="J33" i="19"/>
  <c r="F33" i="19"/>
  <c r="D33" i="19"/>
  <c r="L32" i="19"/>
  <c r="J32" i="19"/>
  <c r="F32" i="19"/>
  <c r="D32" i="19"/>
  <c r="L31" i="19"/>
  <c r="J31" i="19"/>
  <c r="F31" i="19"/>
  <c r="D31" i="19"/>
  <c r="L30" i="19"/>
  <c r="J30" i="19"/>
  <c r="F30" i="19"/>
  <c r="D30" i="19"/>
  <c r="E30" i="19" s="1"/>
  <c r="L29" i="19"/>
  <c r="J29" i="19"/>
  <c r="F29" i="19"/>
  <c r="D29" i="19"/>
  <c r="L28" i="19"/>
  <c r="J28" i="19"/>
  <c r="F28" i="19"/>
  <c r="D28" i="19"/>
  <c r="R27" i="19"/>
  <c r="L27" i="19"/>
  <c r="J27" i="19"/>
  <c r="F27" i="19"/>
  <c r="D27" i="19"/>
  <c r="L26" i="19"/>
  <c r="J26" i="19"/>
  <c r="K27" i="19" s="1"/>
  <c r="F26" i="19"/>
  <c r="D26" i="19"/>
  <c r="L25" i="19"/>
  <c r="J25" i="19"/>
  <c r="F25" i="19"/>
  <c r="D25" i="19"/>
  <c r="L24" i="19"/>
  <c r="J24" i="19"/>
  <c r="F24" i="19"/>
  <c r="D24" i="19"/>
  <c r="L23" i="19"/>
  <c r="J23" i="19"/>
  <c r="F23" i="19"/>
  <c r="D23" i="19"/>
  <c r="L22" i="19"/>
  <c r="J22" i="19"/>
  <c r="F22" i="19"/>
  <c r="D22" i="19"/>
  <c r="L21" i="19"/>
  <c r="J21" i="19"/>
  <c r="F21" i="19"/>
  <c r="D21" i="19"/>
  <c r="L20" i="19"/>
  <c r="J20" i="19"/>
  <c r="F20" i="19"/>
  <c r="D20" i="19"/>
  <c r="L19" i="19"/>
  <c r="J19" i="19"/>
  <c r="F19" i="19"/>
  <c r="D19" i="19"/>
  <c r="L18" i="19"/>
  <c r="J18" i="19"/>
  <c r="F18" i="19"/>
  <c r="D18" i="19"/>
  <c r="L17" i="19"/>
  <c r="J17" i="19"/>
  <c r="F17" i="19"/>
  <c r="D17" i="19"/>
  <c r="R16" i="19"/>
  <c r="L16" i="19"/>
  <c r="J16" i="19"/>
  <c r="F16" i="19"/>
  <c r="D16" i="19"/>
  <c r="L15" i="19"/>
  <c r="J15" i="19"/>
  <c r="F15" i="19"/>
  <c r="D15" i="19"/>
  <c r="L14" i="19"/>
  <c r="J14" i="19"/>
  <c r="F14" i="19"/>
  <c r="D14" i="19"/>
  <c r="E14" i="19" s="1"/>
  <c r="L13" i="19"/>
  <c r="J13" i="19"/>
  <c r="F13" i="19"/>
  <c r="D13" i="19"/>
  <c r="L12" i="19"/>
  <c r="J12" i="19"/>
  <c r="F12" i="19"/>
  <c r="D12" i="19"/>
  <c r="L11" i="19"/>
  <c r="J11" i="19"/>
  <c r="F11" i="19"/>
  <c r="D11" i="19"/>
  <c r="E11" i="19" s="1"/>
  <c r="L10" i="19"/>
  <c r="K10" i="19"/>
  <c r="F10" i="19"/>
  <c r="E10" i="19"/>
  <c r="L9" i="19"/>
  <c r="K9" i="19"/>
  <c r="F9" i="19"/>
  <c r="E9" i="19"/>
  <c r="L8" i="19"/>
  <c r="K8" i="19"/>
  <c r="F8" i="19"/>
  <c r="E8" i="19"/>
  <c r="L7" i="19"/>
  <c r="M7" i="19" s="1"/>
  <c r="K7" i="19"/>
  <c r="F7" i="19"/>
  <c r="G7" i="19" s="1"/>
  <c r="E7" i="19"/>
  <c r="I70" i="12"/>
  <c r="E70" i="12"/>
  <c r="I69" i="12"/>
  <c r="E69" i="12"/>
  <c r="I68" i="12"/>
  <c r="E68" i="12"/>
  <c r="I67" i="12"/>
  <c r="E67" i="12"/>
  <c r="I66" i="12"/>
  <c r="E66" i="12"/>
  <c r="I65" i="12"/>
  <c r="E65" i="12"/>
  <c r="I64" i="12"/>
  <c r="E64" i="12"/>
  <c r="I63" i="12"/>
  <c r="E63" i="12"/>
  <c r="I62" i="12"/>
  <c r="E62" i="12"/>
  <c r="I61" i="12"/>
  <c r="E61" i="12"/>
  <c r="I60" i="12"/>
  <c r="E60" i="12"/>
  <c r="I59" i="12"/>
  <c r="E59" i="12"/>
  <c r="I58" i="12"/>
  <c r="E58" i="12"/>
  <c r="I57" i="12"/>
  <c r="E57" i="12"/>
  <c r="I56" i="12"/>
  <c r="E56" i="12"/>
  <c r="I55" i="12"/>
  <c r="E55" i="12"/>
  <c r="I54" i="12"/>
  <c r="E54" i="12"/>
  <c r="I53" i="12"/>
  <c r="E53" i="12"/>
  <c r="I52" i="12"/>
  <c r="E52" i="12"/>
  <c r="I51" i="12"/>
  <c r="E51" i="12"/>
  <c r="I50" i="12"/>
  <c r="E50" i="12"/>
  <c r="I49" i="12"/>
  <c r="E49" i="12"/>
  <c r="I48" i="12"/>
  <c r="E48" i="12"/>
  <c r="I47" i="12"/>
  <c r="E47" i="12"/>
  <c r="I46" i="12"/>
  <c r="H46" i="12"/>
  <c r="E46" i="12"/>
  <c r="I45" i="12"/>
  <c r="H45" i="12"/>
  <c r="E45" i="12"/>
  <c r="D45" i="12"/>
  <c r="I44" i="12"/>
  <c r="H44" i="12"/>
  <c r="E44" i="12"/>
  <c r="D44" i="12"/>
  <c r="I43" i="12"/>
  <c r="H43" i="12"/>
  <c r="E43" i="12"/>
  <c r="D43" i="12"/>
  <c r="I42" i="12"/>
  <c r="H42" i="12"/>
  <c r="E42" i="12"/>
  <c r="D42" i="12"/>
  <c r="I41" i="12"/>
  <c r="H41" i="12"/>
  <c r="E41" i="12"/>
  <c r="D41" i="12"/>
  <c r="I40" i="12"/>
  <c r="H40" i="12"/>
  <c r="E40" i="12"/>
  <c r="D40" i="12"/>
  <c r="I39" i="12"/>
  <c r="H39" i="12"/>
  <c r="E39" i="12"/>
  <c r="D39" i="12"/>
  <c r="I38" i="12"/>
  <c r="H38" i="12"/>
  <c r="E38" i="12"/>
  <c r="D38" i="12"/>
  <c r="I37" i="12"/>
  <c r="H37" i="12"/>
  <c r="E37" i="12"/>
  <c r="D37" i="12"/>
  <c r="I36" i="12"/>
  <c r="H36" i="12"/>
  <c r="E36" i="12"/>
  <c r="D36" i="12"/>
  <c r="I35" i="12"/>
  <c r="H35" i="12"/>
  <c r="E35" i="12"/>
  <c r="D35" i="12"/>
  <c r="I34" i="12"/>
  <c r="H34" i="12"/>
  <c r="E34" i="12"/>
  <c r="D34" i="12"/>
  <c r="I33" i="12"/>
  <c r="H33" i="12"/>
  <c r="E33" i="12"/>
  <c r="D33" i="12"/>
  <c r="I32" i="12"/>
  <c r="H32" i="12"/>
  <c r="E32" i="12"/>
  <c r="D32" i="12"/>
  <c r="I31" i="12"/>
  <c r="H31" i="12"/>
  <c r="E31" i="12"/>
  <c r="D31" i="12"/>
  <c r="I30" i="12"/>
  <c r="H30" i="12"/>
  <c r="E30" i="12"/>
  <c r="D30" i="12"/>
  <c r="I29" i="12"/>
  <c r="H29" i="12"/>
  <c r="E29" i="12"/>
  <c r="D29" i="12"/>
  <c r="I28" i="12"/>
  <c r="H28" i="12"/>
  <c r="E28" i="12"/>
  <c r="D28" i="12"/>
  <c r="I27" i="12"/>
  <c r="H27" i="12"/>
  <c r="E27" i="12"/>
  <c r="D27" i="12"/>
  <c r="I26" i="12"/>
  <c r="H26" i="12"/>
  <c r="E26" i="12"/>
  <c r="D26" i="12"/>
  <c r="I25" i="12"/>
  <c r="H25" i="12"/>
  <c r="E25" i="12"/>
  <c r="D25" i="12"/>
  <c r="I24" i="12"/>
  <c r="H24" i="12"/>
  <c r="E24" i="12"/>
  <c r="D24" i="12"/>
  <c r="I23" i="12"/>
  <c r="H23" i="12"/>
  <c r="E23" i="12"/>
  <c r="D23" i="12"/>
  <c r="I22" i="12"/>
  <c r="H22" i="12"/>
  <c r="E22" i="12"/>
  <c r="D22" i="12"/>
  <c r="I21" i="12"/>
  <c r="H21" i="12"/>
  <c r="E21" i="12"/>
  <c r="D21" i="12"/>
  <c r="I20" i="12"/>
  <c r="H20" i="12"/>
  <c r="E20" i="12"/>
  <c r="D20" i="12"/>
  <c r="I19" i="12"/>
  <c r="H19" i="12"/>
  <c r="E19" i="12"/>
  <c r="D19" i="12"/>
  <c r="I18" i="12"/>
  <c r="H18" i="12"/>
  <c r="E18" i="12"/>
  <c r="D18" i="12"/>
  <c r="I17" i="12"/>
  <c r="H17" i="12"/>
  <c r="E17" i="12"/>
  <c r="D17" i="12"/>
  <c r="I16" i="12"/>
  <c r="H16" i="12"/>
  <c r="E16" i="12"/>
  <c r="D16" i="12"/>
  <c r="I15" i="12"/>
  <c r="H15" i="12"/>
  <c r="E15" i="12"/>
  <c r="D15" i="12"/>
  <c r="I14" i="12"/>
  <c r="H14" i="12"/>
  <c r="E14" i="12"/>
  <c r="D14" i="12"/>
  <c r="I13" i="12"/>
  <c r="H13" i="12"/>
  <c r="E13" i="12"/>
  <c r="D13" i="12"/>
  <c r="I12" i="12"/>
  <c r="H12" i="12"/>
  <c r="E12" i="12"/>
  <c r="D12" i="12"/>
  <c r="I11" i="12"/>
  <c r="H11" i="12"/>
  <c r="E11" i="12"/>
  <c r="D11" i="12"/>
  <c r="I10" i="12"/>
  <c r="E10" i="12"/>
  <c r="I9" i="12"/>
  <c r="E9" i="12"/>
  <c r="I8" i="12"/>
  <c r="E8" i="12"/>
  <c r="I7" i="12"/>
  <c r="E7" i="12"/>
  <c r="N24" i="12" l="1" a="1"/>
  <c r="N24" i="12" s="1"/>
  <c r="AB17" i="12" s="1"/>
  <c r="N13" i="12" a="1"/>
  <c r="N13" i="12" s="1"/>
  <c r="AB7" i="12" s="1"/>
  <c r="N10" i="12"/>
  <c r="N11" i="12"/>
  <c r="N12" i="12" s="1" a="1"/>
  <c r="N12" i="12" s="1"/>
  <c r="N22" i="12"/>
  <c r="N23" i="12" s="1" a="1"/>
  <c r="N23" i="12" s="1"/>
  <c r="N21" i="12"/>
  <c r="K37" i="19"/>
  <c r="K40" i="19"/>
  <c r="K23" i="19"/>
  <c r="E32" i="19"/>
  <c r="E35" i="19"/>
  <c r="E38" i="19"/>
  <c r="E41" i="19"/>
  <c r="E44" i="19"/>
  <c r="E18" i="19"/>
  <c r="K18" i="19"/>
  <c r="K21" i="19"/>
  <c r="E36" i="19"/>
  <c r="E42" i="19"/>
  <c r="E21" i="19"/>
  <c r="E27" i="19"/>
  <c r="K32" i="19"/>
  <c r="K35" i="19"/>
  <c r="E13" i="19"/>
  <c r="E33" i="19"/>
  <c r="K38" i="19"/>
  <c r="K30" i="19"/>
  <c r="K19" i="19"/>
  <c r="E28" i="19"/>
  <c r="E45" i="19"/>
  <c r="K16" i="19"/>
  <c r="K22" i="19"/>
  <c r="K25" i="19"/>
  <c r="E31" i="19"/>
  <c r="E34" i="19"/>
  <c r="N25" i="12"/>
  <c r="E19" i="19"/>
  <c r="K33" i="19"/>
  <c r="E17" i="19"/>
  <c r="E20" i="19"/>
  <c r="K28" i="19"/>
  <c r="K42" i="19"/>
  <c r="K45" i="19"/>
  <c r="K46" i="19"/>
  <c r="K44" i="19"/>
  <c r="E25" i="19"/>
  <c r="K14" i="19"/>
  <c r="E26" i="19"/>
  <c r="E37" i="19"/>
  <c r="E40" i="19"/>
  <c r="E39" i="19"/>
  <c r="E29" i="19"/>
  <c r="E43" i="19"/>
  <c r="E46" i="19"/>
  <c r="G9" i="19"/>
  <c r="G29" i="19"/>
  <c r="G46" i="19"/>
  <c r="G12" i="19"/>
  <c r="G30" i="19"/>
  <c r="G19" i="19"/>
  <c r="G47" i="19"/>
  <c r="G18" i="19"/>
  <c r="G33" i="19"/>
  <c r="G60" i="19"/>
  <c r="G66" i="19"/>
  <c r="G54" i="19"/>
  <c r="G10" i="19"/>
  <c r="G13" i="19"/>
  <c r="G44" i="19"/>
  <c r="G31" i="19"/>
  <c r="G49" i="19"/>
  <c r="G8" i="19"/>
  <c r="G58" i="19"/>
  <c r="G70" i="19"/>
  <c r="G52" i="19"/>
  <c r="G64" i="19"/>
  <c r="G53" i="19"/>
  <c r="G59" i="19"/>
  <c r="G65" i="19"/>
  <c r="G11" i="19"/>
  <c r="G36" i="19"/>
  <c r="G39" i="19"/>
  <c r="G48" i="19"/>
  <c r="G28" i="19"/>
  <c r="G43" i="19"/>
  <c r="G35" i="19"/>
  <c r="G21" i="19"/>
  <c r="G15" i="19"/>
  <c r="G27" i="19"/>
  <c r="G45" i="19"/>
  <c r="G20" i="19"/>
  <c r="G16" i="19"/>
  <c r="G37" i="19"/>
  <c r="G55" i="19"/>
  <c r="G67" i="19"/>
  <c r="G40" i="19"/>
  <c r="G61" i="19"/>
  <c r="G25" i="19"/>
  <c r="G32" i="19"/>
  <c r="G50" i="19"/>
  <c r="G56" i="19"/>
  <c r="G62" i="19"/>
  <c r="G68" i="19"/>
  <c r="G14" i="19"/>
  <c r="G38" i="19"/>
  <c r="G41" i="19"/>
  <c r="G51" i="19"/>
  <c r="G57" i="19"/>
  <c r="G63" i="19"/>
  <c r="G69" i="19"/>
  <c r="G23" i="19"/>
  <c r="M31" i="19"/>
  <c r="M22" i="19"/>
  <c r="M69" i="19"/>
  <c r="M25" i="19"/>
  <c r="M33" i="19"/>
  <c r="M9" i="19"/>
  <c r="M18" i="19"/>
  <c r="M44" i="19"/>
  <c r="M24" i="19"/>
  <c r="M48" i="19"/>
  <c r="M37" i="19"/>
  <c r="M39" i="19"/>
  <c r="M52" i="19"/>
  <c r="M58" i="19"/>
  <c r="M64" i="19"/>
  <c r="M70" i="19"/>
  <c r="M54" i="19"/>
  <c r="M60" i="19"/>
  <c r="M66" i="19"/>
  <c r="M34" i="19"/>
  <c r="M29" i="19"/>
  <c r="M27" i="19"/>
  <c r="M41" i="19"/>
  <c r="M45" i="19"/>
  <c r="M49" i="19"/>
  <c r="M42" i="19"/>
  <c r="M19" i="19"/>
  <c r="M32" i="19"/>
  <c r="M15" i="19"/>
  <c r="M16" i="19"/>
  <c r="M36" i="19"/>
  <c r="M51" i="19"/>
  <c r="M57" i="19"/>
  <c r="M63" i="19"/>
  <c r="M13" i="19"/>
  <c r="M23" i="19"/>
  <c r="M14" i="19"/>
  <c r="M28" i="19"/>
  <c r="M40" i="19"/>
  <c r="M55" i="19"/>
  <c r="M61" i="19"/>
  <c r="M67" i="19"/>
  <c r="M26" i="19"/>
  <c r="M38" i="19"/>
  <c r="M17" i="19"/>
  <c r="M43" i="19"/>
  <c r="M68" i="19"/>
  <c r="M11" i="19"/>
  <c r="M46" i="19"/>
  <c r="M21" i="19"/>
  <c r="M8" i="19"/>
  <c r="M10" i="19"/>
  <c r="M12" i="19"/>
  <c r="G22" i="19"/>
  <c r="G24" i="19"/>
  <c r="G26" i="19"/>
  <c r="M35" i="19"/>
  <c r="M47" i="19"/>
  <c r="M20" i="19"/>
  <c r="G34" i="19"/>
  <c r="M50" i="19"/>
  <c r="M53" i="19"/>
  <c r="M56" i="19"/>
  <c r="M59" i="19"/>
  <c r="M62" i="19"/>
  <c r="M65" i="19"/>
  <c r="G17" i="19"/>
  <c r="M30" i="19"/>
  <c r="G42" i="19"/>
  <c r="E16" i="19"/>
  <c r="E23" i="19"/>
  <c r="E24" i="19"/>
  <c r="K13" i="19"/>
  <c r="K15" i="19"/>
  <c r="K29" i="19"/>
  <c r="K41" i="19"/>
  <c r="K24" i="19"/>
  <c r="K36" i="19"/>
  <c r="K39" i="19"/>
  <c r="K12" i="19"/>
  <c r="K20" i="19"/>
  <c r="K34" i="19"/>
  <c r="E12" i="19"/>
  <c r="K17" i="19"/>
  <c r="K31" i="19"/>
  <c r="K43" i="19"/>
  <c r="E22" i="19"/>
  <c r="K26" i="19"/>
  <c r="K11" i="19"/>
  <c r="E15" i="19"/>
  <c r="R24" i="19" l="1" a="1"/>
  <c r="R24" i="19" s="1"/>
  <c r="AF17" i="19" s="1"/>
  <c r="R23" i="19" a="1"/>
  <c r="R23" i="19" s="1"/>
  <c r="R13" i="19" a="1"/>
  <c r="R13" i="19" s="1"/>
  <c r="AF7" i="19" s="1"/>
  <c r="R12" i="19" a="1"/>
  <c r="R12" i="19" s="1"/>
  <c r="N26" i="12"/>
  <c r="N14" i="12"/>
  <c r="J49" i="12" l="1"/>
  <c r="J50" i="12"/>
  <c r="K50" i="12"/>
  <c r="R25" i="19"/>
  <c r="R26" i="19" s="1"/>
  <c r="R14" i="19"/>
  <c r="R15" i="19" s="1"/>
  <c r="K33" i="12"/>
  <c r="K36" i="12"/>
  <c r="K35" i="12"/>
  <c r="K38" i="12"/>
  <c r="K17" i="12"/>
  <c r="K20" i="12"/>
  <c r="J21" i="12"/>
  <c r="K39" i="12"/>
  <c r="J15" i="12"/>
  <c r="K34" i="12"/>
  <c r="K42" i="12"/>
  <c r="J26" i="12"/>
  <c r="K37" i="12"/>
  <c r="J14" i="12"/>
  <c r="K43" i="12"/>
  <c r="K26" i="12"/>
  <c r="J25" i="12"/>
  <c r="K12" i="12"/>
  <c r="J29" i="12"/>
  <c r="K14" i="12"/>
  <c r="K23" i="12"/>
  <c r="J32" i="12"/>
  <c r="J34" i="12"/>
  <c r="J35" i="12"/>
  <c r="J37" i="12"/>
  <c r="J39" i="12"/>
  <c r="K21" i="12"/>
  <c r="J40" i="12"/>
  <c r="J16" i="12"/>
  <c r="K29" i="12"/>
  <c r="J43" i="12"/>
  <c r="K30" i="12"/>
  <c r="K32" i="12"/>
  <c r="J46" i="12"/>
  <c r="K46" i="12"/>
  <c r="J41" i="12"/>
  <c r="J7" i="12"/>
  <c r="K41" i="12"/>
  <c r="J11" i="12"/>
  <c r="K28" i="12"/>
  <c r="J9" i="12"/>
  <c r="J38" i="12"/>
  <c r="K25" i="12"/>
  <c r="J30" i="12"/>
  <c r="K44" i="12"/>
  <c r="K24" i="12"/>
  <c r="K11" i="12"/>
  <c r="K47" i="12"/>
  <c r="K16" i="12"/>
  <c r="J8" i="12"/>
  <c r="J47" i="12"/>
  <c r="J33" i="12"/>
  <c r="J20" i="12"/>
  <c r="K31" i="12"/>
  <c r="J12" i="12"/>
  <c r="K49" i="12"/>
  <c r="K19" i="12"/>
  <c r="J10" i="12"/>
  <c r="K8" i="12"/>
  <c r="J45" i="12"/>
  <c r="J24" i="12"/>
  <c r="K40" i="12"/>
  <c r="J23" i="12"/>
  <c r="J48" i="12"/>
  <c r="K45" i="12"/>
  <c r="J42" i="12"/>
  <c r="J19" i="12"/>
  <c r="J13" i="12"/>
  <c r="J44" i="12"/>
  <c r="J17" i="12"/>
  <c r="J22" i="12"/>
  <c r="K15" i="12"/>
  <c r="K10" i="12"/>
  <c r="K22" i="12"/>
  <c r="J28" i="12"/>
  <c r="J27" i="12"/>
  <c r="K7" i="12"/>
  <c r="K48" i="12"/>
  <c r="K27" i="12"/>
  <c r="J18" i="12"/>
  <c r="K18" i="12"/>
  <c r="J36" i="12"/>
  <c r="J31" i="12"/>
  <c r="K13" i="12"/>
  <c r="K9" i="12"/>
  <c r="N15" i="12"/>
  <c r="O50" i="19" l="1"/>
  <c r="N50" i="19"/>
  <c r="I49" i="19"/>
  <c r="H50" i="19"/>
  <c r="I50" i="19"/>
  <c r="G50" i="12"/>
  <c r="F50" i="12"/>
  <c r="H49" i="19"/>
  <c r="H48" i="19"/>
  <c r="I48" i="19"/>
  <c r="I35" i="19"/>
  <c r="H47" i="19"/>
  <c r="H36" i="19"/>
  <c r="H8" i="19"/>
  <c r="I10" i="19"/>
  <c r="H13" i="19"/>
  <c r="H21" i="19"/>
  <c r="H9" i="19"/>
  <c r="H44" i="19"/>
  <c r="H43" i="19"/>
  <c r="I11" i="19"/>
  <c r="H15" i="19"/>
  <c r="I20" i="19"/>
  <c r="H20" i="19"/>
  <c r="H29" i="19"/>
  <c r="I38" i="19"/>
  <c r="H39" i="19"/>
  <c r="H27" i="19"/>
  <c r="H28" i="19"/>
  <c r="H14" i="19"/>
  <c r="I15" i="19"/>
  <c r="I34" i="19"/>
  <c r="I47" i="19"/>
  <c r="H10" i="19"/>
  <c r="I24" i="19"/>
  <c r="I41" i="19"/>
  <c r="H7" i="19"/>
  <c r="H38" i="19"/>
  <c r="H17" i="19"/>
  <c r="I44" i="19"/>
  <c r="H33" i="19"/>
  <c r="I29" i="19"/>
  <c r="H16" i="19"/>
  <c r="I32" i="19"/>
  <c r="I22" i="19"/>
  <c r="H37" i="19"/>
  <c r="I39" i="19"/>
  <c r="H31" i="19"/>
  <c r="H46" i="19"/>
  <c r="I25" i="19"/>
  <c r="I37" i="19"/>
  <c r="H11" i="19"/>
  <c r="H32" i="19"/>
  <c r="I27" i="19"/>
  <c r="I43" i="19"/>
  <c r="I7" i="19"/>
  <c r="I31" i="19"/>
  <c r="I23" i="19"/>
  <c r="H18" i="19"/>
  <c r="I36" i="19"/>
  <c r="I46" i="19"/>
  <c r="H30" i="19"/>
  <c r="H25" i="19"/>
  <c r="I8" i="19"/>
  <c r="H41" i="19"/>
  <c r="I17" i="19"/>
  <c r="I40" i="19"/>
  <c r="I26" i="19"/>
  <c r="H35" i="19"/>
  <c r="I42" i="19"/>
  <c r="H23" i="19"/>
  <c r="I19" i="19"/>
  <c r="H26" i="19"/>
  <c r="I28" i="19"/>
  <c r="I13" i="19"/>
  <c r="I9" i="19"/>
  <c r="H22" i="19"/>
  <c r="I30" i="19"/>
  <c r="H24" i="19"/>
  <c r="H34" i="19"/>
  <c r="I12" i="19"/>
  <c r="H12" i="19"/>
  <c r="H40" i="19"/>
  <c r="I45" i="19"/>
  <c r="H42" i="19"/>
  <c r="H19" i="19"/>
  <c r="H45" i="19"/>
  <c r="I21" i="19"/>
  <c r="I14" i="19"/>
  <c r="I33" i="19"/>
  <c r="I16" i="19"/>
  <c r="I18" i="19"/>
  <c r="O49" i="19"/>
  <c r="N48" i="19"/>
  <c r="O48" i="19"/>
  <c r="N49" i="19"/>
  <c r="G47" i="12"/>
  <c r="G48" i="12"/>
  <c r="F47" i="12"/>
  <c r="F48" i="12"/>
  <c r="F49" i="12"/>
  <c r="G49" i="12"/>
  <c r="O29" i="19"/>
  <c r="N23" i="19"/>
  <c r="N33" i="19"/>
  <c r="N32" i="19"/>
  <c r="O14" i="19"/>
  <c r="N12" i="19"/>
  <c r="N20" i="19"/>
  <c r="N16" i="19"/>
  <c r="O37" i="19"/>
  <c r="O7" i="19"/>
  <c r="N42" i="19"/>
  <c r="N30" i="19"/>
  <c r="N26" i="19"/>
  <c r="N29" i="19"/>
  <c r="N17" i="19"/>
  <c r="O47" i="19"/>
  <c r="O9" i="19"/>
  <c r="N40" i="19"/>
  <c r="N13" i="19"/>
  <c r="O46" i="19"/>
  <c r="O11" i="19"/>
  <c r="N39" i="19"/>
  <c r="O24" i="19"/>
  <c r="O45" i="19"/>
  <c r="O33" i="19"/>
  <c r="N38" i="19"/>
  <c r="N25" i="19"/>
  <c r="O19" i="19"/>
  <c r="O30" i="19"/>
  <c r="O13" i="19"/>
  <c r="O18" i="19"/>
  <c r="N34" i="19"/>
  <c r="O10" i="19"/>
  <c r="O40" i="19"/>
  <c r="N8" i="19"/>
  <c r="N19" i="19"/>
  <c r="N15" i="19"/>
  <c r="O12" i="19"/>
  <c r="O23" i="19"/>
  <c r="N31" i="19"/>
  <c r="N18" i="19"/>
  <c r="O15" i="19"/>
  <c r="O36" i="19"/>
  <c r="N7" i="19"/>
  <c r="N41" i="19"/>
  <c r="O25" i="19"/>
  <c r="O35" i="19"/>
  <c r="N28" i="19"/>
  <c r="O16" i="19"/>
  <c r="O34" i="19"/>
  <c r="O27" i="19"/>
  <c r="N22" i="19"/>
  <c r="N10" i="19"/>
  <c r="N14" i="19"/>
  <c r="N35" i="19"/>
  <c r="O28" i="19"/>
  <c r="O22" i="19"/>
  <c r="O39" i="19"/>
  <c r="O38" i="19"/>
  <c r="N46" i="19"/>
  <c r="O17" i="19"/>
  <c r="N45" i="19"/>
  <c r="N44" i="19"/>
  <c r="N21" i="19"/>
  <c r="N43" i="19"/>
  <c r="O21" i="19"/>
  <c r="O44" i="19"/>
  <c r="O32" i="19"/>
  <c r="N37" i="19"/>
  <c r="N27" i="19"/>
  <c r="N9" i="19"/>
  <c r="O20" i="19"/>
  <c r="O43" i="19"/>
  <c r="O31" i="19"/>
  <c r="N36" i="19"/>
  <c r="O26" i="19"/>
  <c r="N24" i="19"/>
  <c r="O42" i="19"/>
  <c r="N47" i="19"/>
  <c r="N11" i="19"/>
  <c r="O41" i="19"/>
  <c r="O8" i="19"/>
  <c r="F26" i="12"/>
  <c r="F15" i="12"/>
  <c r="G22" i="12"/>
  <c r="G42" i="12"/>
  <c r="G30" i="12"/>
  <c r="G27" i="12"/>
  <c r="F11" i="12"/>
  <c r="F38" i="12"/>
  <c r="F21" i="12"/>
  <c r="G11" i="12"/>
  <c r="G45" i="12"/>
  <c r="G36" i="12"/>
  <c r="F22" i="12"/>
  <c r="G19" i="12"/>
  <c r="F29" i="12"/>
  <c r="G39" i="12"/>
  <c r="G33" i="12"/>
  <c r="G16" i="12"/>
  <c r="F45" i="12"/>
  <c r="F42" i="12"/>
  <c r="F39" i="12"/>
  <c r="F36" i="12"/>
  <c r="F33" i="12"/>
  <c r="F30" i="12"/>
  <c r="F27" i="12"/>
  <c r="F19" i="12"/>
  <c r="F16" i="12"/>
  <c r="G9" i="12"/>
  <c r="G7" i="12"/>
  <c r="G23" i="12"/>
  <c r="G12" i="12"/>
  <c r="F9" i="12"/>
  <c r="F7" i="12"/>
  <c r="F23" i="12"/>
  <c r="F12" i="12"/>
  <c r="G25" i="12"/>
  <c r="G14" i="12"/>
  <c r="G15" i="12"/>
  <c r="G8" i="12"/>
  <c r="G46" i="12"/>
  <c r="G43" i="12"/>
  <c r="G40" i="12"/>
  <c r="G37" i="12"/>
  <c r="G34" i="12"/>
  <c r="G31" i="12"/>
  <c r="G28" i="12"/>
  <c r="G24" i="12"/>
  <c r="G20" i="12"/>
  <c r="G17" i="12"/>
  <c r="G13" i="12"/>
  <c r="F46" i="12"/>
  <c r="F43" i="12"/>
  <c r="F40" i="12"/>
  <c r="F37" i="12"/>
  <c r="F34" i="12"/>
  <c r="F31" i="12"/>
  <c r="F28" i="12"/>
  <c r="F24" i="12"/>
  <c r="F20" i="12"/>
  <c r="F17" i="12"/>
  <c r="F13" i="12"/>
  <c r="F14" i="12"/>
  <c r="F41" i="12"/>
  <c r="F32" i="12"/>
  <c r="G26" i="12"/>
  <c r="F18" i="12"/>
  <c r="G10" i="12"/>
  <c r="F35" i="12"/>
  <c r="F25" i="12"/>
  <c r="G44" i="12"/>
  <c r="G41" i="12"/>
  <c r="G38" i="12"/>
  <c r="G35" i="12"/>
  <c r="G32" i="12"/>
  <c r="G29" i="12"/>
  <c r="G21" i="12"/>
  <c r="G18" i="12"/>
  <c r="F10" i="12"/>
  <c r="F8" i="12"/>
  <c r="F44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tc={72AF2297-8B28-419B-B702-DE9C5B9C6056}</author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72AF2297-8B28-419B-B702-DE9C5B9C605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7" authorId="2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6" authorId="5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tc={6ABD3661-8066-4E44-BA0D-35D35302F623}</author>
    <author>tc={6F280F21-F37E-4D54-8202-F02FF9F60413}</author>
    <author>tc={8C2E90DC-6FBB-4F6F-A491-7F04B14E3003}</author>
    <author>tc={165FF3CB-B6DD-4A5B-BEAB-465BE46910E5}</author>
    <author>tc={7F2EC179-DDA6-4C29-9AE2-3E7B978CA4FE}</author>
    <author>tc={330B5948-4F91-4530-8246-D8E052E48EC7}</author>
    <author>tc={B00751F2-9E53-4B46-A4E1-C852EDF26698}</author>
    <author>tc={F0A6F119-92D4-458E-9366-D89100014E7A}</author>
  </authors>
  <commentList>
    <comment ref="B7" authorId="0" shapeId="0" xr:uid="{6ABD3661-8066-4E44-BA0D-35D35302F62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6F280F21-F37E-4D54-8202-F02FF9F6041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7" authorId="2" shapeId="0" xr:uid="{8C2E90DC-6FBB-4F6F-A491-7F04B14E300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165FF3CB-B6DD-4A5B-BEAB-465BE46910E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7F2EC179-DDA6-4C29-9AE2-3E7B978CA4F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6" authorId="5" shapeId="0" xr:uid="{330B5948-4F91-4530-8246-D8E052E48EC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B00751F2-9E53-4B46-A4E1-C852EDF266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F0A6F119-92D4-458E-9366-D89100014E7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386DEF9B-B6EF-473E-B763-5372677BF1D3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0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1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<sst xmlns="http://schemas.openxmlformats.org/spreadsheetml/2006/main" count="221" uniqueCount="74">
  <si>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</si>
  <si>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</si>
  <si>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</si>
  <si>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</si>
  <si>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</si>
  <si>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</si>
  <si>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</si>
  <si>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</si>
  <si>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</si>
  <si>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</si>
  <si>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</si>
  <si>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</si>
  <si>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</si>
  <si>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</si>
  <si>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</si>
  <si>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</si>
  <si>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</si>
  <si>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</si>
  <si>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</si>
  <si>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</si>
  <si>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</si>
  <si>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</si>
  <si>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</si>
  <si>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</si>
  <si>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</si>
  <si>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</si>
  <si>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</si>
  <si>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</si>
  <si>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</si>
  <si>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</si>
  <si>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</si>
  <si>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</si>
  <si>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</si>
  <si>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</si>
  <si>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</si>
  <si>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</si>
  <si>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</si>
  <si>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</si>
  <si>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</si>
  <si>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</si>
  <si>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</si>
  <si>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</si>
  <si>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</si>
  <si>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</si>
  <si>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</si>
  <si>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</si>
  <si>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</si>
  <si>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Confirmed fit</t>
  </si>
  <si>
    <t>C. Upper CI</t>
  </si>
  <si>
    <t>C. Lower CI</t>
  </si>
  <si>
    <t>Confirmed</t>
  </si>
  <si>
    <t>pd-IT-0009</t>
  </si>
  <si>
    <t>pd-EN-0009</t>
  </si>
  <si>
    <t>Deaths</t>
  </si>
  <si>
    <t>Deaths fit</t>
  </si>
  <si>
    <t>saturation value - constraint (integer)</t>
  </si>
  <si>
    <t>crossover point - constraint (integer)</t>
  </si>
  <si>
    <t>Solver method: GRG non linear engine - option: integer optimization 0%</t>
  </si>
  <si>
    <t>width of crossover region - constraint (none)</t>
  </si>
  <si>
    <t>Cum_fit</t>
  </si>
  <si>
    <t>New_fit</t>
  </si>
  <si>
    <t>Cum_deaths</t>
  </si>
  <si>
    <t>New deaths</t>
  </si>
  <si>
    <t>Cum_D_fit</t>
  </si>
  <si>
    <t>New_D_fit</t>
  </si>
  <si>
    <t>ND_Upper CI</t>
  </si>
  <si>
    <t>ND_Lower CI</t>
  </si>
  <si>
    <t>D. Upper CI</t>
  </si>
  <si>
    <t>D. Lower CI</t>
  </si>
  <si>
    <t>totale_positivi</t>
  </si>
  <si>
    <t>variazione_totale_positivi</t>
  </si>
  <si>
    <t>nuovi_positivi</t>
  </si>
  <si>
    <t>Peak value</t>
  </si>
  <si>
    <t>SOLVER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</si>
</sst>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4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5" fontId="0" fillId="2" borderId="0" xfId="0" applyNumberFormat="1" applyFill="1"/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1" fillId="0" borderId="0" xfId="0" applyFont="1" applyFill="1"/>
    <xf numFmtId="0" fontId="10" fillId="0" borderId="0" xfId="0" applyFont="1" applyFill="1"/>
    <xf numFmtId="1" fontId="11" fillId="0" borderId="0" xfId="0" applyNumberFormat="1" applyFont="1"/>
    <xf numFmtId="1" fontId="10" fillId="0" borderId="0" xfId="0" applyNumberFormat="1" applyFont="1"/>
    <xf numFmtId="0" fontId="11" fillId="0" borderId="0" xfId="0" applyFont="1" applyAlignment="1">
      <alignment horizontal="center" wrapText="1"/>
    </xf>
    <xf numFmtId="0" fontId="0" fillId="0" borderId="2" xfId="0" applyBorder="1" applyAlignment="1">
      <alignment wrapText="1"/>
    </xf>
    <xf numFmtId="164" fontId="12" fillId="0" borderId="3" xfId="0" applyNumberFormat="1" applyFont="1" applyBorder="1"/>
    <xf numFmtId="0" fontId="12" fillId="0" borderId="3" xfId="0" applyFont="1" applyBorder="1"/>
    <xf numFmtId="0" fontId="0" fillId="0" borderId="3" xfId="0" applyBorder="1"/>
    <xf numFmtId="0" fontId="0" fillId="0" borderId="4" xfId="0" applyBorder="1"/>
    <xf numFmtId="164" fontId="1" fillId="0" borderId="3" xfId="0" applyNumberFormat="1" applyFont="1" applyBorder="1"/>
    <xf numFmtId="0" fontId="1" fillId="0" borderId="3" xfId="0" applyFont="1" applyBorder="1"/>
    <xf numFmtId="0" fontId="0" fillId="0" borderId="6" xfId="0" applyBorder="1"/>
    <xf numFmtId="0" fontId="1" fillId="0" borderId="7" xfId="0" applyFont="1" applyBorder="1"/>
    <xf numFmtId="0" fontId="12" fillId="0" borderId="5" xfId="0" applyFont="1" applyBorder="1"/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/>
              <a:t>Cumulative Cases and Deaths - Boltzmann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Boltzmann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fit'!$D$7:$D$70</c:f>
              <c:numCache>
                <c:formatCode>0</c:formatCode>
                <c:ptCount val="64"/>
                <c:pt idx="0">
                  <c:v>3</c:v>
                </c:pt>
                <c:pt idx="1">
                  <c:v>20</c:v>
                </c:pt>
                <c:pt idx="2">
                  <c:v>62</c:v>
                </c:pt>
                <c:pt idx="3">
                  <c:v>155</c:v>
                </c:pt>
                <c:pt idx="4">
                  <c:v>229</c:v>
                </c:pt>
                <c:pt idx="5">
                  <c:v>322</c:v>
                </c:pt>
                <c:pt idx="6">
                  <c:v>400</c:v>
                </c:pt>
                <c:pt idx="7">
                  <c:v>650</c:v>
                </c:pt>
                <c:pt idx="8">
                  <c:v>888</c:v>
                </c:pt>
                <c:pt idx="9">
                  <c:v>1128</c:v>
                </c:pt>
                <c:pt idx="10">
                  <c:v>1694</c:v>
                </c:pt>
                <c:pt idx="11">
                  <c:v>2036</c:v>
                </c:pt>
                <c:pt idx="12">
                  <c:v>2502</c:v>
                </c:pt>
                <c:pt idx="13">
                  <c:v>3089</c:v>
                </c:pt>
                <c:pt idx="14">
                  <c:v>3858</c:v>
                </c:pt>
                <c:pt idx="15">
                  <c:v>4636</c:v>
                </c:pt>
                <c:pt idx="16">
                  <c:v>5883</c:v>
                </c:pt>
                <c:pt idx="17">
                  <c:v>7375</c:v>
                </c:pt>
                <c:pt idx="18">
                  <c:v>9172</c:v>
                </c:pt>
                <c:pt idx="19">
                  <c:v>10149</c:v>
                </c:pt>
                <c:pt idx="20">
                  <c:v>12462</c:v>
                </c:pt>
                <c:pt idx="21">
                  <c:v>15113</c:v>
                </c:pt>
                <c:pt idx="22">
                  <c:v>17660</c:v>
                </c:pt>
                <c:pt idx="23">
                  <c:v>21157</c:v>
                </c:pt>
                <c:pt idx="24">
                  <c:v>24747</c:v>
                </c:pt>
                <c:pt idx="25">
                  <c:v>27980</c:v>
                </c:pt>
                <c:pt idx="26">
                  <c:v>31506</c:v>
                </c:pt>
                <c:pt idx="27">
                  <c:v>35713</c:v>
                </c:pt>
                <c:pt idx="28">
                  <c:v>41035</c:v>
                </c:pt>
                <c:pt idx="29">
                  <c:v>47021</c:v>
                </c:pt>
                <c:pt idx="30">
                  <c:v>53578</c:v>
                </c:pt>
                <c:pt idx="31">
                  <c:v>59138</c:v>
                </c:pt>
                <c:pt idx="32">
                  <c:v>63927</c:v>
                </c:pt>
                <c:pt idx="33">
                  <c:v>69176</c:v>
                </c:pt>
                <c:pt idx="34">
                  <c:v>74386</c:v>
                </c:pt>
                <c:pt idx="35">
                  <c:v>80539</c:v>
                </c:pt>
                <c:pt idx="36">
                  <c:v>86498</c:v>
                </c:pt>
                <c:pt idx="37">
                  <c:v>92472</c:v>
                </c:pt>
                <c:pt idx="38">
                  <c:v>97689</c:v>
                </c:pt>
                <c:pt idx="39">
                  <c:v>101739</c:v>
                </c:pt>
                <c:pt idx="40">
                  <c:v>105792</c:v>
                </c:pt>
                <c:pt idx="41">
                  <c:v>110574</c:v>
                </c:pt>
                <c:pt idx="42">
                  <c:v>115242</c:v>
                </c:pt>
                <c:pt idx="43">
                  <c:v>119827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'Cumul_confirmed - Boltzmann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fit'!$E$7:$E$70</c:f>
              <c:numCache>
                <c:formatCode>0</c:formatCode>
                <c:ptCount val="64"/>
                <c:pt idx="0">
                  <c:v>196.1404386463235</c:v>
                </c:pt>
                <c:pt idx="1">
                  <c:v>241.14143506449847</c:v>
                </c:pt>
                <c:pt idx="2">
                  <c:v>296.44157646855956</c:v>
                </c:pt>
                <c:pt idx="3">
                  <c:v>364.38492403586565</c:v>
                </c:pt>
                <c:pt idx="4">
                  <c:v>447.84238318974769</c:v>
                </c:pt>
                <c:pt idx="5">
                  <c:v>550.32672074696438</c:v>
                </c:pt>
                <c:pt idx="6">
                  <c:v>676.13095737869071</c:v>
                </c:pt>
                <c:pt idx="7">
                  <c:v>830.49398921499687</c:v>
                </c:pt>
                <c:pt idx="8">
                  <c:v>1019.7974428769476</c:v>
                </c:pt>
                <c:pt idx="9">
                  <c:v>1251.7976125241332</c:v>
                </c:pt>
                <c:pt idx="10">
                  <c:v>1535.8956502385336</c:v>
                </c:pt>
                <c:pt idx="11">
                  <c:v>1883.4476664449551</c:v>
                </c:pt>
                <c:pt idx="12">
                  <c:v>2308.1135976295081</c:v>
                </c:pt>
                <c:pt idx="13">
                  <c:v>2826.2390049471251</c:v>
                </c:pt>
                <c:pt idx="14">
                  <c:v>3457.256590779476</c:v>
                </c:pt>
                <c:pt idx="15">
                  <c:v>4224.083212484411</c:v>
                </c:pt>
                <c:pt idx="16">
                  <c:v>5153.4725231486491</c:v>
                </c:pt>
                <c:pt idx="17">
                  <c:v>6276.2622487901817</c:v>
                </c:pt>
                <c:pt idx="18">
                  <c:v>7627.4283522129608</c:v>
                </c:pt>
                <c:pt idx="19">
                  <c:v>9245.827250893326</c:v>
                </c:pt>
                <c:pt idx="20">
                  <c:v>11173.475875825534</c:v>
                </c:pt>
                <c:pt idx="21">
                  <c:v>13454.195957932339</c:v>
                </c:pt>
                <c:pt idx="22">
                  <c:v>16131.447443741828</c:v>
                </c:pt>
                <c:pt idx="23">
                  <c:v>19245.216173755118</c:v>
                </c:pt>
                <c:pt idx="24">
                  <c:v>22827.925768558718</c:v>
                </c:pt>
                <c:pt idx="25">
                  <c:v>26899.530969010262</c:v>
                </c:pt>
                <c:pt idx="26">
                  <c:v>31462.218052562432</c:v>
                </c:pt>
                <c:pt idx="27">
                  <c:v>36495.448600197466</c:v>
                </c:pt>
                <c:pt idx="28">
                  <c:v>41952.347306091011</c:v>
                </c:pt>
                <c:pt idx="29">
                  <c:v>47758.523600270462</c:v>
                </c:pt>
                <c:pt idx="30">
                  <c:v>53814.205053371821</c:v>
                </c:pt>
                <c:pt idx="31">
                  <c:v>60000</c:v>
                </c:pt>
                <c:pt idx="32">
                  <c:v>66185.794946628172</c:v>
                </c:pt>
                <c:pt idx="33">
                  <c:v>72241.476399729538</c:v>
                </c:pt>
                <c:pt idx="34">
                  <c:v>78047.652693908982</c:v>
                </c:pt>
                <c:pt idx="35">
                  <c:v>83504.551399802527</c:v>
                </c:pt>
                <c:pt idx="36">
                  <c:v>88537.781947437572</c:v>
                </c:pt>
                <c:pt idx="37">
                  <c:v>93100.469030989741</c:v>
                </c:pt>
                <c:pt idx="38">
                  <c:v>97172.074231441278</c:v>
                </c:pt>
                <c:pt idx="39">
                  <c:v>100754.78382624488</c:v>
                </c:pt>
                <c:pt idx="40">
                  <c:v>103868.55255625818</c:v>
                </c:pt>
                <c:pt idx="41">
                  <c:v>106545.80404206767</c:v>
                </c:pt>
                <c:pt idx="42">
                  <c:v>108826.52412417447</c:v>
                </c:pt>
                <c:pt idx="43">
                  <c:v>110754.17274910666</c:v>
                </c:pt>
                <c:pt idx="44">
                  <c:v>112372.57164778704</c:v>
                </c:pt>
                <c:pt idx="45">
                  <c:v>113723.7377512098</c:v>
                </c:pt>
                <c:pt idx="46">
                  <c:v>114846.52747685135</c:v>
                </c:pt>
                <c:pt idx="47">
                  <c:v>115775.91678751558</c:v>
                </c:pt>
                <c:pt idx="48">
                  <c:v>116542.74340922052</c:v>
                </c:pt>
                <c:pt idx="49">
                  <c:v>117173.76099505289</c:v>
                </c:pt>
                <c:pt idx="50">
                  <c:v>117691.88640237051</c:v>
                </c:pt>
                <c:pt idx="51">
                  <c:v>118116.55233355504</c:v>
                </c:pt>
                <c:pt idx="52">
                  <c:v>118464.10434976146</c:v>
                </c:pt>
                <c:pt idx="53">
                  <c:v>118748.20238747587</c:v>
                </c:pt>
                <c:pt idx="54">
                  <c:v>118980.20255712303</c:v>
                </c:pt>
                <c:pt idx="55">
                  <c:v>119169.506010785</c:v>
                </c:pt>
                <c:pt idx="56">
                  <c:v>119323.86904262131</c:v>
                </c:pt>
                <c:pt idx="57">
                  <c:v>119449.67327925304</c:v>
                </c:pt>
                <c:pt idx="58">
                  <c:v>119552.15761681026</c:v>
                </c:pt>
                <c:pt idx="59">
                  <c:v>119635.61507596412</c:v>
                </c:pt>
                <c:pt idx="60">
                  <c:v>119703.55842353143</c:v>
                </c:pt>
                <c:pt idx="61">
                  <c:v>119758.85856493549</c:v>
                </c:pt>
                <c:pt idx="62">
                  <c:v>119803.85956135367</c:v>
                </c:pt>
                <c:pt idx="63">
                  <c:v>119840.47381107407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'Cumul_confirmed - Boltzmann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fit'!$F$7:$F$70</c:f>
              <c:numCache>
                <c:formatCode>0</c:formatCode>
                <c:ptCount val="64"/>
                <c:pt idx="0">
                  <c:v>4764.5143657909866</c:v>
                </c:pt>
                <c:pt idx="1">
                  <c:v>4809.5153622091611</c:v>
                </c:pt>
                <c:pt idx="2">
                  <c:v>4864.815503613223</c:v>
                </c:pt>
                <c:pt idx="3">
                  <c:v>4932.7588511805288</c:v>
                </c:pt>
                <c:pt idx="4">
                  <c:v>5016.216310334411</c:v>
                </c:pt>
                <c:pt idx="5">
                  <c:v>5118.7006478916273</c:v>
                </c:pt>
                <c:pt idx="6">
                  <c:v>5244.5048845233541</c:v>
                </c:pt>
                <c:pt idx="7">
                  <c:v>5398.8679163596598</c:v>
                </c:pt>
                <c:pt idx="8">
                  <c:v>5588.1713700216105</c:v>
                </c:pt>
                <c:pt idx="9">
                  <c:v>5820.171539668796</c:v>
                </c:pt>
                <c:pt idx="10">
                  <c:v>6104.2695773831965</c:v>
                </c:pt>
                <c:pt idx="11">
                  <c:v>6451.8215935896178</c:v>
                </c:pt>
                <c:pt idx="12">
                  <c:v>6876.4875247741711</c:v>
                </c:pt>
                <c:pt idx="13">
                  <c:v>7394.612932091788</c:v>
                </c:pt>
                <c:pt idx="14">
                  <c:v>8025.630517924139</c:v>
                </c:pt>
                <c:pt idx="15">
                  <c:v>8792.4571396290739</c:v>
                </c:pt>
                <c:pt idx="16">
                  <c:v>9721.846450293313</c:v>
                </c:pt>
                <c:pt idx="17">
                  <c:v>10844.636175934844</c:v>
                </c:pt>
                <c:pt idx="18">
                  <c:v>12195.802279357624</c:v>
                </c:pt>
                <c:pt idx="19">
                  <c:v>13814.201178037989</c:v>
                </c:pt>
                <c:pt idx="20">
                  <c:v>15741.849802970197</c:v>
                </c:pt>
                <c:pt idx="21">
                  <c:v>18022.569885077002</c:v>
                </c:pt>
                <c:pt idx="22">
                  <c:v>20699.821370886493</c:v>
                </c:pt>
                <c:pt idx="23">
                  <c:v>23813.590100899783</c:v>
                </c:pt>
                <c:pt idx="24">
                  <c:v>27396.299695703383</c:v>
                </c:pt>
                <c:pt idx="25">
                  <c:v>31467.904896154927</c:v>
                </c:pt>
                <c:pt idx="26">
                  <c:v>36030.591979707096</c:v>
                </c:pt>
                <c:pt idx="27">
                  <c:v>41063.822527342127</c:v>
                </c:pt>
                <c:pt idx="28">
                  <c:v>46520.721233235672</c:v>
                </c:pt>
                <c:pt idx="29">
                  <c:v>52326.897527415123</c:v>
                </c:pt>
                <c:pt idx="30">
                  <c:v>58382.578980516482</c:v>
                </c:pt>
                <c:pt idx="31">
                  <c:v>64568.373927144661</c:v>
                </c:pt>
                <c:pt idx="32">
                  <c:v>70754.16887377284</c:v>
                </c:pt>
                <c:pt idx="33">
                  <c:v>76809.850326874206</c:v>
                </c:pt>
                <c:pt idx="34">
                  <c:v>82616.02662105365</c:v>
                </c:pt>
                <c:pt idx="35">
                  <c:v>88072.925326947196</c:v>
                </c:pt>
                <c:pt idx="36">
                  <c:v>93106.15587458224</c:v>
                </c:pt>
                <c:pt idx="37">
                  <c:v>97668.84295813441</c:v>
                </c:pt>
                <c:pt idx="38">
                  <c:v>101740.44815858595</c:v>
                </c:pt>
                <c:pt idx="39">
                  <c:v>105323.15775338955</c:v>
                </c:pt>
                <c:pt idx="40">
                  <c:v>108436.92648340284</c:v>
                </c:pt>
                <c:pt idx="41">
                  <c:v>111114.17796921234</c:v>
                </c:pt>
                <c:pt idx="42">
                  <c:v>113394.89805131913</c:v>
                </c:pt>
                <c:pt idx="43">
                  <c:v>115322.54667625132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'Cumul_confirmed - Boltzmann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fit'!$G$7:$G$70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585.09859600398613</c:v>
                </c:pt>
                <c:pt idx="17">
                  <c:v>1707.8883216455188</c:v>
                </c:pt>
                <c:pt idx="18">
                  <c:v>3059.0544250682979</c:v>
                </c:pt>
                <c:pt idx="19">
                  <c:v>4677.453323748663</c:v>
                </c:pt>
                <c:pt idx="20">
                  <c:v>6605.1019486808709</c:v>
                </c:pt>
                <c:pt idx="21">
                  <c:v>8885.8220307876763</c:v>
                </c:pt>
                <c:pt idx="22">
                  <c:v>11563.073516597166</c:v>
                </c:pt>
                <c:pt idx="23">
                  <c:v>14676.842246610455</c:v>
                </c:pt>
                <c:pt idx="24">
                  <c:v>18259.551841414053</c:v>
                </c:pt>
                <c:pt idx="25">
                  <c:v>22331.157041865597</c:v>
                </c:pt>
                <c:pt idx="26">
                  <c:v>26893.844125417767</c:v>
                </c:pt>
                <c:pt idx="27">
                  <c:v>31927.074673052804</c:v>
                </c:pt>
                <c:pt idx="28">
                  <c:v>37383.97337894635</c:v>
                </c:pt>
                <c:pt idx="29">
                  <c:v>43190.149673125801</c:v>
                </c:pt>
                <c:pt idx="30">
                  <c:v>49245.83112622716</c:v>
                </c:pt>
                <c:pt idx="31">
                  <c:v>55431.626072855339</c:v>
                </c:pt>
                <c:pt idx="32">
                  <c:v>61617.42101948351</c:v>
                </c:pt>
                <c:pt idx="33">
                  <c:v>67673.102472584869</c:v>
                </c:pt>
                <c:pt idx="34">
                  <c:v>73479.278766764313</c:v>
                </c:pt>
                <c:pt idx="35">
                  <c:v>78936.177472657859</c:v>
                </c:pt>
                <c:pt idx="36">
                  <c:v>83969.408020292904</c:v>
                </c:pt>
                <c:pt idx="37">
                  <c:v>88532.095103845073</c:v>
                </c:pt>
                <c:pt idx="38">
                  <c:v>92603.70030429661</c:v>
                </c:pt>
                <c:pt idx="39">
                  <c:v>96186.40989910021</c:v>
                </c:pt>
                <c:pt idx="40">
                  <c:v>99300.178629113507</c:v>
                </c:pt>
                <c:pt idx="41">
                  <c:v>101977.430114923</c:v>
                </c:pt>
                <c:pt idx="42">
                  <c:v>104258.1501970298</c:v>
                </c:pt>
                <c:pt idx="43">
                  <c:v>106185.79882196199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ser>
          <c:idx val="4"/>
          <c:order val="4"/>
          <c:tx>
            <c:strRef>
              <c:f>'Cumul_confirmed - Boltzmann fit'!$H$6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Boltzmann fit'!$H$7:$H$70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 formatCode="0">
                  <c:v>7</c:v>
                </c:pt>
                <c:pt idx="5" formatCode="0">
                  <c:v>10</c:v>
                </c:pt>
                <c:pt idx="6" formatCode="0">
                  <c:v>12</c:v>
                </c:pt>
                <c:pt idx="7" formatCode="0">
                  <c:v>17</c:v>
                </c:pt>
                <c:pt idx="8" formatCode="0">
                  <c:v>21</c:v>
                </c:pt>
                <c:pt idx="9" formatCode="0">
                  <c:v>29</c:v>
                </c:pt>
                <c:pt idx="10" formatCode="0">
                  <c:v>34</c:v>
                </c:pt>
                <c:pt idx="11" formatCode="0">
                  <c:v>52</c:v>
                </c:pt>
                <c:pt idx="12" formatCode="0">
                  <c:v>79</c:v>
                </c:pt>
                <c:pt idx="13" formatCode="0">
                  <c:v>107</c:v>
                </c:pt>
                <c:pt idx="14" formatCode="0">
                  <c:v>148</c:v>
                </c:pt>
                <c:pt idx="15" formatCode="0">
                  <c:v>197</c:v>
                </c:pt>
                <c:pt idx="16" formatCode="0">
                  <c:v>233</c:v>
                </c:pt>
                <c:pt idx="17" formatCode="0">
                  <c:v>366</c:v>
                </c:pt>
                <c:pt idx="18" formatCode="0">
                  <c:v>463</c:v>
                </c:pt>
                <c:pt idx="19" formatCode="0">
                  <c:v>631</c:v>
                </c:pt>
                <c:pt idx="20" formatCode="0">
                  <c:v>827</c:v>
                </c:pt>
                <c:pt idx="21" formatCode="0">
                  <c:v>1016</c:v>
                </c:pt>
                <c:pt idx="22" formatCode="0">
                  <c:v>1266</c:v>
                </c:pt>
                <c:pt idx="23" formatCode="0">
                  <c:v>1441</c:v>
                </c:pt>
                <c:pt idx="24" formatCode="0">
                  <c:v>1809</c:v>
                </c:pt>
                <c:pt idx="25" formatCode="0">
                  <c:v>2158</c:v>
                </c:pt>
                <c:pt idx="26" formatCode="0">
                  <c:v>2503</c:v>
                </c:pt>
                <c:pt idx="27" formatCode="0">
                  <c:v>2978</c:v>
                </c:pt>
                <c:pt idx="28" formatCode="0">
                  <c:v>3405</c:v>
                </c:pt>
                <c:pt idx="29" formatCode="0">
                  <c:v>4032</c:v>
                </c:pt>
                <c:pt idx="30" formatCode="0">
                  <c:v>4825</c:v>
                </c:pt>
                <c:pt idx="31" formatCode="0">
                  <c:v>5476</c:v>
                </c:pt>
                <c:pt idx="32" formatCode="0">
                  <c:v>6077</c:v>
                </c:pt>
                <c:pt idx="33" formatCode="0">
                  <c:v>6820</c:v>
                </c:pt>
                <c:pt idx="34" formatCode="0">
                  <c:v>7503</c:v>
                </c:pt>
                <c:pt idx="35" formatCode="0">
                  <c:v>8165</c:v>
                </c:pt>
                <c:pt idx="36" formatCode="0">
                  <c:v>9134</c:v>
                </c:pt>
                <c:pt idx="37" formatCode="0">
                  <c:v>10023</c:v>
                </c:pt>
                <c:pt idx="38" formatCode="0">
                  <c:v>10779</c:v>
                </c:pt>
                <c:pt idx="39" formatCode="0">
                  <c:v>11591</c:v>
                </c:pt>
                <c:pt idx="40" formatCode="0">
                  <c:v>12428</c:v>
                </c:pt>
                <c:pt idx="41" formatCode="0">
                  <c:v>13155</c:v>
                </c:pt>
                <c:pt idx="42" formatCode="0">
                  <c:v>13915</c:v>
                </c:pt>
                <c:pt idx="43" formatCode="0">
                  <c:v>14681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Boltzmann fit'!$I$6</c:f>
              <c:strCache>
                <c:ptCount val="1"/>
                <c:pt idx="0">
                  <c:v>Deaths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fit'!$I$7:$I$70</c:f>
              <c:numCache>
                <c:formatCode>0</c:formatCode>
                <c:ptCount val="64"/>
                <c:pt idx="0">
                  <c:v>22.769838694630067</c:v>
                </c:pt>
                <c:pt idx="1">
                  <c:v>27.411970021661848</c:v>
                </c:pt>
                <c:pt idx="2">
                  <c:v>32.998794223592022</c:v>
                </c:pt>
                <c:pt idx="3">
                  <c:v>39.721793661345934</c:v>
                </c:pt>
                <c:pt idx="4">
                  <c:v>47.810918931685698</c:v>
                </c:pt>
                <c:pt idx="5">
                  <c:v>57.542162835731276</c:v>
                </c:pt>
                <c:pt idx="6">
                  <c:v>69.246556316780399</c:v>
                </c:pt>
                <c:pt idx="7">
                  <c:v>83.320821956302595</c:v>
                </c:pt>
                <c:pt idx="8">
                  <c:v>100.23994501378637</c:v>
                </c:pt>
                <c:pt idx="9">
                  <c:v>120.57194138596029</c:v>
                </c:pt>
                <c:pt idx="10">
                  <c:v>144.9951112167287</c:v>
                </c:pt>
                <c:pt idx="11">
                  <c:v>174.318058702797</c:v>
                </c:pt>
                <c:pt idx="12">
                  <c:v>209.50272200074963</c:v>
                </c:pt>
                <c:pt idx="13">
                  <c:v>251.69057659866061</c:v>
                </c:pt>
                <c:pt idx="14">
                  <c:v>302.23202976571685</c:v>
                </c:pt>
                <c:pt idx="15">
                  <c:v>362.71878423172933</c:v>
                </c:pt>
                <c:pt idx="16">
                  <c:v>435.0185793014702</c:v>
                </c:pt>
                <c:pt idx="17">
                  <c:v>521.31117196771493</c:v>
                </c:pt>
                <c:pt idx="18">
                  <c:v>624.1236474220849</c:v>
                </c:pt>
                <c:pt idx="19">
                  <c:v>746.3620947616356</c:v>
                </c:pt>
                <c:pt idx="20">
                  <c:v>891.33530748249234</c:v>
                </c:pt>
                <c:pt idx="21">
                  <c:v>1062.7644595976583</c:v>
                </c:pt>
                <c:pt idx="22">
                  <c:v>1264.770724011189</c:v>
                </c:pt>
                <c:pt idx="23">
                  <c:v>1501.8307148794786</c:v>
                </c:pt>
                <c:pt idx="24">
                  <c:v>1778.6878070629693</c:v>
                </c:pt>
                <c:pt idx="25">
                  <c:v>2100.2064194950945</c:v>
                </c:pt>
                <c:pt idx="26">
                  <c:v>2471.1571411044556</c:v>
                </c:pt>
                <c:pt idx="27">
                  <c:v>2895.924275153609</c:v>
                </c:pt>
                <c:pt idx="28">
                  <c:v>3378.1351881986775</c:v>
                </c:pt>
                <c:pt idx="29">
                  <c:v>3920.223621617261</c:v>
                </c:pt>
                <c:pt idx="30">
                  <c:v>4522.9566762856866</c:v>
                </c:pt>
                <c:pt idx="31">
                  <c:v>5184.9755082633001</c:v>
                </c:pt>
                <c:pt idx="32">
                  <c:v>5902.4184691081191</c:v>
                </c:pt>
                <c:pt idx="33">
                  <c:v>6668.7058970927155</c:v>
                </c:pt>
                <c:pt idx="34">
                  <c:v>7474.5607919774411</c:v>
                </c:pt>
                <c:pt idx="35">
                  <c:v>8308.3142849513642</c:v>
                </c:pt>
                <c:pt idx="36">
                  <c:v>9156.5</c:v>
                </c:pt>
                <c:pt idx="37">
                  <c:v>10004.685715048638</c:v>
                </c:pt>
                <c:pt idx="38">
                  <c:v>10838.439208022559</c:v>
                </c:pt>
                <c:pt idx="39">
                  <c:v>11644.294102907283</c:v>
                </c:pt>
                <c:pt idx="40">
                  <c:v>12410.581530891881</c:v>
                </c:pt>
                <c:pt idx="41">
                  <c:v>13128.0244917367</c:v>
                </c:pt>
                <c:pt idx="42">
                  <c:v>13790.043323714312</c:v>
                </c:pt>
                <c:pt idx="43">
                  <c:v>14392.776378382739</c:v>
                </c:pt>
                <c:pt idx="44">
                  <c:v>14934.864811801323</c:v>
                </c:pt>
                <c:pt idx="45">
                  <c:v>15417.075724846392</c:v>
                </c:pt>
                <c:pt idx="46">
                  <c:v>15841.842858895545</c:v>
                </c:pt>
                <c:pt idx="47">
                  <c:v>16212.793580504904</c:v>
                </c:pt>
                <c:pt idx="48">
                  <c:v>16534.312192937028</c:v>
                </c:pt>
                <c:pt idx="49">
                  <c:v>16811.169285120523</c:v>
                </c:pt>
                <c:pt idx="50">
                  <c:v>17048.229275988811</c:v>
                </c:pt>
                <c:pt idx="51">
                  <c:v>17250.23554040234</c:v>
                </c:pt>
                <c:pt idx="52">
                  <c:v>17421.664692517508</c:v>
                </c:pt>
                <c:pt idx="53">
                  <c:v>17566.637905238367</c:v>
                </c:pt>
                <c:pt idx="54">
                  <c:v>17688.876352577914</c:v>
                </c:pt>
                <c:pt idx="55">
                  <c:v>17791.688828032286</c:v>
                </c:pt>
                <c:pt idx="56">
                  <c:v>17877.981420698532</c:v>
                </c:pt>
                <c:pt idx="57">
                  <c:v>17950.281215768271</c:v>
                </c:pt>
                <c:pt idx="58">
                  <c:v>18010.767970234283</c:v>
                </c:pt>
                <c:pt idx="59">
                  <c:v>18061.309423401337</c:v>
                </c:pt>
                <c:pt idx="60">
                  <c:v>18103.497277999249</c:v>
                </c:pt>
                <c:pt idx="61">
                  <c:v>18138.681941297204</c:v>
                </c:pt>
                <c:pt idx="62">
                  <c:v>18168.004888783271</c:v>
                </c:pt>
                <c:pt idx="63">
                  <c:v>18192.428058614038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86-4915-A43B-0A60333EECA0}"/>
            </c:ext>
          </c:extLst>
        </c:ser>
        <c:ser>
          <c:idx val="6"/>
          <c:order val="6"/>
          <c:tx>
            <c:strRef>
              <c:f>'Cumul_confirmed - Boltzmann fit'!$J$6</c:f>
              <c:strCache>
                <c:ptCount val="1"/>
                <c:pt idx="0">
                  <c:v>D.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fit'!$J$7:$J$70</c:f>
              <c:numCache>
                <c:formatCode>0</c:formatCode>
                <c:ptCount val="64"/>
                <c:pt idx="0">
                  <c:v>275.74278702887835</c:v>
                </c:pt>
                <c:pt idx="1">
                  <c:v>280.38491835591014</c:v>
                </c:pt>
                <c:pt idx="2">
                  <c:v>285.97174255784029</c:v>
                </c:pt>
                <c:pt idx="3">
                  <c:v>292.6947419955942</c:v>
                </c:pt>
                <c:pt idx="4">
                  <c:v>300.78386726593396</c:v>
                </c:pt>
                <c:pt idx="5">
                  <c:v>310.51511116997955</c:v>
                </c:pt>
                <c:pt idx="6">
                  <c:v>322.21950465102867</c:v>
                </c:pt>
                <c:pt idx="7">
                  <c:v>336.29377029055087</c:v>
                </c:pt>
                <c:pt idx="8">
                  <c:v>353.21289334803464</c:v>
                </c:pt>
                <c:pt idx="9">
                  <c:v>373.54488972020857</c:v>
                </c:pt>
                <c:pt idx="10">
                  <c:v>397.96805955097699</c:v>
                </c:pt>
                <c:pt idx="11">
                  <c:v>427.29100703704529</c:v>
                </c:pt>
                <c:pt idx="12">
                  <c:v>462.47567033499791</c:v>
                </c:pt>
                <c:pt idx="13">
                  <c:v>504.6635249329089</c:v>
                </c:pt>
                <c:pt idx="14">
                  <c:v>555.20497809996516</c:v>
                </c:pt>
                <c:pt idx="15">
                  <c:v>615.69173256597765</c:v>
                </c:pt>
                <c:pt idx="16">
                  <c:v>687.99152763571851</c:v>
                </c:pt>
                <c:pt idx="17">
                  <c:v>774.28412030196318</c:v>
                </c:pt>
                <c:pt idx="18">
                  <c:v>877.09659575633316</c:v>
                </c:pt>
                <c:pt idx="19">
                  <c:v>999.33504309588386</c:v>
                </c:pt>
                <c:pt idx="20">
                  <c:v>1144.3082558167407</c:v>
                </c:pt>
                <c:pt idx="21">
                  <c:v>1315.7374079319065</c:v>
                </c:pt>
                <c:pt idx="22">
                  <c:v>1517.7436723454373</c:v>
                </c:pt>
                <c:pt idx="23">
                  <c:v>1754.8036632137268</c:v>
                </c:pt>
                <c:pt idx="24">
                  <c:v>2031.6607553972176</c:v>
                </c:pt>
                <c:pt idx="25">
                  <c:v>2353.1793678293429</c:v>
                </c:pt>
                <c:pt idx="26">
                  <c:v>2724.1300894387041</c:v>
                </c:pt>
                <c:pt idx="27">
                  <c:v>3148.8972234878574</c:v>
                </c:pt>
                <c:pt idx="28">
                  <c:v>3631.108136532926</c:v>
                </c:pt>
                <c:pt idx="29">
                  <c:v>4173.1965699515094</c:v>
                </c:pt>
                <c:pt idx="30">
                  <c:v>4775.9296246199347</c:v>
                </c:pt>
                <c:pt idx="31">
                  <c:v>5437.9484565975481</c:v>
                </c:pt>
                <c:pt idx="32">
                  <c:v>6155.3914174423671</c:v>
                </c:pt>
                <c:pt idx="33">
                  <c:v>6921.6788454269636</c:v>
                </c:pt>
                <c:pt idx="34">
                  <c:v>7727.5337403116891</c:v>
                </c:pt>
                <c:pt idx="35">
                  <c:v>8561.2872332856132</c:v>
                </c:pt>
                <c:pt idx="36">
                  <c:v>9409.4729483342489</c:v>
                </c:pt>
                <c:pt idx="37">
                  <c:v>10257.658663382887</c:v>
                </c:pt>
                <c:pt idx="38">
                  <c:v>11091.412156356808</c:v>
                </c:pt>
                <c:pt idx="39">
                  <c:v>11897.267051241532</c:v>
                </c:pt>
                <c:pt idx="40">
                  <c:v>12663.55447922613</c:v>
                </c:pt>
                <c:pt idx="41">
                  <c:v>13380.997440070949</c:v>
                </c:pt>
                <c:pt idx="42">
                  <c:v>14043.01627204856</c:v>
                </c:pt>
                <c:pt idx="43">
                  <c:v>14645.749326716988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86-4915-A43B-0A60333EECA0}"/>
            </c:ext>
          </c:extLst>
        </c:ser>
        <c:ser>
          <c:idx val="7"/>
          <c:order val="7"/>
          <c:tx>
            <c:strRef>
              <c:f>'Cumul_confirmed - Boltzmann fit'!$K$6</c:f>
              <c:strCache>
                <c:ptCount val="1"/>
                <c:pt idx="0">
                  <c:v>D.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fit'!$K$7:$K$70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49.259081431468559</c:v>
                </c:pt>
                <c:pt idx="15">
                  <c:v>109.74583589748104</c:v>
                </c:pt>
                <c:pt idx="16">
                  <c:v>182.04563096722191</c:v>
                </c:pt>
                <c:pt idx="17">
                  <c:v>268.33822363346667</c:v>
                </c:pt>
                <c:pt idx="18">
                  <c:v>371.15069908783664</c:v>
                </c:pt>
                <c:pt idx="19">
                  <c:v>493.38914642738735</c:v>
                </c:pt>
                <c:pt idx="20">
                  <c:v>638.36235914824408</c:v>
                </c:pt>
                <c:pt idx="21">
                  <c:v>809.79151126341003</c:v>
                </c:pt>
                <c:pt idx="22">
                  <c:v>1011.7977756769408</c:v>
                </c:pt>
                <c:pt idx="23">
                  <c:v>1248.8577665452303</c:v>
                </c:pt>
                <c:pt idx="24">
                  <c:v>1525.7148587287211</c:v>
                </c:pt>
                <c:pt idx="25">
                  <c:v>1847.2334711608462</c:v>
                </c:pt>
                <c:pt idx="26">
                  <c:v>2218.1841927702071</c:v>
                </c:pt>
                <c:pt idx="27">
                  <c:v>2642.9513268193605</c:v>
                </c:pt>
                <c:pt idx="28">
                  <c:v>3125.162239864429</c:v>
                </c:pt>
                <c:pt idx="29">
                  <c:v>3667.2506732830125</c:v>
                </c:pt>
                <c:pt idx="30">
                  <c:v>4269.9837279514386</c:v>
                </c:pt>
                <c:pt idx="31">
                  <c:v>4932.002559929052</c:v>
                </c:pt>
                <c:pt idx="32">
                  <c:v>5649.4455207738711</c:v>
                </c:pt>
                <c:pt idx="33">
                  <c:v>6415.7329487584675</c:v>
                </c:pt>
                <c:pt idx="34">
                  <c:v>7221.5878436431931</c:v>
                </c:pt>
                <c:pt idx="35">
                  <c:v>8055.3413366171162</c:v>
                </c:pt>
                <c:pt idx="36">
                  <c:v>8903.5270516657511</c:v>
                </c:pt>
                <c:pt idx="37">
                  <c:v>9751.7127667143886</c:v>
                </c:pt>
                <c:pt idx="38">
                  <c:v>10585.46625968831</c:v>
                </c:pt>
                <c:pt idx="39">
                  <c:v>11391.321154573034</c:v>
                </c:pt>
                <c:pt idx="40">
                  <c:v>12157.608582557632</c:v>
                </c:pt>
                <c:pt idx="41">
                  <c:v>12875.051543402451</c:v>
                </c:pt>
                <c:pt idx="42">
                  <c:v>13537.070375380063</c:v>
                </c:pt>
                <c:pt idx="43">
                  <c:v>14139.803430048491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/>
              <a:t>Daily</a:t>
            </a:r>
            <a:r>
              <a:rPr lang="it-IT" baseline="0"/>
              <a:t> </a:t>
            </a:r>
            <a:r>
              <a:rPr lang="it-IT"/>
              <a:t>New Cases and Deaths - Boltzmann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'New_confirmed - Boltzmann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fit'!$E$7:$E$70</c:f>
              <c:numCache>
                <c:formatCode>0</c:formatCode>
                <c:ptCount val="64"/>
                <c:pt idx="0">
                  <c:v>0</c:v>
                </c:pt>
                <c:pt idx="1">
                  <c:v>17</c:v>
                </c:pt>
                <c:pt idx="2">
                  <c:v>42</c:v>
                </c:pt>
                <c:pt idx="3">
                  <c:v>93</c:v>
                </c:pt>
                <c:pt idx="4">
                  <c:v>74</c:v>
                </c:pt>
                <c:pt idx="5">
                  <c:v>93</c:v>
                </c:pt>
                <c:pt idx="6">
                  <c:v>78</c:v>
                </c:pt>
                <c:pt idx="7">
                  <c:v>250</c:v>
                </c:pt>
                <c:pt idx="8">
                  <c:v>238</c:v>
                </c:pt>
                <c:pt idx="9">
                  <c:v>240</c:v>
                </c:pt>
                <c:pt idx="10">
                  <c:v>566</c:v>
                </c:pt>
                <c:pt idx="11">
                  <c:v>342</c:v>
                </c:pt>
                <c:pt idx="12">
                  <c:v>466</c:v>
                </c:pt>
                <c:pt idx="13">
                  <c:v>587</c:v>
                </c:pt>
                <c:pt idx="14">
                  <c:v>769</c:v>
                </c:pt>
                <c:pt idx="15">
                  <c:v>778</c:v>
                </c:pt>
                <c:pt idx="16">
                  <c:v>1247</c:v>
                </c:pt>
                <c:pt idx="17">
                  <c:v>1492</c:v>
                </c:pt>
                <c:pt idx="18">
                  <c:v>1797</c:v>
                </c:pt>
                <c:pt idx="19">
                  <c:v>977</c:v>
                </c:pt>
                <c:pt idx="20">
                  <c:v>2313</c:v>
                </c:pt>
                <c:pt idx="21">
                  <c:v>2651</c:v>
                </c:pt>
                <c:pt idx="22">
                  <c:v>2547</c:v>
                </c:pt>
                <c:pt idx="23">
                  <c:v>3497</c:v>
                </c:pt>
                <c:pt idx="24">
                  <c:v>3590</c:v>
                </c:pt>
                <c:pt idx="25">
                  <c:v>3233</c:v>
                </c:pt>
                <c:pt idx="26">
                  <c:v>3526</c:v>
                </c:pt>
                <c:pt idx="27">
                  <c:v>4207</c:v>
                </c:pt>
                <c:pt idx="28">
                  <c:v>5322</c:v>
                </c:pt>
                <c:pt idx="29">
                  <c:v>5986</c:v>
                </c:pt>
                <c:pt idx="30">
                  <c:v>6557</c:v>
                </c:pt>
                <c:pt idx="31">
                  <c:v>5560</c:v>
                </c:pt>
                <c:pt idx="32">
                  <c:v>4789</c:v>
                </c:pt>
                <c:pt idx="33">
                  <c:v>5249</c:v>
                </c:pt>
                <c:pt idx="34">
                  <c:v>5210</c:v>
                </c:pt>
                <c:pt idx="35">
                  <c:v>6153</c:v>
                </c:pt>
                <c:pt idx="36">
                  <c:v>5959</c:v>
                </c:pt>
                <c:pt idx="37">
                  <c:v>5974</c:v>
                </c:pt>
                <c:pt idx="38">
                  <c:v>5217</c:v>
                </c:pt>
                <c:pt idx="39">
                  <c:v>4050</c:v>
                </c:pt>
                <c:pt idx="40">
                  <c:v>4053</c:v>
                </c:pt>
                <c:pt idx="41">
                  <c:v>4782</c:v>
                </c:pt>
                <c:pt idx="42">
                  <c:v>4668</c:v>
                </c:pt>
                <c:pt idx="43">
                  <c:v>4585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'New_confirmed - Boltzmann fit'!$G$6</c:f>
              <c:strCache>
                <c:ptCount val="1"/>
                <c:pt idx="0">
                  <c:v>New_fit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fit'!$G$7:$G$70</c:f>
              <c:numCache>
                <c:formatCode>0</c:formatCode>
                <c:ptCount val="64"/>
                <c:pt idx="0">
                  <c:v>0</c:v>
                </c:pt>
                <c:pt idx="1">
                  <c:v>139.69731933824744</c:v>
                </c:pt>
                <c:pt idx="2">
                  <c:v>162.3989855090789</c:v>
                </c:pt>
                <c:pt idx="3">
                  <c:v>188.72865412720489</c:v>
                </c:pt>
                <c:pt idx="4">
                  <c:v>219.24457530896348</c:v>
                </c:pt>
                <c:pt idx="5">
                  <c:v>254.58330456090584</c:v>
                </c:pt>
                <c:pt idx="6">
                  <c:v>295.46797939713883</c:v>
                </c:pt>
                <c:pt idx="7">
                  <c:v>342.71645309789164</c:v>
                </c:pt>
                <c:pt idx="8">
                  <c:v>397.24880364775663</c:v>
                </c:pt>
                <c:pt idx="9">
                  <c:v>460.09353512709504</c:v>
                </c:pt>
                <c:pt idx="10">
                  <c:v>532.39153323301798</c:v>
                </c:pt>
                <c:pt idx="11">
                  <c:v>615.3965196165509</c:v>
                </c:pt>
                <c:pt idx="12">
                  <c:v>710.47036884573845</c:v>
                </c:pt>
                <c:pt idx="13">
                  <c:v>819.07121242054927</c:v>
                </c:pt>
                <c:pt idx="14">
                  <c:v>942.73177519437195</c:v>
                </c:pt>
                <c:pt idx="15">
                  <c:v>1083.0249106672209</c:v>
                </c:pt>
                <c:pt idx="16">
                  <c:v>1241.5128934336135</c:v>
                </c:pt>
                <c:pt idx="17">
                  <c:v>1419.6768016166261</c:v>
                </c:pt>
                <c:pt idx="18">
                  <c:v>1618.822442918874</c:v>
                </c:pt>
                <c:pt idx="19">
                  <c:v>1839.9599650360524</c:v>
                </c:pt>
                <c:pt idx="20">
                  <c:v>2083.6558144622359</c:v>
                </c:pt>
                <c:pt idx="21">
                  <c:v>2349.8583583884829</c:v>
                </c:pt>
                <c:pt idx="22">
                  <c:v>2637.7025131653609</c:v>
                </c:pt>
                <c:pt idx="23">
                  <c:v>2945.3042342929402</c:v>
                </c:pt>
                <c:pt idx="24">
                  <c:v>3269.5625249340155</c:v>
                </c:pt>
                <c:pt idx="25">
                  <c:v>3605.9940460599428</c:v>
                </c:pt>
                <c:pt idx="26">
                  <c:v>3948.632167470998</c:v>
                </c:pt>
                <c:pt idx="27">
                  <c:v>4290.0264244962891</c:v>
                </c:pt>
                <c:pt idx="28">
                  <c:v>4621.3774070219151</c:v>
                </c:pt>
                <c:pt idx="29">
                  <c:v>4932.8337305225286</c:v>
                </c:pt>
                <c:pt idx="30">
                  <c:v>5213.960483928633</c:v>
                </c:pt>
                <c:pt idx="31">
                  <c:v>5454.3629657245619</c:v>
                </c:pt>
                <c:pt idx="32">
                  <c:v>5644.4189716082401</c:v>
                </c:pt>
                <c:pt idx="33">
                  <c:v>5776.0436196930023</c:v>
                </c:pt>
                <c:pt idx="34">
                  <c:v>5843.390649793786</c:v>
                </c:pt>
                <c:pt idx="35">
                  <c:v>5843.3906497937714</c:v>
                </c:pt>
                <c:pt idx="36">
                  <c:v>5776.0436196930241</c:v>
                </c:pt>
                <c:pt idx="37">
                  <c:v>5644.4189716082328</c:v>
                </c:pt>
                <c:pt idx="38">
                  <c:v>5454.3629657245619</c:v>
                </c:pt>
                <c:pt idx="39">
                  <c:v>5213.960483928633</c:v>
                </c:pt>
                <c:pt idx="40">
                  <c:v>4932.8337305225286</c:v>
                </c:pt>
                <c:pt idx="41">
                  <c:v>4621.3774070219079</c:v>
                </c:pt>
                <c:pt idx="42">
                  <c:v>4290.0264244962891</c:v>
                </c:pt>
                <c:pt idx="43">
                  <c:v>3948.6321674710052</c:v>
                </c:pt>
                <c:pt idx="44">
                  <c:v>3605.9940460599464</c:v>
                </c:pt>
                <c:pt idx="45">
                  <c:v>3269.5625249340228</c:v>
                </c:pt>
                <c:pt idx="46">
                  <c:v>2945.3042342929402</c:v>
                </c:pt>
                <c:pt idx="47">
                  <c:v>2637.7025131653645</c:v>
                </c:pt>
                <c:pt idx="48">
                  <c:v>2349.8583583884465</c:v>
                </c:pt>
                <c:pt idx="49">
                  <c:v>2083.6558144622541</c:v>
                </c:pt>
                <c:pt idx="50">
                  <c:v>1839.9599650360469</c:v>
                </c:pt>
                <c:pt idx="51">
                  <c:v>1618.8224429188704</c:v>
                </c:pt>
                <c:pt idx="52">
                  <c:v>1419.6768016166461</c:v>
                </c:pt>
                <c:pt idx="53">
                  <c:v>1241.5128934335953</c:v>
                </c:pt>
                <c:pt idx="54">
                  <c:v>1083.0249106672127</c:v>
                </c:pt>
                <c:pt idx="55">
                  <c:v>942.73177519440651</c:v>
                </c:pt>
                <c:pt idx="56">
                  <c:v>819.07121242053108</c:v>
                </c:pt>
                <c:pt idx="57">
                  <c:v>710.47036884573754</c:v>
                </c:pt>
                <c:pt idx="58">
                  <c:v>615.39651961656637</c:v>
                </c:pt>
                <c:pt idx="59">
                  <c:v>532.39153323299251</c:v>
                </c:pt>
                <c:pt idx="60">
                  <c:v>460.09353512711823</c:v>
                </c:pt>
                <c:pt idx="61">
                  <c:v>397.2488036477589</c:v>
                </c:pt>
                <c:pt idx="62">
                  <c:v>342.7164530979062</c:v>
                </c:pt>
                <c:pt idx="63">
                  <c:v>295.46797939710086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'New_confirmed - Boltzmann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fit'!$H$7:$H$70</c:f>
              <c:numCache>
                <c:formatCode>0</c:formatCode>
                <c:ptCount val="64"/>
                <c:pt idx="0">
                  <c:v>998.16360281167647</c:v>
                </c:pt>
                <c:pt idx="1">
                  <c:v>1137.8609221499239</c:v>
                </c:pt>
                <c:pt idx="2">
                  <c:v>1160.5625883207554</c:v>
                </c:pt>
                <c:pt idx="3">
                  <c:v>1186.8922569388815</c:v>
                </c:pt>
                <c:pt idx="4">
                  <c:v>1217.4081781206401</c:v>
                </c:pt>
                <c:pt idx="5">
                  <c:v>1252.7469073725824</c:v>
                </c:pt>
                <c:pt idx="6">
                  <c:v>1293.6315822088154</c:v>
                </c:pt>
                <c:pt idx="7">
                  <c:v>1340.880055909568</c:v>
                </c:pt>
                <c:pt idx="8">
                  <c:v>1395.412406459433</c:v>
                </c:pt>
                <c:pt idx="9">
                  <c:v>1458.2571379387714</c:v>
                </c:pt>
                <c:pt idx="10">
                  <c:v>1530.5551360446943</c:v>
                </c:pt>
                <c:pt idx="11">
                  <c:v>1613.5601224282273</c:v>
                </c:pt>
                <c:pt idx="12">
                  <c:v>1708.6339716574148</c:v>
                </c:pt>
                <c:pt idx="13">
                  <c:v>1817.2348152322256</c:v>
                </c:pt>
                <c:pt idx="14">
                  <c:v>1940.8953780060483</c:v>
                </c:pt>
                <c:pt idx="15">
                  <c:v>2081.1885134788972</c:v>
                </c:pt>
                <c:pt idx="16">
                  <c:v>2239.6764962452899</c:v>
                </c:pt>
                <c:pt idx="17">
                  <c:v>2417.8404044283025</c:v>
                </c:pt>
                <c:pt idx="18">
                  <c:v>2616.9860457305504</c:v>
                </c:pt>
                <c:pt idx="19">
                  <c:v>2838.1235678477287</c:v>
                </c:pt>
                <c:pt idx="20">
                  <c:v>3081.8194172739122</c:v>
                </c:pt>
                <c:pt idx="21">
                  <c:v>3348.0219612001592</c:v>
                </c:pt>
                <c:pt idx="22">
                  <c:v>3635.8661159770372</c:v>
                </c:pt>
                <c:pt idx="23">
                  <c:v>3943.4678371046166</c:v>
                </c:pt>
                <c:pt idx="24">
                  <c:v>4267.7261277456919</c:v>
                </c:pt>
                <c:pt idx="25">
                  <c:v>4604.1576488716191</c:v>
                </c:pt>
                <c:pt idx="26">
                  <c:v>4946.7957702826743</c:v>
                </c:pt>
                <c:pt idx="27">
                  <c:v>5288.1900273079655</c:v>
                </c:pt>
                <c:pt idx="28">
                  <c:v>5619.5410098335915</c:v>
                </c:pt>
                <c:pt idx="29">
                  <c:v>5930.997333334205</c:v>
                </c:pt>
                <c:pt idx="30">
                  <c:v>6212.1240867403094</c:v>
                </c:pt>
                <c:pt idx="31">
                  <c:v>6452.5265685362383</c:v>
                </c:pt>
                <c:pt idx="32">
                  <c:v>6642.5825744199165</c:v>
                </c:pt>
                <c:pt idx="33">
                  <c:v>6774.2072225046786</c:v>
                </c:pt>
                <c:pt idx="34">
                  <c:v>6841.5542526054624</c:v>
                </c:pt>
                <c:pt idx="35">
                  <c:v>6841.5542526054478</c:v>
                </c:pt>
                <c:pt idx="36">
                  <c:v>6774.2072225047004</c:v>
                </c:pt>
                <c:pt idx="37">
                  <c:v>6642.5825744199092</c:v>
                </c:pt>
                <c:pt idx="38">
                  <c:v>6452.5265685362383</c:v>
                </c:pt>
                <c:pt idx="39">
                  <c:v>6212.1240867403094</c:v>
                </c:pt>
                <c:pt idx="40">
                  <c:v>5930.997333334205</c:v>
                </c:pt>
                <c:pt idx="41">
                  <c:v>5619.5410098335842</c:v>
                </c:pt>
                <c:pt idx="42">
                  <c:v>5288.1900273079655</c:v>
                </c:pt>
                <c:pt idx="43">
                  <c:v>4946.7957702826816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'New_confirmed - Boltzmann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fit'!$I$7:$I$70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84.861307855544396</c:v>
                </c:pt>
                <c:pt idx="16">
                  <c:v>243.34929062193703</c:v>
                </c:pt>
                <c:pt idx="17">
                  <c:v>421.51319880494964</c:v>
                </c:pt>
                <c:pt idx="18">
                  <c:v>620.65884010719753</c:v>
                </c:pt>
                <c:pt idx="19">
                  <c:v>841.79636222437591</c:v>
                </c:pt>
                <c:pt idx="20">
                  <c:v>1085.4922116505595</c:v>
                </c:pt>
                <c:pt idx="21">
                  <c:v>1351.6947555768065</c:v>
                </c:pt>
                <c:pt idx="22">
                  <c:v>1639.5389103536845</c:v>
                </c:pt>
                <c:pt idx="23">
                  <c:v>1947.1406314812639</c:v>
                </c:pt>
                <c:pt idx="24">
                  <c:v>2271.3989221223392</c:v>
                </c:pt>
                <c:pt idx="25">
                  <c:v>2607.8304432482664</c:v>
                </c:pt>
                <c:pt idx="26">
                  <c:v>2950.4685646593216</c:v>
                </c:pt>
                <c:pt idx="27">
                  <c:v>3291.8628216846128</c:v>
                </c:pt>
                <c:pt idx="28">
                  <c:v>3623.2138042102388</c:v>
                </c:pt>
                <c:pt idx="29">
                  <c:v>3934.6701277108523</c:v>
                </c:pt>
                <c:pt idx="30">
                  <c:v>4215.7968811169567</c:v>
                </c:pt>
                <c:pt idx="31">
                  <c:v>4456.1993629128856</c:v>
                </c:pt>
                <c:pt idx="32">
                  <c:v>4646.2553687965637</c:v>
                </c:pt>
                <c:pt idx="33">
                  <c:v>4777.8800168813259</c:v>
                </c:pt>
                <c:pt idx="34">
                  <c:v>4845.2270469821096</c:v>
                </c:pt>
                <c:pt idx="35">
                  <c:v>4845.2270469820951</c:v>
                </c:pt>
                <c:pt idx="36">
                  <c:v>4777.8800168813477</c:v>
                </c:pt>
                <c:pt idx="37">
                  <c:v>4646.2553687965565</c:v>
                </c:pt>
                <c:pt idx="38">
                  <c:v>4456.1993629128856</c:v>
                </c:pt>
                <c:pt idx="39">
                  <c:v>4215.7968811169567</c:v>
                </c:pt>
                <c:pt idx="40">
                  <c:v>3934.6701277108523</c:v>
                </c:pt>
                <c:pt idx="41">
                  <c:v>3623.2138042102315</c:v>
                </c:pt>
                <c:pt idx="42">
                  <c:v>3291.8628216846128</c:v>
                </c:pt>
                <c:pt idx="43">
                  <c:v>2950.4685646593289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ser>
          <c:idx val="4"/>
          <c:order val="4"/>
          <c:tx>
            <c:strRef>
              <c:f>'New_confirmed - Boltzmann fit'!$K$6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Boltzmann fit'!$K$7:$K$70</c:f>
              <c:numCache>
                <c:formatCode>0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5</c:v>
                </c:pt>
                <c:pt idx="11">
                  <c:v>18</c:v>
                </c:pt>
                <c:pt idx="12">
                  <c:v>27</c:v>
                </c:pt>
                <c:pt idx="13">
                  <c:v>28</c:v>
                </c:pt>
                <c:pt idx="14">
                  <c:v>41</c:v>
                </c:pt>
                <c:pt idx="15">
                  <c:v>49</c:v>
                </c:pt>
                <c:pt idx="16">
                  <c:v>36</c:v>
                </c:pt>
                <c:pt idx="17">
                  <c:v>133</c:v>
                </c:pt>
                <c:pt idx="18">
                  <c:v>97</c:v>
                </c:pt>
                <c:pt idx="19">
                  <c:v>168</c:v>
                </c:pt>
                <c:pt idx="20">
                  <c:v>196</c:v>
                </c:pt>
                <c:pt idx="21">
                  <c:v>189</c:v>
                </c:pt>
                <c:pt idx="22">
                  <c:v>250</c:v>
                </c:pt>
                <c:pt idx="23">
                  <c:v>175</c:v>
                </c:pt>
                <c:pt idx="24">
                  <c:v>368</c:v>
                </c:pt>
                <c:pt idx="25">
                  <c:v>349</c:v>
                </c:pt>
                <c:pt idx="26">
                  <c:v>345</c:v>
                </c:pt>
                <c:pt idx="27">
                  <c:v>475</c:v>
                </c:pt>
                <c:pt idx="28">
                  <c:v>427</c:v>
                </c:pt>
                <c:pt idx="29">
                  <c:v>627</c:v>
                </c:pt>
                <c:pt idx="30">
                  <c:v>793</c:v>
                </c:pt>
                <c:pt idx="31">
                  <c:v>651</c:v>
                </c:pt>
                <c:pt idx="32">
                  <c:v>601</c:v>
                </c:pt>
                <c:pt idx="33">
                  <c:v>743</c:v>
                </c:pt>
                <c:pt idx="34">
                  <c:v>683</c:v>
                </c:pt>
                <c:pt idx="35">
                  <c:v>662</c:v>
                </c:pt>
                <c:pt idx="36">
                  <c:v>969</c:v>
                </c:pt>
                <c:pt idx="37">
                  <c:v>889</c:v>
                </c:pt>
                <c:pt idx="38">
                  <c:v>756</c:v>
                </c:pt>
                <c:pt idx="39">
                  <c:v>812</c:v>
                </c:pt>
                <c:pt idx="40">
                  <c:v>837</c:v>
                </c:pt>
                <c:pt idx="41">
                  <c:v>727</c:v>
                </c:pt>
                <c:pt idx="42">
                  <c:v>760</c:v>
                </c:pt>
                <c:pt idx="43">
                  <c:v>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4-4C6D-B8AE-A194F4E03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'New_confirmed - Boltzmann fit'!$M$6</c:f>
              <c:strCache>
                <c:ptCount val="1"/>
                <c:pt idx="0">
                  <c:v>New_D_fit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Boltzmann fit'!$M$7:$M$70</c:f>
              <c:numCache>
                <c:formatCode>0</c:formatCode>
                <c:ptCount val="64"/>
                <c:pt idx="0">
                  <c:v>0</c:v>
                </c:pt>
                <c:pt idx="1">
                  <c:v>8.7649968758340151</c:v>
                </c:pt>
                <c:pt idx="2">
                  <c:v>10.30653149675382</c:v>
                </c:pt>
                <c:pt idx="3">
                  <c:v>12.117204370867114</c:v>
                </c:pt>
                <c:pt idx="4">
                  <c:v>14.243247145899261</c:v>
                </c:pt>
                <c:pt idx="5">
                  <c:v>16.738542880190238</c:v>
                </c:pt>
                <c:pt idx="6">
                  <c:v>19.665780810850023</c:v>
                </c:pt>
                <c:pt idx="7">
                  <c:v>23.097741735994589</c:v>
                </c:pt>
                <c:pt idx="8">
                  <c:v>27.118710573536902</c:v>
                </c:pt>
                <c:pt idx="9">
                  <c:v>31.826002947341237</c:v>
                </c:pt>
                <c:pt idx="10">
                  <c:v>37.331578384382027</c:v>
                </c:pt>
                <c:pt idx="11">
                  <c:v>43.763692372713962</c:v>
                </c:pt>
                <c:pt idx="12">
                  <c:v>51.268511293822314</c:v>
                </c:pt>
                <c:pt idx="13">
                  <c:v>60.011575974571599</c:v>
                </c:pt>
                <c:pt idx="14">
                  <c:v>70.178948997994667</c:v>
                </c:pt>
                <c:pt idx="15">
                  <c:v>81.977815755124084</c:v>
                </c:pt>
                <c:pt idx="16">
                  <c:v>95.636227896156925</c:v>
                </c:pt>
                <c:pt idx="17">
                  <c:v>111.40158019008186</c:v>
                </c:pt>
                <c:pt idx="18">
                  <c:v>129.53730047864053</c:v>
                </c:pt>
                <c:pt idx="19">
                  <c:v>150.31711485128437</c:v>
                </c:pt>
                <c:pt idx="20">
                  <c:v>174.01614126790309</c:v>
                </c:pt>
                <c:pt idx="21">
                  <c:v>200.89799021530166</c:v>
                </c:pt>
                <c:pt idx="22">
                  <c:v>231.19705024101518</c:v>
                </c:pt>
                <c:pt idx="23">
                  <c:v>265.09526533123949</c:v>
                </c:pt>
                <c:pt idx="24">
                  <c:v>302.69304154692327</c:v>
                </c:pt>
                <c:pt idx="25">
                  <c:v>343.97453188643158</c:v>
                </c:pt>
                <c:pt idx="26">
                  <c:v>388.76851154232281</c:v>
                </c:pt>
                <c:pt idx="27">
                  <c:v>436.70740012294482</c:v>
                </c:pt>
                <c:pt idx="28">
                  <c:v>487.18865494051852</c:v>
                </c:pt>
                <c:pt idx="29">
                  <c:v>539.34454938731096</c:v>
                </c:pt>
                <c:pt idx="30">
                  <c:v>592.02787474620527</c:v>
                </c:pt>
                <c:pt idx="31">
                  <c:v>643.82178647705405</c:v>
                </c:pt>
                <c:pt idx="32">
                  <c:v>693.08117777397911</c:v>
                </c:pt>
                <c:pt idx="33">
                  <c:v>738.01002199969389</c:v>
                </c:pt>
                <c:pt idx="34">
                  <c:v>776.77389835518989</c:v>
                </c:pt>
                <c:pt idx="35">
                  <c:v>807.63992823451736</c:v>
                </c:pt>
                <c:pt idx="36">
                  <c:v>829.1289899227595</c:v>
                </c:pt>
                <c:pt idx="37">
                  <c:v>840.15940297509042</c:v>
                </c:pt>
                <c:pt idx="38">
                  <c:v>840.15940297509042</c:v>
                </c:pt>
                <c:pt idx="39">
                  <c:v>829.1289899227595</c:v>
                </c:pt>
                <c:pt idx="40">
                  <c:v>807.63992823451736</c:v>
                </c:pt>
                <c:pt idx="41">
                  <c:v>776.77389835518989</c:v>
                </c:pt>
                <c:pt idx="42">
                  <c:v>738.01002199969298</c:v>
                </c:pt>
                <c:pt idx="43">
                  <c:v>693.08117777398002</c:v>
                </c:pt>
                <c:pt idx="44">
                  <c:v>643.82178647705405</c:v>
                </c:pt>
                <c:pt idx="45">
                  <c:v>592.02787474620709</c:v>
                </c:pt>
                <c:pt idx="46">
                  <c:v>539.34454938730596</c:v>
                </c:pt>
                <c:pt idx="47">
                  <c:v>487.18865494052443</c:v>
                </c:pt>
                <c:pt idx="48">
                  <c:v>436.70740012294118</c:v>
                </c:pt>
                <c:pt idx="49">
                  <c:v>388.76851154232281</c:v>
                </c:pt>
                <c:pt idx="50">
                  <c:v>343.9745318864334</c:v>
                </c:pt>
                <c:pt idx="51">
                  <c:v>302.69304154692145</c:v>
                </c:pt>
                <c:pt idx="52">
                  <c:v>265.09526533124154</c:v>
                </c:pt>
                <c:pt idx="53">
                  <c:v>231.19705024101131</c:v>
                </c:pt>
                <c:pt idx="54">
                  <c:v>200.89799021530416</c:v>
                </c:pt>
                <c:pt idx="55">
                  <c:v>174.01614126790082</c:v>
                </c:pt>
                <c:pt idx="56">
                  <c:v>150.31711485128835</c:v>
                </c:pt>
                <c:pt idx="57">
                  <c:v>129.53730047864155</c:v>
                </c:pt>
                <c:pt idx="58">
                  <c:v>111.40158019008231</c:v>
                </c:pt>
                <c:pt idx="59">
                  <c:v>95.636227896156925</c:v>
                </c:pt>
                <c:pt idx="60">
                  <c:v>81.97781575512272</c:v>
                </c:pt>
                <c:pt idx="61">
                  <c:v>70.178948997992848</c:v>
                </c:pt>
                <c:pt idx="62">
                  <c:v>60.011575974571315</c:v>
                </c:pt>
                <c:pt idx="63">
                  <c:v>51.268511293819756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44-4C6D-B8AE-A194F4E036FC}"/>
            </c:ext>
          </c:extLst>
        </c:ser>
        <c:ser>
          <c:idx val="6"/>
          <c:order val="6"/>
          <c:tx>
            <c:strRef>
              <c:f>'New_confirmed - Boltzmann fit'!$N$6</c:f>
              <c:strCache>
                <c:ptCount val="1"/>
                <c:pt idx="0">
                  <c:v>ND_Upper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Boltzmann fit'!$N$7:$N$70</c:f>
              <c:numCache>
                <c:formatCode>0</c:formatCode>
                <c:ptCount val="64"/>
                <c:pt idx="0">
                  <c:v>125.54768997836618</c:v>
                </c:pt>
                <c:pt idx="1">
                  <c:v>134.31268685420019</c:v>
                </c:pt>
                <c:pt idx="2">
                  <c:v>135.85422147512</c:v>
                </c:pt>
                <c:pt idx="3">
                  <c:v>137.66489434923329</c:v>
                </c:pt>
                <c:pt idx="4">
                  <c:v>139.79093712426544</c:v>
                </c:pt>
                <c:pt idx="5">
                  <c:v>142.28623285855642</c:v>
                </c:pt>
                <c:pt idx="6">
                  <c:v>145.21347078921622</c:v>
                </c:pt>
                <c:pt idx="7">
                  <c:v>148.64543171436077</c:v>
                </c:pt>
                <c:pt idx="8">
                  <c:v>152.66640055190308</c:v>
                </c:pt>
                <c:pt idx="9">
                  <c:v>157.37369292570742</c:v>
                </c:pt>
                <c:pt idx="10">
                  <c:v>162.87926836274821</c:v>
                </c:pt>
                <c:pt idx="11">
                  <c:v>169.31138235108014</c:v>
                </c:pt>
                <c:pt idx="12">
                  <c:v>176.81620127218849</c:v>
                </c:pt>
                <c:pt idx="13">
                  <c:v>185.55926595293778</c:v>
                </c:pt>
                <c:pt idx="14">
                  <c:v>195.72663897636085</c:v>
                </c:pt>
                <c:pt idx="15">
                  <c:v>207.52550573349026</c:v>
                </c:pt>
                <c:pt idx="16">
                  <c:v>221.1839178745231</c:v>
                </c:pt>
                <c:pt idx="17">
                  <c:v>236.94927016844804</c:v>
                </c:pt>
                <c:pt idx="18">
                  <c:v>255.08499045700671</c:v>
                </c:pt>
                <c:pt idx="19">
                  <c:v>275.86480482965055</c:v>
                </c:pt>
                <c:pt idx="20">
                  <c:v>299.56383124626927</c:v>
                </c:pt>
                <c:pt idx="21">
                  <c:v>326.44568019366784</c:v>
                </c:pt>
                <c:pt idx="22">
                  <c:v>356.74474021938136</c:v>
                </c:pt>
                <c:pt idx="23">
                  <c:v>390.64295530960567</c:v>
                </c:pt>
                <c:pt idx="24">
                  <c:v>428.24073152528945</c:v>
                </c:pt>
                <c:pt idx="25">
                  <c:v>469.52222186479776</c:v>
                </c:pt>
                <c:pt idx="26">
                  <c:v>514.31620152068899</c:v>
                </c:pt>
                <c:pt idx="27">
                  <c:v>562.255090101311</c:v>
                </c:pt>
                <c:pt idx="28">
                  <c:v>612.7363449188847</c:v>
                </c:pt>
                <c:pt idx="29">
                  <c:v>664.89223936567714</c:v>
                </c:pt>
                <c:pt idx="30">
                  <c:v>717.57556472457145</c:v>
                </c:pt>
                <c:pt idx="31">
                  <c:v>769.36947645542023</c:v>
                </c:pt>
                <c:pt idx="32">
                  <c:v>818.62886775234529</c:v>
                </c:pt>
                <c:pt idx="33">
                  <c:v>863.55771197806007</c:v>
                </c:pt>
                <c:pt idx="34">
                  <c:v>902.32158833355606</c:v>
                </c:pt>
                <c:pt idx="35">
                  <c:v>933.18761821288354</c:v>
                </c:pt>
                <c:pt idx="36">
                  <c:v>954.67667990112568</c:v>
                </c:pt>
                <c:pt idx="37">
                  <c:v>965.70709295345659</c:v>
                </c:pt>
                <c:pt idx="38">
                  <c:v>965.70709295345659</c:v>
                </c:pt>
                <c:pt idx="39">
                  <c:v>954.67667990112568</c:v>
                </c:pt>
                <c:pt idx="40">
                  <c:v>933.18761821288354</c:v>
                </c:pt>
                <c:pt idx="41">
                  <c:v>902.32158833355606</c:v>
                </c:pt>
                <c:pt idx="42">
                  <c:v>863.55771197805916</c:v>
                </c:pt>
                <c:pt idx="43">
                  <c:v>818.6288677523462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44-4C6D-B8AE-A194F4E036FC}"/>
            </c:ext>
          </c:extLst>
        </c:ser>
        <c:ser>
          <c:idx val="7"/>
          <c:order val="7"/>
          <c:tx>
            <c:strRef>
              <c:f>'New_confirmed - Boltzmann fit'!$O$6</c:f>
              <c:strCache>
                <c:ptCount val="1"/>
                <c:pt idx="0">
                  <c:v>ND_Lower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Boltzmann fit'!$O$7:$O$70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3.9896105002743525</c:v>
                </c:pt>
                <c:pt idx="19">
                  <c:v>24.769424872918194</c:v>
                </c:pt>
                <c:pt idx="20">
                  <c:v>48.468451289536915</c:v>
                </c:pt>
                <c:pt idx="21">
                  <c:v>75.350300236935482</c:v>
                </c:pt>
                <c:pt idx="22">
                  <c:v>105.649360262649</c:v>
                </c:pt>
                <c:pt idx="23">
                  <c:v>139.54757535287331</c:v>
                </c:pt>
                <c:pt idx="24">
                  <c:v>177.14535156855709</c:v>
                </c:pt>
                <c:pt idx="25">
                  <c:v>218.4268419080654</c:v>
                </c:pt>
                <c:pt idx="26">
                  <c:v>263.22082156395663</c:v>
                </c:pt>
                <c:pt idx="27">
                  <c:v>311.15971014457864</c:v>
                </c:pt>
                <c:pt idx="28">
                  <c:v>361.64096496215234</c:v>
                </c:pt>
                <c:pt idx="29">
                  <c:v>413.79685940894478</c:v>
                </c:pt>
                <c:pt idx="30">
                  <c:v>466.48018476783909</c:v>
                </c:pt>
                <c:pt idx="31">
                  <c:v>518.27409649868787</c:v>
                </c:pt>
                <c:pt idx="32">
                  <c:v>567.53348779561293</c:v>
                </c:pt>
                <c:pt idx="33">
                  <c:v>612.46233202132771</c:v>
                </c:pt>
                <c:pt idx="34">
                  <c:v>651.22620837682371</c:v>
                </c:pt>
                <c:pt idx="35">
                  <c:v>682.09223825615118</c:v>
                </c:pt>
                <c:pt idx="36">
                  <c:v>703.58129994439332</c:v>
                </c:pt>
                <c:pt idx="37">
                  <c:v>714.61171299672424</c:v>
                </c:pt>
                <c:pt idx="38">
                  <c:v>714.61171299672424</c:v>
                </c:pt>
                <c:pt idx="39">
                  <c:v>703.58129994439332</c:v>
                </c:pt>
                <c:pt idx="40">
                  <c:v>682.09223825615118</c:v>
                </c:pt>
                <c:pt idx="41">
                  <c:v>651.22620837682371</c:v>
                </c:pt>
                <c:pt idx="42">
                  <c:v>612.4623320213268</c:v>
                </c:pt>
                <c:pt idx="43">
                  <c:v>567.53348779561384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44-4C6D-B8AE-A194F4E03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541020</xdr:colOff>
      <xdr:row>2</xdr:row>
      <xdr:rowOff>152400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5295900" y="7315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5295900" y="7315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0</xdr:rowOff>
    </xdr:from>
    <xdr:to>
      <xdr:col>25</xdr:col>
      <xdr:colOff>99060</xdr:colOff>
      <xdr:row>37</xdr:row>
      <xdr:rowOff>144779</xdr:rowOff>
    </xdr:to>
    <xdr:grpSp>
      <xdr:nvGrpSpPr>
        <xdr:cNvPr id="5" name="Gruppo 4">
          <a:extLst>
            <a:ext uri="{FF2B5EF4-FFF2-40B4-BE49-F238E27FC236}">
              <a16:creationId xmlns:a16="http://schemas.microsoft.com/office/drawing/2014/main" id="{BE070C06-0E16-4F9B-8209-E83DE4855BB5}"/>
            </a:ext>
          </a:extLst>
        </xdr:cNvPr>
        <xdr:cNvGrpSpPr/>
      </xdr:nvGrpSpPr>
      <xdr:grpSpPr>
        <a:xfrm>
          <a:off x="8476706" y="1295400"/>
          <a:ext cx="6938554" cy="6349636"/>
          <a:chOff x="6629400" y="1287780"/>
          <a:chExt cx="6941820" cy="5303520"/>
        </a:xfrm>
      </xdr:grpSpPr>
      <xdr:grpSp>
        <xdr:nvGrpSpPr>
          <xdr:cNvPr id="3" name="Gruppo 2">
            <a:extLst>
              <a:ext uri="{FF2B5EF4-FFF2-40B4-BE49-F238E27FC236}">
                <a16:creationId xmlns:a16="http://schemas.microsoft.com/office/drawing/2014/main" id="{D7E1A92A-3CA9-4350-9FDC-7482CD6BAA0A}"/>
              </a:ext>
            </a:extLst>
          </xdr:cNvPr>
          <xdr:cNvGrpSpPr/>
        </xdr:nvGrpSpPr>
        <xdr:grpSpPr>
          <a:xfrm>
            <a:off x="6629400" y="1287780"/>
            <a:ext cx="6941820" cy="5303520"/>
            <a:chOff x="6629400" y="1287780"/>
            <a:chExt cx="6941820" cy="5303520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03212835-2CCD-487C-A7C3-4E3C532B9DF2}"/>
                </a:ext>
              </a:extLst>
            </xdr:cNvPr>
            <xdr:cNvGraphicFramePr/>
          </xdr:nvGraphicFramePr>
          <xdr:xfrm>
            <a:off x="6629400" y="1287780"/>
            <a:ext cx="6941820" cy="53035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9745980" y="1991766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d>
                              <m:d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1+</m:t>
                                </m:r>
                                <m:sSup>
                                  <m:sSup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 </m:t>
                                    </m:r>
                                    <m:box>
                                      <m:box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boxPr>
                                      <m:e>
                                        <m:argPr>
                                          <m:argSz m:val="-1"/>
                                        </m:argPr>
                                        <m:f>
                                          <m:f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𝑡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num>
                                          <m:den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𝑤</m:t>
                                            </m:r>
                                          </m:den>
                                        </m:f>
                                      </m:e>
                                    </m:box>
                                  </m:sup>
                                </m:sSup>
                              </m:e>
                            </m:d>
                          </m:den>
                        </m:f>
                      </m:oMath>
                    </m:oMathPara>
                  </a14:m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Choice>
          <mc:Fallback xmlns=""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9745980" y="1991766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it-IT" sz="1400" b="0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𝑦=𝐾/(</a:t>
                  </a:r>
                  <a:r>
                    <a:rPr lang="it-IT" sz="14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(1+𝑒^(− □(64&amp;(𝑡−𝑡_0)/𝑤)) ) )</a:t>
                  </a:r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Fallback>
        </mc:AlternateContent>
      </xdr:grpSp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8031480" y="2609725"/>
            <a:ext cx="1828800" cy="12000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Total cases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119998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32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4.904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</a:rPr>
              <a:t>2</a:t>
            </a:r>
            <a:r>
              <a:rPr lang="it-IT" sz="1100" b="1" baseline="0">
                <a:solidFill>
                  <a:srgbClr val="0070C0"/>
                </a:solidFill>
              </a:rPr>
              <a:t>= 0.9979</a:t>
            </a:r>
          </a:p>
          <a:p>
            <a:r>
              <a:rPr lang="it-IT" sz="1100" b="1" i="1" baseline="0">
                <a:solidFill>
                  <a:srgbClr val="0070C0"/>
                </a:solidFill>
              </a:rPr>
              <a:t>CI</a:t>
            </a:r>
            <a:r>
              <a:rPr lang="it-IT" sz="1100" b="1" baseline="0">
                <a:solidFill>
                  <a:srgbClr val="0070C0"/>
                </a:solidFill>
              </a:rPr>
              <a:t>= 3568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0070C0"/>
              </a:solidFill>
              <a:effectLst/>
            </a:endParaRPr>
          </a:p>
          <a:p>
            <a:endParaRPr lang="it-IT" sz="1100" baseline="300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0.62971</cdr:x>
      <cdr:y>0.445</cdr:y>
    </cdr:from>
    <cdr:to>
      <cdr:x>0.89315</cdr:x>
      <cdr:y>0.68256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371361" y="2702541"/>
          <a:ext cx="1828753" cy="144274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16157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35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4.803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0.9968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505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670560</xdr:colOff>
      <xdr:row>1</xdr:row>
      <xdr:rowOff>274320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5699760" y="45720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5699760" y="45720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7620</xdr:colOff>
      <xdr:row>4</xdr:row>
      <xdr:rowOff>228599</xdr:rowOff>
    </xdr:from>
    <xdr:to>
      <xdr:col>29</xdr:col>
      <xdr:colOff>99060</xdr:colOff>
      <xdr:row>37</xdr:row>
      <xdr:rowOff>144777</xdr:rowOff>
    </xdr:to>
    <xdr:grpSp>
      <xdr:nvGrpSpPr>
        <xdr:cNvPr id="20" name="Gruppo 19">
          <a:extLst>
            <a:ext uri="{FF2B5EF4-FFF2-40B4-BE49-F238E27FC236}">
              <a16:creationId xmlns:a16="http://schemas.microsoft.com/office/drawing/2014/main" id="{95F3DA41-4DFD-45B3-8167-891DCA1368C7}"/>
            </a:ext>
          </a:extLst>
        </xdr:cNvPr>
        <xdr:cNvGrpSpPr/>
      </xdr:nvGrpSpPr>
      <xdr:grpSpPr>
        <a:xfrm>
          <a:off x="11034849" y="1284513"/>
          <a:ext cx="6938554" cy="6360521"/>
          <a:chOff x="8846820" y="1287779"/>
          <a:chExt cx="6941820" cy="5303518"/>
        </a:xfrm>
      </xdr:grpSpPr>
      <xdr:grpSp>
        <xdr:nvGrpSpPr>
          <xdr:cNvPr id="19" name="Gruppo 18">
            <a:extLst>
              <a:ext uri="{FF2B5EF4-FFF2-40B4-BE49-F238E27FC236}">
                <a16:creationId xmlns:a16="http://schemas.microsoft.com/office/drawing/2014/main" id="{D25FE9E0-6E39-41D0-A756-6C7FAD1336E5}"/>
              </a:ext>
            </a:extLst>
          </xdr:cNvPr>
          <xdr:cNvGrpSpPr/>
        </xdr:nvGrpSpPr>
        <xdr:grpSpPr>
          <a:xfrm>
            <a:off x="8846820" y="1287779"/>
            <a:ext cx="6941820" cy="5303518"/>
            <a:chOff x="8846820" y="1287779"/>
            <a:chExt cx="6941820" cy="5303518"/>
          </a:xfrm>
        </xdr:grpSpPr>
        <xdr:grpSp>
          <xdr:nvGrpSpPr>
            <xdr:cNvPr id="18" name="Gruppo 17">
              <a:extLst>
                <a:ext uri="{FF2B5EF4-FFF2-40B4-BE49-F238E27FC236}">
                  <a16:creationId xmlns:a16="http://schemas.microsoft.com/office/drawing/2014/main" id="{2CA05283-5F31-4B63-8812-E61CCEB33C10}"/>
                </a:ext>
              </a:extLst>
            </xdr:cNvPr>
            <xdr:cNvGrpSpPr/>
          </xdr:nvGrpSpPr>
          <xdr:grpSpPr>
            <a:xfrm>
              <a:off x="8846820" y="1287779"/>
              <a:ext cx="6941820" cy="5303518"/>
              <a:chOff x="8846820" y="1287779"/>
              <a:chExt cx="6941820" cy="5303518"/>
            </a:xfrm>
          </xdr:grpSpPr>
          <xdr:graphicFrame macro="">
            <xdr:nvGraphicFramePr>
              <xdr:cNvPr id="2" name="Grafico 1">
                <a:extLst>
                  <a:ext uri="{FF2B5EF4-FFF2-40B4-BE49-F238E27FC236}">
                    <a16:creationId xmlns:a16="http://schemas.microsoft.com/office/drawing/2014/main" id="{F5082D72-C1F7-4963-A285-6EBE98D385D7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8846820" y="1287779"/>
              <a:ext cx="6941820" cy="5303518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" name="CasellaDiTesto 2">
                    <a:extLst>
                      <a:ext uri="{FF2B5EF4-FFF2-40B4-BE49-F238E27FC236}">
                        <a16:creationId xmlns:a16="http://schemas.microsoft.com/office/drawing/2014/main" id="{F60049A7-7A9D-42EC-BA7A-E00A5179BC56}"/>
                      </a:ext>
                    </a:extLst>
                  </xdr:cNvPr>
                  <xdr:cNvSpPr txBox="1"/>
                </xdr:nvSpPr>
                <xdr:spPr>
                  <a:xfrm>
                    <a:off x="12161520" y="2537460"/>
                    <a:ext cx="3017520" cy="66294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𝐵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(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)=</m:t>
                          </m:r>
                          <m:f>
                            <m:fPr>
                              <m:ctrlP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𝐾</m:t>
                              </m:r>
                            </m:num>
                            <m:den>
                              <m:d>
                                <m:dPr>
                                  <m:ctrlP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1+</m:t>
                                  </m:r>
                                  <m:sSup>
                                    <m:sSupPr>
                                      <m:ctrlP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𝑒</m:t>
                                      </m:r>
                                    </m:e>
                                    <m:sup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 </m:t>
                                      </m:r>
                                      <m:box>
                                        <m:boxPr>
                                          <m:ctrlP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boxPr>
                                        <m:e>
                                          <m:argPr>
                                            <m:argSz m:val="-1"/>
                                          </m:argPr>
                                          <m:f>
                                            <m:fPr>
                                              <m:ctrlP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</m:ctrlPr>
                                            </m:fPr>
                                            <m:num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𝑡</m:t>
                                              </m:r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−</m:t>
                                              </m:r>
                                              <m:sSub>
                                                <m:sSubPr>
                                                  <m:ctrlPr>
                                                    <a:rPr lang="it-IT" sz="1400" b="0" i="1">
                                                      <a:solidFill>
                                                        <a:sysClr val="windowText" lastClr="000000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Cambria Math" panose="02040503050406030204" pitchFamily="18" charset="0"/>
                                                      <a:cs typeface="+mn-cs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lang="it-IT" sz="1400" b="0" i="1">
                                                      <a:solidFill>
                                                        <a:sysClr val="windowText" lastClr="000000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Cambria Math" panose="02040503050406030204" pitchFamily="18" charset="0"/>
                                                      <a:cs typeface="+mn-cs"/>
                                                    </a:rPr>
                                                    <m:t>𝑡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lang="it-IT" sz="1400" b="0" i="1">
                                                      <a:solidFill>
                                                        <a:sysClr val="windowText" lastClr="000000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Cambria Math" panose="02040503050406030204" pitchFamily="18" charset="0"/>
                                                      <a:cs typeface="+mn-cs"/>
                                                    </a:rPr>
                                                    <m:t>0</m:t>
                                                  </m:r>
                                                </m:sub>
                                              </m:sSub>
                                            </m:num>
                                            <m:den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𝑤</m:t>
                                              </m:r>
                                            </m:den>
                                          </m:f>
                                        </m:e>
                                      </m:box>
                                    </m:sup>
                                  </m:sSup>
                                </m:e>
                              </m:d>
                            </m:den>
                          </m:f>
                        </m:oMath>
                      </m:oMathPara>
                    </a14:m>
                    <a:endParaRPr lang="it-IT" sz="160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3" name="CasellaDiTesto 2">
                    <a:extLst>
                      <a:ext uri="{FF2B5EF4-FFF2-40B4-BE49-F238E27FC236}">
                        <a16:creationId xmlns:a16="http://schemas.microsoft.com/office/drawing/2014/main" id="{F60049A7-7A9D-42EC-BA7A-E00A5179BC56}"/>
                      </a:ext>
                    </a:extLst>
                  </xdr:cNvPr>
                  <xdr:cNvSpPr txBox="1"/>
                </xdr:nvSpPr>
                <xdr:spPr>
                  <a:xfrm>
                    <a:off x="12161520" y="2537460"/>
                    <a:ext cx="3017520" cy="66294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it-IT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𝐵(𝑡)=𝐾/(</a:t>
                    </a:r>
                    <a:r>
                      <a:rPr lang="it-IT" sz="14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(1+𝑒^(− □(64&amp;(𝑡−𝑡_0)/𝑤)) ) )</a:t>
                    </a:r>
                    <a:endParaRPr lang="it-IT" sz="160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Fallback>
          </mc:AlternateContent>
        </xdr:grpSp>
        <xdr:cxnSp macro="">
          <xdr:nvCxnSpPr>
            <xdr:cNvPr id="7" name="Connettore diritto 6">
              <a:extLst>
                <a:ext uri="{FF2B5EF4-FFF2-40B4-BE49-F238E27FC236}">
                  <a16:creationId xmlns:a16="http://schemas.microsoft.com/office/drawing/2014/main" id="{F2565D0C-65C1-4565-A4DC-96DFBF81741D}"/>
                </a:ext>
              </a:extLst>
            </xdr:cNvPr>
            <xdr:cNvCxnSpPr/>
          </xdr:nvCxnSpPr>
          <xdr:spPr>
            <a:xfrm>
              <a:off x="9296400" y="2897794"/>
              <a:ext cx="3489960" cy="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9A75C98C-EBF5-4DF2-A100-86430DA8BE86}"/>
                  </a:ext>
                </a:extLst>
              </xdr:cNvPr>
              <xdr:cNvSpPr txBox="1"/>
            </xdr:nvSpPr>
            <xdr:spPr>
              <a:xfrm>
                <a:off x="12570592" y="2051195"/>
                <a:ext cx="2712596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9A75C98C-EBF5-4DF2-A100-86430DA8BE86}"/>
                  </a:ext>
                </a:extLst>
              </xdr:cNvPr>
              <xdr:cNvSpPr txBox="1"/>
            </xdr:nvSpPr>
            <xdr:spPr>
              <a:xfrm>
                <a:off x="12570592" y="2051195"/>
                <a:ext cx="2712596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𝑦=𝐵(𝑡+1)−𝐵(𝑡)</a:t>
                </a:r>
                <a:endParaRPr lang="it-IT" sz="1400" b="0" i="1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</xdr:grpSp>
    <xdr:clientData/>
  </xdr:twoCellAnchor>
  <xdr:twoCellAnchor>
    <xdr:from>
      <xdr:col>18</xdr:col>
      <xdr:colOff>502920</xdr:colOff>
      <xdr:row>15</xdr:row>
      <xdr:rowOff>80556</xdr:rowOff>
    </xdr:from>
    <xdr:to>
      <xdr:col>21</xdr:col>
      <xdr:colOff>502920</xdr:colOff>
      <xdr:row>22</xdr:row>
      <xdr:rowOff>171995</xdr:rowOff>
    </xdr:to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9293C884-D776-4B8E-9F62-AF94A78AF218}"/>
            </a:ext>
          </a:extLst>
        </xdr:cNvPr>
        <xdr:cNvSpPr txBox="1"/>
      </xdr:nvSpPr>
      <xdr:spPr>
        <a:xfrm>
          <a:off x="11530149" y="3248299"/>
          <a:ext cx="1828800" cy="139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New cases detected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5855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35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6.555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>
              <a:solidFill>
                <a:srgbClr val="0070C0"/>
              </a:solidFill>
            </a:rPr>
            <a:t>R</a:t>
          </a:r>
          <a:r>
            <a:rPr lang="it-IT" sz="1100" b="1" i="1" baseline="30000">
              <a:solidFill>
                <a:srgbClr val="0070C0"/>
              </a:solidFill>
            </a:rPr>
            <a:t>2</a:t>
          </a:r>
          <a:r>
            <a:rPr lang="it-IT" sz="1100" b="1" baseline="0">
              <a:solidFill>
                <a:srgbClr val="0070C0"/>
              </a:solidFill>
            </a:rPr>
            <a:t>= 0.9543</a:t>
          </a:r>
        </a:p>
        <a:p>
          <a:r>
            <a:rPr lang="it-IT" sz="1100" b="1" i="1" baseline="0">
              <a:solidFill>
                <a:srgbClr val="0070C0"/>
              </a:solidFill>
            </a:rPr>
            <a:t>CI</a:t>
          </a:r>
          <a:r>
            <a:rPr lang="it-IT" sz="1100" b="1" baseline="0">
              <a:solidFill>
                <a:srgbClr val="0070C0"/>
              </a:solidFill>
            </a:rPr>
            <a:t>= 998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0070C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25</xdr:col>
      <xdr:colOff>571500</xdr:colOff>
      <xdr:row>18</xdr:row>
      <xdr:rowOff>189411</xdr:rowOff>
    </xdr:from>
    <xdr:to>
      <xdr:col>28</xdr:col>
      <xdr:colOff>571453</xdr:colOff>
      <xdr:row>26</xdr:row>
      <xdr:rowOff>102325</xdr:rowOff>
    </xdr:to>
    <xdr:sp macro="" textlink="">
      <xdr:nvSpPr>
        <xdr:cNvPr id="16" name="CasellaDiTesto 6">
          <a:extLst>
            <a:ext uri="{FF2B5EF4-FFF2-40B4-BE49-F238E27FC236}">
              <a16:creationId xmlns:a16="http://schemas.microsoft.com/office/drawing/2014/main" id="{CEB1BF83-AB2A-4FDF-92A5-CE635460130E}"/>
            </a:ext>
          </a:extLst>
        </xdr:cNvPr>
        <xdr:cNvSpPr txBox="1"/>
      </xdr:nvSpPr>
      <xdr:spPr>
        <a:xfrm>
          <a:off x="16007443" y="3912325"/>
          <a:ext cx="1828753" cy="1426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Daily new deaths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842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38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6.137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0.9665</a:t>
          </a:r>
        </a:p>
        <a:p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126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18</xdr:col>
      <xdr:colOff>449580</xdr:colOff>
      <xdr:row>28</xdr:row>
      <xdr:rowOff>153487</xdr:rowOff>
    </xdr:from>
    <xdr:to>
      <xdr:col>24</xdr:col>
      <xdr:colOff>137160</xdr:colOff>
      <xdr:row>28</xdr:row>
      <xdr:rowOff>153489</xdr:rowOff>
    </xdr:to>
    <xdr:cxnSp macro="">
      <xdr:nvCxnSpPr>
        <xdr:cNvPr id="17" name="Connettore diritto 16">
          <a:extLst>
            <a:ext uri="{FF2B5EF4-FFF2-40B4-BE49-F238E27FC236}">
              <a16:creationId xmlns:a16="http://schemas.microsoft.com/office/drawing/2014/main" id="{EB0DF4AC-5E4A-4DC2-BC30-DFE6FF957242}"/>
            </a:ext>
          </a:extLst>
        </xdr:cNvPr>
        <xdr:cNvCxnSpPr/>
      </xdr:nvCxnSpPr>
      <xdr:spPr>
        <a:xfrm>
          <a:off x="11476809" y="5988230"/>
          <a:ext cx="3486694" cy="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0.2082</cdr:x>
      <cdr:y>0.2356</cdr:y>
    </cdr:from>
    <cdr:to>
      <cdr:x>0.27706</cdr:x>
      <cdr:y>0.28115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4607" y="1444671"/>
              <a:ext cx="477823" cy="27930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  <m: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Choice>
      <mc:Fallback xmlns="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4607" y="1444671"/>
              <a:ext cx="477823" cy="27930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it-IT" sz="1400" b="0" i="0">
                  <a:solidFill>
                    <a:srgbClr val="0070C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𝐾⁄4𝑤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Fallback>
    </mc:AlternateContent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2C472245-A03D-4A71-9570-BE0D48B366C0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38269-E2C7-4D0F-B397-CB7C63C69247}" name="dpc_covid19_ita_andamento_nazionale__8" displayName="dpc_covid19_ita_andamento_nazionale__8" ref="A1:O41" tableType="queryTable" totalsRowShown="0">
  <autoFilter ref="A1:O41" xr:uid="{46EDFBA1-D4C7-48DD-807A-5BA4A2158DD5}"/>
  <tableColumns count="15">
    <tableColumn id="1" xr3:uid="{1597B4C5-C435-4062-B545-93C389BD10FD}" uniqueName="1" name="data" queryTableFieldId="1" dataDxfId="3"/>
    <tableColumn id="2" xr3:uid="{C9DFBF57-23AC-42CC-8F4C-3F76C465A55E}" uniqueName="2" name="stato" queryTableFieldId="2" dataDxfId="2"/>
    <tableColumn id="3" xr3:uid="{7604452C-2DC4-4E04-B26E-BEE2B3EAD53E}" uniqueName="3" name="ricoverati_con_sintomi" queryTableFieldId="3"/>
    <tableColumn id="4" xr3:uid="{8D512155-3BD5-4A69-B8CE-4331BA2012A3}" uniqueName="4" name="terapia_intensiva" queryTableFieldId="4"/>
    <tableColumn id="5" xr3:uid="{07E78C5F-AD7E-469D-BC71-DF89B9FC92E9}" uniqueName="5" name="totale_ospedalizzati" queryTableFieldId="5"/>
    <tableColumn id="6" xr3:uid="{5D1A6368-3039-481A-A029-D870A1988E2C}" uniqueName="6" name="isolamento_domiciliare" queryTableFieldId="6"/>
    <tableColumn id="7" xr3:uid="{ADDC5A4F-AC57-4C0C-84A4-956511D02C18}" uniqueName="7" name="totale_positivi" queryTableFieldId="7"/>
    <tableColumn id="8" xr3:uid="{3B9203F4-1719-494E-9E03-AF543553CB17}" uniqueName="8" name="variazione_totale_positivi" queryTableFieldId="8"/>
    <tableColumn id="9" xr3:uid="{8B11D556-1269-411C-B5B3-2C26B63DF39F}" uniqueName="9" name="nuovi_positivi" queryTableFieldId="9"/>
    <tableColumn id="10" xr3:uid="{89DACC67-0BA3-494B-AB48-C27AD24ABB7E}" uniqueName="10" name="dimessi_guariti" queryTableFieldId="10"/>
    <tableColumn id="11" xr3:uid="{F30DDA0F-52BB-496C-B126-1D724A447981}" uniqueName="11" name="deceduti" queryTableFieldId="11"/>
    <tableColumn id="12" xr3:uid="{4C74A0BB-6CDD-473A-B78A-4DF4E7DA6A3C}" uniqueName="12" name="totale_casi" queryTableFieldId="12"/>
    <tableColumn id="13" xr3:uid="{A612C32C-635D-4E7A-8FE9-8E4897D106AC}" uniqueName="13" name="tamponi" queryTableFieldId="13"/>
    <tableColumn id="14" xr3:uid="{C064B719-C1F9-47A4-B109-75B44C8FDA9D}" uniqueName="14" name="note_it" queryTableFieldId="14" dataDxfId="1"/>
    <tableColumn id="15" xr3:uid="{4ED24097-F667-4B3A-A74B-6206A5A621A4}" uniqueName="15" name="note_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30T22:47:17.14" personId="{46504131-ADD3-4530-BCC7-16E4FED1C2C4}" id="{72AF2297-8B28-419B-B702-DE9C5B9C6056}">
    <text>Worldometer data</text>
  </threadedComment>
  <threadedComment ref="B11" dT="2020-03-21T22:11:56.31" personId="{46504131-ADD3-4530-BCC7-16E4FED1C2C4}" id="{6AE41525-C545-4B83-8686-2D973E356B51}">
    <text>first red zones</text>
  </threadedComment>
  <threadedComment ref="B17" dT="2020-03-21T22:12:51.46" personId="{46504131-ADD3-4530-BCC7-16E4FED1C2C4}" id="{D1C5CD7B-740D-43CC-A2B1-661E9701F950}">
    <text>partial lockdown (north)</text>
  </threadedComment>
  <threadedComment ref="B21" dT="2020-03-21T22:13:52.19" personId="{46504131-ADD3-4530-BCC7-16E4FED1C2C4}" id="{D6513010-1C40-479E-8D93-3E5E664A5DD3}">
    <text>school closure (Italy)</text>
  </threadedComment>
  <threadedComment ref="B24" dT="2020-03-21T22:14:24.84" personId="{46504131-ADD3-4530-BCC7-16E4FED1C2C4}" id="{D716A400-1BA0-4A74-B84E-CB03860A1D57}">
    <text>lockdown (northern Italy)</text>
  </threadedComment>
  <threadedComment ref="B26" dT="2020-03-21T22:14:52.14" personId="{46504131-ADD3-4530-BCC7-16E4FED1C2C4}" id="{7162E970-0C82-40C0-9D82-4DB3CD06F48A}">
    <text>partial lockdown (Italy)</text>
  </threadedComment>
  <threadedComment ref="B28" dT="2020-03-21T22:15:16.77" personId="{46504131-ADD3-4530-BCC7-16E4FED1C2C4}" id="{ABA66A1D-C810-456B-991F-51AB6F2F5F4A}">
    <text>lockdown (Italy)</text>
  </threadedComment>
  <threadedComment ref="B39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30T22:47:17.14" personId="{46504131-ADD3-4530-BCC7-16E4FED1C2C4}" id="{6ABD3661-8066-4E44-BA0D-35D35302F623}">
    <text>Worldometer data</text>
  </threadedComment>
  <threadedComment ref="B11" dT="2020-03-21T22:11:56.31" personId="{46504131-ADD3-4530-BCC7-16E4FED1C2C4}" id="{6F280F21-F37E-4D54-8202-F02FF9F60413}">
    <text>first red zones</text>
  </threadedComment>
  <threadedComment ref="B17" dT="2020-03-21T22:12:51.46" personId="{46504131-ADD3-4530-BCC7-16E4FED1C2C4}" id="{8C2E90DC-6FBB-4F6F-A491-7F04B14E3003}">
    <text>partial lockdown (north)</text>
  </threadedComment>
  <threadedComment ref="B21" dT="2020-03-21T22:13:52.19" personId="{46504131-ADD3-4530-BCC7-16E4FED1C2C4}" id="{165FF3CB-B6DD-4A5B-BEAB-465BE46910E5}">
    <text>school closure (Italy)</text>
  </threadedComment>
  <threadedComment ref="B24" dT="2020-03-21T22:14:24.84" personId="{46504131-ADD3-4530-BCC7-16E4FED1C2C4}" id="{7F2EC179-DDA6-4C29-9AE2-3E7B978CA4FE}">
    <text>lockdown (northern Italy)</text>
  </threadedComment>
  <threadedComment ref="B26" dT="2020-03-21T22:14:52.14" personId="{46504131-ADD3-4530-BCC7-16E4FED1C2C4}" id="{330B5948-4F91-4530-8246-D8E052E48EC7}">
    <text>partial lockdown (Italy)</text>
  </threadedComment>
  <threadedComment ref="B28" dT="2020-03-21T22:15:16.77" personId="{46504131-ADD3-4530-BCC7-16E4FED1C2C4}" id="{B00751F2-9E53-4B46-A4E1-C852EDF26698}">
    <text>lockdown (Italy)</text>
  </threadedComment>
  <threadedComment ref="B39" dT="2020-03-23T21:41:16.67" personId="{46504131-ADD3-4530-BCC7-16E4FED1C2C4}" id="{F0A6F119-92D4-458E-9366-D89100014E7A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1"/>
  <sheetViews>
    <sheetView topLeftCell="C19" workbookViewId="0">
      <selection activeCell="K2" sqref="K2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69</v>
      </c>
      <c r="H1" t="s">
        <v>70</v>
      </c>
      <c r="I1" t="s">
        <v>71</v>
      </c>
      <c r="J1" t="s">
        <v>20</v>
      </c>
      <c r="K1" t="s">
        <v>21</v>
      </c>
      <c r="L1" t="s">
        <v>22</v>
      </c>
      <c r="M1" t="s">
        <v>23</v>
      </c>
      <c r="N1" t="s">
        <v>30</v>
      </c>
      <c r="O1" t="s">
        <v>31</v>
      </c>
    </row>
    <row r="2" spans="1:15" x14ac:dyDescent="0.3">
      <c r="A2" s="19">
        <v>43885.75</v>
      </c>
      <c r="B2" s="18" t="s">
        <v>24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8" t="s">
        <v>32</v>
      </c>
      <c r="O2" s="18" t="s">
        <v>32</v>
      </c>
    </row>
    <row r="3" spans="1:15" x14ac:dyDescent="0.3">
      <c r="A3" s="19">
        <v>43886.75</v>
      </c>
      <c r="B3" s="18" t="s">
        <v>24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8" t="s">
        <v>32</v>
      </c>
      <c r="O3" s="18" t="s">
        <v>32</v>
      </c>
    </row>
    <row r="4" spans="1:15" x14ac:dyDescent="0.3">
      <c r="A4" s="19">
        <v>43887.75</v>
      </c>
      <c r="B4" s="18" t="s">
        <v>24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8" t="s">
        <v>32</v>
      </c>
      <c r="O4" s="18" t="s">
        <v>32</v>
      </c>
    </row>
    <row r="5" spans="1:15" x14ac:dyDescent="0.3">
      <c r="A5" s="19">
        <v>43888.75</v>
      </c>
      <c r="B5" s="18" t="s">
        <v>24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8" t="s">
        <v>32</v>
      </c>
      <c r="O5" s="18" t="s">
        <v>32</v>
      </c>
    </row>
    <row r="6" spans="1:15" x14ac:dyDescent="0.3">
      <c r="A6" s="19">
        <v>43889.75</v>
      </c>
      <c r="B6" s="18" t="s">
        <v>24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8" t="s">
        <v>32</v>
      </c>
      <c r="O6" s="18" t="s">
        <v>32</v>
      </c>
    </row>
    <row r="7" spans="1:15" x14ac:dyDescent="0.3">
      <c r="A7" s="19">
        <v>43890.75</v>
      </c>
      <c r="B7" s="18" t="s">
        <v>24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8" t="s">
        <v>32</v>
      </c>
      <c r="O7" s="18" t="s">
        <v>32</v>
      </c>
    </row>
    <row r="8" spans="1:15" x14ac:dyDescent="0.3">
      <c r="A8" s="19">
        <v>43891.75</v>
      </c>
      <c r="B8" s="18" t="s">
        <v>24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8" t="s">
        <v>32</v>
      </c>
      <c r="O8" s="18" t="s">
        <v>32</v>
      </c>
    </row>
    <row r="9" spans="1:15" x14ac:dyDescent="0.3">
      <c r="A9" s="19">
        <v>43892.75</v>
      </c>
      <c r="B9" s="18" t="s">
        <v>24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8" t="s">
        <v>32</v>
      </c>
      <c r="O9" s="18" t="s">
        <v>32</v>
      </c>
    </row>
    <row r="10" spans="1:15" x14ac:dyDescent="0.3">
      <c r="A10" s="19">
        <v>43893.75</v>
      </c>
      <c r="B10" s="18" t="s">
        <v>24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8" t="s">
        <v>32</v>
      </c>
      <c r="O10" s="18" t="s">
        <v>32</v>
      </c>
    </row>
    <row r="11" spans="1:15" x14ac:dyDescent="0.3">
      <c r="A11" s="19">
        <v>43894.75</v>
      </c>
      <c r="B11" s="18" t="s">
        <v>24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8" t="s">
        <v>32</v>
      </c>
      <c r="O11" s="18" t="s">
        <v>32</v>
      </c>
    </row>
    <row r="12" spans="1:15" x14ac:dyDescent="0.3">
      <c r="A12" s="19">
        <v>43895.75</v>
      </c>
      <c r="B12" s="18" t="s">
        <v>24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8" t="s">
        <v>32</v>
      </c>
      <c r="O12" s="18" t="s">
        <v>32</v>
      </c>
    </row>
    <row r="13" spans="1:15" x14ac:dyDescent="0.3">
      <c r="A13" s="19">
        <v>43896.75</v>
      </c>
      <c r="B13" s="18" t="s">
        <v>24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8" t="s">
        <v>32</v>
      </c>
      <c r="O13" s="18" t="s">
        <v>32</v>
      </c>
    </row>
    <row r="14" spans="1:15" x14ac:dyDescent="0.3">
      <c r="A14" s="19">
        <v>43897.75</v>
      </c>
      <c r="B14" s="18" t="s">
        <v>24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8" t="s">
        <v>33</v>
      </c>
      <c r="O14" s="18" t="s">
        <v>34</v>
      </c>
    </row>
    <row r="15" spans="1:15" x14ac:dyDescent="0.3">
      <c r="A15" s="19">
        <v>43898.75</v>
      </c>
      <c r="B15" s="18" t="s">
        <v>24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8" t="s">
        <v>32</v>
      </c>
      <c r="O15" s="18" t="s">
        <v>32</v>
      </c>
    </row>
    <row r="16" spans="1:15" x14ac:dyDescent="0.3">
      <c r="A16" s="19">
        <v>43899.75</v>
      </c>
      <c r="B16" s="18" t="s">
        <v>24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8" t="s">
        <v>32</v>
      </c>
      <c r="O16" s="18" t="s">
        <v>32</v>
      </c>
    </row>
    <row r="17" spans="1:15" x14ac:dyDescent="0.3">
      <c r="A17" s="19">
        <v>43900.75</v>
      </c>
      <c r="B17" s="18" t="s">
        <v>24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8" t="s">
        <v>35</v>
      </c>
      <c r="O17" s="18" t="s">
        <v>36</v>
      </c>
    </row>
    <row r="18" spans="1:15" x14ac:dyDescent="0.3">
      <c r="A18" s="19">
        <v>43901.708333333336</v>
      </c>
      <c r="B18" s="18" t="s">
        <v>24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8" t="s">
        <v>37</v>
      </c>
      <c r="O18" s="18" t="s">
        <v>38</v>
      </c>
    </row>
    <row r="19" spans="1:15" x14ac:dyDescent="0.3">
      <c r="A19" s="19">
        <v>43902.708333333336</v>
      </c>
      <c r="B19" s="18" t="s">
        <v>24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8" t="s">
        <v>32</v>
      </c>
      <c r="O19" s="18" t="s">
        <v>32</v>
      </c>
    </row>
    <row r="20" spans="1:15" x14ac:dyDescent="0.3">
      <c r="A20" s="19">
        <v>43903.708333333336</v>
      </c>
      <c r="B20" s="18" t="s">
        <v>24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8" t="s">
        <v>32</v>
      </c>
      <c r="O20" s="18" t="s">
        <v>32</v>
      </c>
    </row>
    <row r="21" spans="1:15" x14ac:dyDescent="0.3">
      <c r="A21" s="19">
        <v>43904.708333333336</v>
      </c>
      <c r="B21" s="18" t="s">
        <v>24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8" t="s">
        <v>32</v>
      </c>
      <c r="O21" s="18" t="s">
        <v>32</v>
      </c>
    </row>
    <row r="22" spans="1:15" x14ac:dyDescent="0.3">
      <c r="A22" s="19">
        <v>43905.708333333336</v>
      </c>
      <c r="B22" s="18" t="s">
        <v>24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8" t="s">
        <v>32</v>
      </c>
      <c r="O22" s="18" t="s">
        <v>32</v>
      </c>
    </row>
    <row r="23" spans="1:15" x14ac:dyDescent="0.3">
      <c r="A23" s="19">
        <v>43906.708333333336</v>
      </c>
      <c r="B23" s="18" t="s">
        <v>24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8" t="s">
        <v>39</v>
      </c>
      <c r="O23" s="18" t="s">
        <v>40</v>
      </c>
    </row>
    <row r="24" spans="1:15" x14ac:dyDescent="0.3">
      <c r="A24" s="19">
        <v>43907.708333333336</v>
      </c>
      <c r="B24" s="18" t="s">
        <v>24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8" t="s">
        <v>41</v>
      </c>
      <c r="O24" s="18" t="s">
        <v>42</v>
      </c>
    </row>
    <row r="25" spans="1:15" x14ac:dyDescent="0.3">
      <c r="A25" s="19">
        <v>43908.708333333336</v>
      </c>
      <c r="B25" s="18" t="s">
        <v>24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8" t="s">
        <v>43</v>
      </c>
      <c r="O25" s="18" t="s">
        <v>44</v>
      </c>
    </row>
    <row r="26" spans="1:15" x14ac:dyDescent="0.3">
      <c r="A26" s="19">
        <v>43909.708333333336</v>
      </c>
      <c r="B26" s="18" t="s">
        <v>24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8" t="s">
        <v>32</v>
      </c>
      <c r="O26" s="18" t="s">
        <v>32</v>
      </c>
    </row>
    <row r="27" spans="1:15" x14ac:dyDescent="0.3">
      <c r="A27" s="19">
        <v>43910.708333333336</v>
      </c>
      <c r="B27" s="18" t="s">
        <v>24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8" t="s">
        <v>32</v>
      </c>
      <c r="O27" s="18" t="s">
        <v>32</v>
      </c>
    </row>
    <row r="28" spans="1:15" x14ac:dyDescent="0.3">
      <c r="A28" s="19">
        <v>43911.708333333336</v>
      </c>
      <c r="B28" s="18" t="s">
        <v>24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8" t="s">
        <v>32</v>
      </c>
      <c r="O28" s="18" t="s">
        <v>32</v>
      </c>
    </row>
    <row r="29" spans="1:15" x14ac:dyDescent="0.3">
      <c r="A29" s="19">
        <v>43912.708333333336</v>
      </c>
      <c r="B29" s="18" t="s">
        <v>24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8" t="s">
        <v>32</v>
      </c>
      <c r="O29" s="18" t="s">
        <v>32</v>
      </c>
    </row>
    <row r="30" spans="1:15" x14ac:dyDescent="0.3">
      <c r="A30" s="19">
        <v>43913.708333333336</v>
      </c>
      <c r="B30" s="18" t="s">
        <v>24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8" t="s">
        <v>32</v>
      </c>
      <c r="O30" s="18" t="s">
        <v>32</v>
      </c>
    </row>
    <row r="31" spans="1:15" x14ac:dyDescent="0.3">
      <c r="A31" s="19">
        <v>43914.708333333336</v>
      </c>
      <c r="B31" s="18" t="s">
        <v>24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8" t="s">
        <v>32</v>
      </c>
      <c r="O31" s="18" t="s">
        <v>32</v>
      </c>
    </row>
    <row r="32" spans="1:15" x14ac:dyDescent="0.3">
      <c r="A32" s="19">
        <v>43915.708333333336</v>
      </c>
      <c r="B32" s="18" t="s">
        <v>24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8" t="s">
        <v>32</v>
      </c>
      <c r="O32" s="18" t="s">
        <v>32</v>
      </c>
    </row>
    <row r="33" spans="1:15" x14ac:dyDescent="0.3">
      <c r="A33" s="19">
        <v>43916.708333333336</v>
      </c>
      <c r="B33" s="18" t="s">
        <v>24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8" t="s">
        <v>45</v>
      </c>
      <c r="O33" s="18" t="s">
        <v>46</v>
      </c>
    </row>
    <row r="34" spans="1:15" x14ac:dyDescent="0.3">
      <c r="A34" s="19">
        <v>43917.708333333336</v>
      </c>
      <c r="B34" s="18" t="s">
        <v>24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8" t="s">
        <v>32</v>
      </c>
      <c r="O34" s="18" t="s">
        <v>32</v>
      </c>
    </row>
    <row r="35" spans="1:15" x14ac:dyDescent="0.3">
      <c r="A35" s="19">
        <v>43918.708333333336</v>
      </c>
      <c r="B35" s="18" t="s">
        <v>24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8" t="s">
        <v>32</v>
      </c>
      <c r="O35" s="18" t="s">
        <v>32</v>
      </c>
    </row>
    <row r="36" spans="1:15" x14ac:dyDescent="0.3">
      <c r="A36" s="19">
        <v>43919.708333333336</v>
      </c>
      <c r="B36" s="18" t="s">
        <v>24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8" t="s">
        <v>51</v>
      </c>
      <c r="O36" s="18" t="s">
        <v>52</v>
      </c>
    </row>
    <row r="37" spans="1:15" x14ac:dyDescent="0.3">
      <c r="A37" s="19">
        <v>43920.708333333336</v>
      </c>
      <c r="B37" s="18" t="s">
        <v>24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8" t="s">
        <v>32</v>
      </c>
      <c r="O37" s="18" t="s">
        <v>32</v>
      </c>
    </row>
    <row r="38" spans="1:15" x14ac:dyDescent="0.3">
      <c r="A38" s="19">
        <v>43921.708333333336</v>
      </c>
      <c r="B38" s="18" t="s">
        <v>24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8" t="s">
        <v>32</v>
      </c>
      <c r="O38" s="18" t="s">
        <v>32</v>
      </c>
    </row>
    <row r="39" spans="1:15" x14ac:dyDescent="0.3">
      <c r="A39" s="19">
        <v>43922.708333333336</v>
      </c>
      <c r="B39" s="18" t="s">
        <v>24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8" t="s">
        <v>32</v>
      </c>
      <c r="O39" s="18" t="s">
        <v>32</v>
      </c>
    </row>
    <row r="40" spans="1:15" x14ac:dyDescent="0.3">
      <c r="A40" s="19">
        <v>43923.708333333336</v>
      </c>
      <c r="B40" s="18" t="s">
        <v>24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8" t="s">
        <v>32</v>
      </c>
      <c r="O40" s="18" t="s">
        <v>32</v>
      </c>
    </row>
    <row r="41" spans="1:15" x14ac:dyDescent="0.3">
      <c r="A41" s="19">
        <v>43924.708333333336</v>
      </c>
      <c r="B41" s="18" t="s">
        <v>24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8" t="s">
        <v>32</v>
      </c>
      <c r="O41" s="18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B72"/>
  <sheetViews>
    <sheetView zoomScale="70" zoomScaleNormal="70" workbookViewId="0">
      <selection activeCell="AB6" sqref="AB6:AB22"/>
    </sheetView>
  </sheetViews>
  <sheetFormatPr defaultRowHeight="14.4" x14ac:dyDescent="0.3"/>
  <cols>
    <col min="1" max="1" width="2.77734375" style="2" customWidth="1"/>
    <col min="2" max="2" width="8.88671875" style="2"/>
    <col min="3" max="3" width="4.109375" style="2" bestFit="1" customWidth="1"/>
    <col min="4" max="4" width="14.5546875" style="2" bestFit="1" customWidth="1"/>
    <col min="5" max="5" width="11.77734375" style="2" bestFit="1" customWidth="1"/>
    <col min="6" max="6" width="10.21875" style="2" bestFit="1" customWidth="1"/>
    <col min="7" max="7" width="10.33203125" style="2" bestFit="1" customWidth="1"/>
    <col min="8" max="8" width="6.6640625" style="2" bestFit="1" customWidth="1"/>
    <col min="9" max="9" width="8.88671875" style="2" bestFit="1" customWidth="1"/>
    <col min="10" max="10" width="10.33203125" style="2" bestFit="1" customWidth="1"/>
    <col min="11" max="11" width="10.44140625" style="2" bestFit="1" customWidth="1"/>
    <col min="12" max="12" width="1.77734375" style="2" customWidth="1"/>
    <col min="13" max="13" width="11.218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28" ht="31.2" x14ac:dyDescent="0.6">
      <c r="B2" s="12" t="s">
        <v>13</v>
      </c>
    </row>
    <row r="3" spans="2:28" ht="17.399999999999999" customHeight="1" x14ac:dyDescent="0.6">
      <c r="B3" s="13"/>
      <c r="C3" s="14"/>
      <c r="D3" s="14"/>
      <c r="E3" s="14"/>
      <c r="F3" s="14"/>
      <c r="H3" s="14"/>
      <c r="I3" s="14"/>
      <c r="J3" s="14"/>
      <c r="O3" s="21" t="s">
        <v>0</v>
      </c>
      <c r="P3" s="20" t="s">
        <v>55</v>
      </c>
      <c r="Q3" s="17"/>
      <c r="R3" s="17"/>
    </row>
    <row r="4" spans="2:28" ht="20.399999999999999" x14ac:dyDescent="0.35">
      <c r="B4" s="16" t="s">
        <v>25</v>
      </c>
      <c r="C4" s="15"/>
      <c r="D4" s="14"/>
      <c r="E4" s="14"/>
      <c r="F4" s="14"/>
      <c r="H4" s="14"/>
      <c r="I4" s="14"/>
      <c r="J4" s="14"/>
      <c r="O4" s="21" t="s">
        <v>26</v>
      </c>
      <c r="P4" s="20" t="s">
        <v>56</v>
      </c>
      <c r="Q4" s="17"/>
      <c r="R4" s="17"/>
    </row>
    <row r="5" spans="2:28" ht="18.600000000000001" thickBot="1" x14ac:dyDescent="0.4">
      <c r="B5" s="16" t="s">
        <v>57</v>
      </c>
      <c r="C5" s="14"/>
      <c r="D5" s="14"/>
      <c r="E5" s="14"/>
      <c r="F5" s="14"/>
      <c r="H5" s="14"/>
      <c r="I5" s="14"/>
      <c r="J5" s="14"/>
      <c r="O5" s="21" t="s">
        <v>1</v>
      </c>
      <c r="P5" s="20" t="s">
        <v>58</v>
      </c>
      <c r="Q5" s="17"/>
      <c r="R5" s="17"/>
    </row>
    <row r="6" spans="2:28" ht="28.8" x14ac:dyDescent="0.3">
      <c r="B6" s="4" t="s">
        <v>10</v>
      </c>
      <c r="C6" s="4" t="s">
        <v>11</v>
      </c>
      <c r="D6" s="4" t="s">
        <v>12</v>
      </c>
      <c r="E6" s="9" t="s">
        <v>47</v>
      </c>
      <c r="F6" s="9" t="s">
        <v>48</v>
      </c>
      <c r="G6" s="9" t="s">
        <v>49</v>
      </c>
      <c r="H6" s="4" t="s">
        <v>53</v>
      </c>
      <c r="I6" s="9" t="s">
        <v>54</v>
      </c>
      <c r="J6" s="9" t="s">
        <v>67</v>
      </c>
      <c r="K6" s="9" t="s">
        <v>68</v>
      </c>
      <c r="L6" s="9"/>
      <c r="M6" s="33" t="s">
        <v>50</v>
      </c>
      <c r="N6" s="3"/>
      <c r="O6" s="3"/>
      <c r="AB6" s="34" t="s">
        <v>73</v>
      </c>
    </row>
    <row r="7" spans="2:28" x14ac:dyDescent="0.3">
      <c r="B7" s="26">
        <v>43881</v>
      </c>
      <c r="C7" s="27">
        <v>1</v>
      </c>
      <c r="D7" s="28">
        <v>3</v>
      </c>
      <c r="E7" s="11">
        <f t="shared" ref="E7:E38" si="0">K/(1+EXP(-($C7-t0)/w))</f>
        <v>196.1404386463235</v>
      </c>
      <c r="F7" s="11">
        <f>E7+CI</f>
        <v>4764.5143657909866</v>
      </c>
      <c r="G7" s="11">
        <f>MAX(E7-CI,0)</f>
        <v>0</v>
      </c>
      <c r="H7" s="27">
        <v>0</v>
      </c>
      <c r="I7" s="11">
        <f t="shared" ref="I7:I38" si="1">Kh/(1+EXP(-($C7-t0h)/wh))</f>
        <v>22.769838694630067</v>
      </c>
      <c r="J7" s="11">
        <f t="shared" ref="J7:J47" si="2">I7+CIh</f>
        <v>275.74278702887835</v>
      </c>
      <c r="K7" s="11">
        <f t="shared" ref="K7:K46" si="3">MAX(I7-CIh,0)</f>
        <v>0</v>
      </c>
      <c r="L7" s="9"/>
      <c r="M7" s="22" t="s">
        <v>0</v>
      </c>
      <c r="N7" s="5">
        <v>120000</v>
      </c>
      <c r="O7" s="3"/>
      <c r="AB7" s="35">
        <f>MAX($N$13)</f>
        <v>0.99691609320813623</v>
      </c>
    </row>
    <row r="8" spans="2:28" ht="15.6" x14ac:dyDescent="0.35">
      <c r="B8" s="26">
        <v>43882</v>
      </c>
      <c r="C8" s="27">
        <v>2</v>
      </c>
      <c r="D8" s="28">
        <v>20</v>
      </c>
      <c r="E8" s="11">
        <f t="shared" si="0"/>
        <v>241.14143506449847</v>
      </c>
      <c r="F8" s="11">
        <f>E8+CI</f>
        <v>4809.5153622091611</v>
      </c>
      <c r="G8" s="11">
        <f>MAX(E8-CI,0)</f>
        <v>0</v>
      </c>
      <c r="H8" s="27">
        <v>1</v>
      </c>
      <c r="I8" s="11">
        <f t="shared" si="1"/>
        <v>27.411970021661848</v>
      </c>
      <c r="J8" s="11">
        <f t="shared" si="2"/>
        <v>280.38491835591014</v>
      </c>
      <c r="K8" s="11">
        <f t="shared" si="3"/>
        <v>0</v>
      </c>
      <c r="L8" s="9"/>
      <c r="M8" s="22" t="s">
        <v>27</v>
      </c>
      <c r="N8" s="5">
        <v>32</v>
      </c>
      <c r="O8" s="3"/>
      <c r="AB8" s="36">
        <f>COUNT($N$7,$N$8,$N$9)</f>
        <v>3</v>
      </c>
    </row>
    <row r="9" spans="2:28" x14ac:dyDescent="0.3">
      <c r="B9" s="26">
        <v>43883</v>
      </c>
      <c r="C9" s="27">
        <v>3</v>
      </c>
      <c r="D9" s="28">
        <v>62</v>
      </c>
      <c r="E9" s="11">
        <f t="shared" si="0"/>
        <v>296.44157646855956</v>
      </c>
      <c r="F9" s="11">
        <f>E9+CI</f>
        <v>4864.815503613223</v>
      </c>
      <c r="G9" s="11">
        <f>MAX(E9-CI,0)</f>
        <v>0</v>
      </c>
      <c r="H9" s="27">
        <v>2</v>
      </c>
      <c r="I9" s="11">
        <f t="shared" si="1"/>
        <v>32.998794223592022</v>
      </c>
      <c r="J9" s="11">
        <f t="shared" si="2"/>
        <v>285.97174255784029</v>
      </c>
      <c r="K9" s="11">
        <f t="shared" si="3"/>
        <v>0</v>
      </c>
      <c r="L9" s="9"/>
      <c r="M9" s="22" t="s">
        <v>1</v>
      </c>
      <c r="N9" s="25">
        <v>4.8325895463495074</v>
      </c>
      <c r="O9" s="3"/>
      <c r="AB9" s="36" t="b">
        <f>$N$7=INT($N$7)</f>
        <v>1</v>
      </c>
    </row>
    <row r="10" spans="2:28" x14ac:dyDescent="0.3">
      <c r="B10" s="26">
        <v>43884</v>
      </c>
      <c r="C10" s="27">
        <v>4</v>
      </c>
      <c r="D10" s="28">
        <v>155</v>
      </c>
      <c r="E10" s="11">
        <f t="shared" si="0"/>
        <v>364.38492403586565</v>
      </c>
      <c r="F10" s="11">
        <f>E10+CI</f>
        <v>4932.7588511805288</v>
      </c>
      <c r="G10" s="11">
        <f>MAX(E10-CI,0)</f>
        <v>0</v>
      </c>
      <c r="H10" s="27">
        <v>3</v>
      </c>
      <c r="I10" s="11">
        <f t="shared" si="1"/>
        <v>39.721793661345934</v>
      </c>
      <c r="J10" s="11">
        <f t="shared" si="2"/>
        <v>292.6947419955942</v>
      </c>
      <c r="K10" s="11">
        <f t="shared" si="3"/>
        <v>0</v>
      </c>
      <c r="L10" s="9"/>
      <c r="M10" s="6" t="s">
        <v>2</v>
      </c>
      <c r="N10" s="1">
        <f>AVERAGE(D7:D70)</f>
        <v>35436.86363636364</v>
      </c>
      <c r="O10" s="3"/>
      <c r="AB10" s="36" t="b">
        <f>$N$8=INT($N$8)</f>
        <v>1</v>
      </c>
    </row>
    <row r="11" spans="2:28" x14ac:dyDescent="0.3">
      <c r="B11" s="23">
        <v>43885</v>
      </c>
      <c r="C11" s="4">
        <v>5</v>
      </c>
      <c r="D11" s="11">
        <f>'dpc-covid19-ita-andamento-naz'!L2</f>
        <v>229</v>
      </c>
      <c r="E11" s="11">
        <f t="shared" si="0"/>
        <v>447.84238318974769</v>
      </c>
      <c r="F11" s="11">
        <f t="shared" ref="F11:F33" si="4">E11+CI</f>
        <v>5016.216310334411</v>
      </c>
      <c r="G11" s="11">
        <f t="shared" ref="G11:G37" si="5">MAX(E11-CI,0)</f>
        <v>0</v>
      </c>
      <c r="H11" s="11">
        <f>'dpc-covid19-ita-andamento-naz'!K2</f>
        <v>7</v>
      </c>
      <c r="I11" s="11">
        <f t="shared" si="1"/>
        <v>47.810918931685698</v>
      </c>
      <c r="J11" s="11">
        <f t="shared" si="2"/>
        <v>300.78386726593396</v>
      </c>
      <c r="K11" s="11">
        <f t="shared" si="3"/>
        <v>0</v>
      </c>
      <c r="L11" s="1"/>
      <c r="M11" s="6" t="s">
        <v>3</v>
      </c>
      <c r="N11" s="1">
        <f>COUNT(D7:D70)-COUNT(N7:N9)</f>
        <v>41</v>
      </c>
      <c r="AB11" s="36">
        <f>{32767;32767;0.000001;0;FALSE;FALSE;FALSE;1;2;1;0.0001;TRUE}</f>
        <v>32767</v>
      </c>
    </row>
    <row r="12" spans="2:28" x14ac:dyDescent="0.3">
      <c r="B12" s="10">
        <v>43886</v>
      </c>
      <c r="C12" s="4">
        <v>6</v>
      </c>
      <c r="D12" s="11">
        <f>'dpc-covid19-ita-andamento-naz'!L3</f>
        <v>322</v>
      </c>
      <c r="E12" s="11">
        <f t="shared" si="0"/>
        <v>550.32672074696438</v>
      </c>
      <c r="F12" s="11">
        <f t="shared" si="4"/>
        <v>5118.7006478916273</v>
      </c>
      <c r="G12" s="11">
        <f t="shared" si="5"/>
        <v>0</v>
      </c>
      <c r="H12" s="11">
        <f>'dpc-covid19-ita-andamento-naz'!K3</f>
        <v>10</v>
      </c>
      <c r="I12" s="11">
        <f t="shared" si="1"/>
        <v>57.542162835731276</v>
      </c>
      <c r="J12" s="11">
        <f t="shared" si="2"/>
        <v>310.51511116997955</v>
      </c>
      <c r="K12" s="11">
        <f t="shared" si="3"/>
        <v>0</v>
      </c>
      <c r="L12" s="1"/>
      <c r="M12" s="6" t="s">
        <v>4</v>
      </c>
      <c r="N12" s="7" cm="1">
        <f t="array" ref="N12">SQRT(SUM((D7:D50-E7:E50)^2)/df)</f>
        <v>2262.0852926525336</v>
      </c>
      <c r="AB12" s="43">
        <f>{0;0;1;100;0;FALSE;FALSE;0.075;0;0;FALSE;30}</f>
        <v>0</v>
      </c>
    </row>
    <row r="13" spans="2:28" ht="16.2" x14ac:dyDescent="0.3">
      <c r="B13" s="10">
        <v>43887</v>
      </c>
      <c r="C13" s="4">
        <v>7</v>
      </c>
      <c r="D13" s="11">
        <f>'dpc-covid19-ita-andamento-naz'!L4</f>
        <v>400</v>
      </c>
      <c r="E13" s="11">
        <f t="shared" si="0"/>
        <v>676.13095737869071</v>
      </c>
      <c r="F13" s="11">
        <f t="shared" si="4"/>
        <v>5244.5048845233541</v>
      </c>
      <c r="G13" s="11">
        <f t="shared" si="5"/>
        <v>0</v>
      </c>
      <c r="H13" s="11">
        <f>'dpc-covid19-ita-andamento-naz'!K4</f>
        <v>12</v>
      </c>
      <c r="I13" s="11">
        <f t="shared" si="1"/>
        <v>69.246556316780399</v>
      </c>
      <c r="J13" s="11">
        <f t="shared" si="2"/>
        <v>322.21950465102867</v>
      </c>
      <c r="K13" s="11">
        <f t="shared" si="3"/>
        <v>0</v>
      </c>
      <c r="L13" s="1"/>
      <c r="M13" s="6" t="s">
        <v>5</v>
      </c>
      <c r="N13" s="8" cm="1">
        <f t="array" ref="N13">1-SUM((D7:D50-E7:E50)^2)/SUM((D7:D50-Mean_of_y)^2)</f>
        <v>0.99691609320813623</v>
      </c>
      <c r="AB13" s="41"/>
    </row>
    <row r="14" spans="2:28" x14ac:dyDescent="0.3">
      <c r="B14" s="10">
        <v>43888</v>
      </c>
      <c r="C14" s="4">
        <v>8</v>
      </c>
      <c r="D14" s="11">
        <f>'dpc-covid19-ita-andamento-naz'!L5</f>
        <v>650</v>
      </c>
      <c r="E14" s="11">
        <f t="shared" si="0"/>
        <v>830.49398921499687</v>
      </c>
      <c r="F14" s="11">
        <f t="shared" si="4"/>
        <v>5398.8679163596598</v>
      </c>
      <c r="G14" s="11">
        <f t="shared" si="5"/>
        <v>0</v>
      </c>
      <c r="H14" s="11">
        <f>'dpc-covid19-ita-andamento-naz'!K5</f>
        <v>17</v>
      </c>
      <c r="I14" s="11">
        <f t="shared" si="1"/>
        <v>83.320821956302595</v>
      </c>
      <c r="J14" s="11">
        <f t="shared" si="2"/>
        <v>336.29377029055087</v>
      </c>
      <c r="K14" s="11">
        <f t="shared" si="3"/>
        <v>0</v>
      </c>
      <c r="L14" s="1"/>
      <c r="M14" s="6" t="s">
        <v>6</v>
      </c>
      <c r="N14" s="8">
        <f>TINV(0.05,df)</f>
        <v>2.0195409704413767</v>
      </c>
      <c r="AB14" s="37"/>
    </row>
    <row r="15" spans="2:28" x14ac:dyDescent="0.3">
      <c r="B15" s="10">
        <v>43889</v>
      </c>
      <c r="C15" s="4">
        <v>9</v>
      </c>
      <c r="D15" s="11">
        <f>'dpc-covid19-ita-andamento-naz'!L6</f>
        <v>888</v>
      </c>
      <c r="E15" s="11">
        <f t="shared" si="0"/>
        <v>1019.7974428769476</v>
      </c>
      <c r="F15" s="11">
        <f t="shared" si="4"/>
        <v>5588.1713700216105</v>
      </c>
      <c r="G15" s="11">
        <f t="shared" si="5"/>
        <v>0</v>
      </c>
      <c r="H15" s="11">
        <f>'dpc-covid19-ita-andamento-naz'!K6</f>
        <v>21</v>
      </c>
      <c r="I15" s="11">
        <f t="shared" si="1"/>
        <v>100.23994501378637</v>
      </c>
      <c r="J15" s="11">
        <f t="shared" si="2"/>
        <v>353.21289334803464</v>
      </c>
      <c r="K15" s="11">
        <f t="shared" si="3"/>
        <v>0</v>
      </c>
      <c r="L15" s="1"/>
      <c r="M15" s="6" t="s">
        <v>7</v>
      </c>
      <c r="N15" s="1">
        <f>Critical_t*SE_of_y</f>
        <v>4568.373927144663</v>
      </c>
      <c r="AB15" s="37"/>
    </row>
    <row r="16" spans="2:28" ht="15" thickBot="1" x14ac:dyDescent="0.35">
      <c r="B16" s="10">
        <v>43890</v>
      </c>
      <c r="C16" s="4">
        <v>10</v>
      </c>
      <c r="D16" s="11">
        <f>'dpc-covid19-ita-andamento-naz'!L7</f>
        <v>1128</v>
      </c>
      <c r="E16" s="11">
        <f t="shared" si="0"/>
        <v>1251.7976125241332</v>
      </c>
      <c r="F16" s="11">
        <f t="shared" si="4"/>
        <v>5820.171539668796</v>
      </c>
      <c r="G16" s="11">
        <f t="shared" si="5"/>
        <v>0</v>
      </c>
      <c r="H16" s="11">
        <f>'dpc-covid19-ita-andamento-naz'!K7</f>
        <v>29</v>
      </c>
      <c r="I16" s="11">
        <f t="shared" si="1"/>
        <v>120.57194138596029</v>
      </c>
      <c r="J16" s="11">
        <f t="shared" si="2"/>
        <v>373.54488972020857</v>
      </c>
      <c r="K16" s="11">
        <f t="shared" si="3"/>
        <v>0</v>
      </c>
      <c r="L16" s="1"/>
      <c r="M16" s="6"/>
      <c r="AB16" s="38"/>
    </row>
    <row r="17" spans="2:28" ht="15" thickTop="1" x14ac:dyDescent="0.3">
      <c r="B17" s="23">
        <v>43891</v>
      </c>
      <c r="C17" s="4">
        <v>11</v>
      </c>
      <c r="D17" s="11">
        <f>'dpc-covid19-ita-andamento-naz'!L8</f>
        <v>1694</v>
      </c>
      <c r="E17" s="11">
        <f t="shared" si="0"/>
        <v>1535.8956502385336</v>
      </c>
      <c r="F17" s="11">
        <f t="shared" si="4"/>
        <v>6104.2695773831965</v>
      </c>
      <c r="G17" s="11">
        <f t="shared" si="5"/>
        <v>0</v>
      </c>
      <c r="H17" s="11">
        <f>'dpc-covid19-ita-andamento-naz'!K8</f>
        <v>34</v>
      </c>
      <c r="I17" s="11">
        <f t="shared" si="1"/>
        <v>144.9951112167287</v>
      </c>
      <c r="J17" s="11">
        <f t="shared" si="2"/>
        <v>397.96805955097699</v>
      </c>
      <c r="K17" s="11">
        <f t="shared" si="3"/>
        <v>0</v>
      </c>
      <c r="L17" s="1"/>
      <c r="M17" s="24" t="s">
        <v>53</v>
      </c>
      <c r="N17" s="3"/>
      <c r="AB17" s="39">
        <f>MAX($N$24)</f>
        <v>0.99929890016114986</v>
      </c>
    </row>
    <row r="18" spans="2:28" x14ac:dyDescent="0.3">
      <c r="B18" s="10">
        <v>43892</v>
      </c>
      <c r="C18" s="4">
        <v>12</v>
      </c>
      <c r="D18" s="11">
        <f>'dpc-covid19-ita-andamento-naz'!L9</f>
        <v>2036</v>
      </c>
      <c r="E18" s="11">
        <f t="shared" si="0"/>
        <v>1883.4476664449551</v>
      </c>
      <c r="F18" s="11">
        <f t="shared" si="4"/>
        <v>6451.8215935896178</v>
      </c>
      <c r="G18" s="11">
        <f t="shared" si="5"/>
        <v>0</v>
      </c>
      <c r="H18" s="11">
        <f>'dpc-covid19-ita-andamento-naz'!K9</f>
        <v>52</v>
      </c>
      <c r="I18" s="11">
        <f t="shared" si="1"/>
        <v>174.318058702797</v>
      </c>
      <c r="J18" s="11">
        <f t="shared" si="2"/>
        <v>427.29100703704529</v>
      </c>
      <c r="K18" s="11">
        <f t="shared" si="3"/>
        <v>0</v>
      </c>
      <c r="L18" s="1"/>
      <c r="M18" s="22" t="s">
        <v>0</v>
      </c>
      <c r="N18" s="5">
        <v>18313</v>
      </c>
      <c r="AB18" s="40">
        <f>COUNT($N$18,$N$19,$N$20)</f>
        <v>3</v>
      </c>
    </row>
    <row r="19" spans="2:28" ht="15.6" x14ac:dyDescent="0.35">
      <c r="B19" s="10">
        <v>43893</v>
      </c>
      <c r="C19" s="4">
        <v>13</v>
      </c>
      <c r="D19" s="11">
        <f>'dpc-covid19-ita-andamento-naz'!L10</f>
        <v>2502</v>
      </c>
      <c r="E19" s="11">
        <f t="shared" si="0"/>
        <v>2308.1135976295081</v>
      </c>
      <c r="F19" s="11">
        <f t="shared" si="4"/>
        <v>6876.4875247741711</v>
      </c>
      <c r="G19" s="11">
        <f t="shared" si="5"/>
        <v>0</v>
      </c>
      <c r="H19" s="11">
        <f>'dpc-covid19-ita-andamento-naz'!K10</f>
        <v>79</v>
      </c>
      <c r="I19" s="11">
        <f t="shared" si="1"/>
        <v>209.50272200074963</v>
      </c>
      <c r="J19" s="11">
        <f t="shared" si="2"/>
        <v>462.47567033499791</v>
      </c>
      <c r="K19" s="11">
        <f t="shared" si="3"/>
        <v>0</v>
      </c>
      <c r="L19" s="1"/>
      <c r="M19" s="22" t="s">
        <v>27</v>
      </c>
      <c r="N19" s="5">
        <v>37</v>
      </c>
      <c r="AB19" s="40" t="b">
        <f>$N$18=INT($N$18)</f>
        <v>1</v>
      </c>
    </row>
    <row r="20" spans="2:28" x14ac:dyDescent="0.3">
      <c r="B20" s="10">
        <v>43894</v>
      </c>
      <c r="C20" s="4">
        <v>14</v>
      </c>
      <c r="D20" s="11">
        <f>'dpc-covid19-ita-andamento-naz'!L11</f>
        <v>3089</v>
      </c>
      <c r="E20" s="11">
        <f t="shared" si="0"/>
        <v>2826.2390049471251</v>
      </c>
      <c r="F20" s="11">
        <f t="shared" si="4"/>
        <v>7394.612932091788</v>
      </c>
      <c r="G20" s="11">
        <f t="shared" si="5"/>
        <v>0</v>
      </c>
      <c r="H20" s="11">
        <f>'dpc-covid19-ita-andamento-naz'!K11</f>
        <v>107</v>
      </c>
      <c r="I20" s="11">
        <f t="shared" si="1"/>
        <v>251.69057659866061</v>
      </c>
      <c r="J20" s="11">
        <f t="shared" si="2"/>
        <v>504.6635249329089</v>
      </c>
      <c r="K20" s="11">
        <f t="shared" si="3"/>
        <v>0</v>
      </c>
      <c r="L20" s="1"/>
      <c r="M20" s="22" t="s">
        <v>1</v>
      </c>
      <c r="N20" s="25">
        <v>5.3822234341743744</v>
      </c>
      <c r="AB20" s="40" t="b">
        <f>$N$19=INT($N$19)</f>
        <v>1</v>
      </c>
    </row>
    <row r="21" spans="2:28" x14ac:dyDescent="0.3">
      <c r="B21" s="23">
        <v>43895</v>
      </c>
      <c r="C21" s="4">
        <v>15</v>
      </c>
      <c r="D21" s="11">
        <f>'dpc-covid19-ita-andamento-naz'!L12</f>
        <v>3858</v>
      </c>
      <c r="E21" s="11">
        <f t="shared" si="0"/>
        <v>3457.256590779476</v>
      </c>
      <c r="F21" s="11">
        <f t="shared" si="4"/>
        <v>8025.630517924139</v>
      </c>
      <c r="G21" s="11">
        <f t="shared" si="5"/>
        <v>0</v>
      </c>
      <c r="H21" s="11">
        <f>'dpc-covid19-ita-andamento-naz'!K12</f>
        <v>148</v>
      </c>
      <c r="I21" s="11">
        <f t="shared" si="1"/>
        <v>302.23202976571685</v>
      </c>
      <c r="J21" s="11">
        <f t="shared" si="2"/>
        <v>555.20497809996516</v>
      </c>
      <c r="K21" s="11">
        <f t="shared" si="3"/>
        <v>49.259081431468559</v>
      </c>
      <c r="L21" s="1"/>
      <c r="M21" s="2" t="s">
        <v>2</v>
      </c>
      <c r="N21" s="1">
        <f>AVERAGE(H7:H70)</f>
        <v>3600.431818181818</v>
      </c>
      <c r="AB21" s="40">
        <f>{32767;32767;0.000001;0;FALSE;FALSE;FALSE;1;2;1;0.0001;TRUE}</f>
        <v>32767</v>
      </c>
    </row>
    <row r="22" spans="2:28" ht="15" thickBot="1" x14ac:dyDescent="0.35">
      <c r="B22" s="10">
        <v>43896</v>
      </c>
      <c r="C22" s="4">
        <v>16</v>
      </c>
      <c r="D22" s="11">
        <f>'dpc-covid19-ita-andamento-naz'!L13</f>
        <v>4636</v>
      </c>
      <c r="E22" s="11">
        <f t="shared" si="0"/>
        <v>4224.083212484411</v>
      </c>
      <c r="F22" s="11">
        <f t="shared" si="4"/>
        <v>8792.4571396290739</v>
      </c>
      <c r="G22" s="11">
        <f t="shared" si="5"/>
        <v>0</v>
      </c>
      <c r="H22" s="11">
        <f>'dpc-covid19-ita-andamento-naz'!K13</f>
        <v>197</v>
      </c>
      <c r="I22" s="11">
        <f t="shared" si="1"/>
        <v>362.71878423172933</v>
      </c>
      <c r="J22" s="11">
        <f t="shared" si="2"/>
        <v>615.69173256597765</v>
      </c>
      <c r="K22" s="11">
        <f t="shared" si="3"/>
        <v>109.74583589748104</v>
      </c>
      <c r="L22" s="1"/>
      <c r="M22" s="2" t="s">
        <v>3</v>
      </c>
      <c r="N22" s="1">
        <f>COUNT(H7:H70)-COUNT(N18:N20)</f>
        <v>41</v>
      </c>
      <c r="AB22" s="42">
        <f>{0;0;1;100;0;FALSE;FALSE;0.075;0;0;FALSE;30}</f>
        <v>0</v>
      </c>
    </row>
    <row r="23" spans="2:28" x14ac:dyDescent="0.3">
      <c r="B23" s="10">
        <v>43897</v>
      </c>
      <c r="C23" s="4">
        <v>17</v>
      </c>
      <c r="D23" s="11">
        <f>'dpc-covid19-ita-andamento-naz'!L14</f>
        <v>5883</v>
      </c>
      <c r="E23" s="11">
        <f t="shared" si="0"/>
        <v>5153.4725231486491</v>
      </c>
      <c r="F23" s="11">
        <f t="shared" si="4"/>
        <v>9721.846450293313</v>
      </c>
      <c r="G23" s="11">
        <f t="shared" si="5"/>
        <v>585.09859600398613</v>
      </c>
      <c r="H23" s="11">
        <f>'dpc-covid19-ita-andamento-naz'!K14</f>
        <v>233</v>
      </c>
      <c r="I23" s="11">
        <f t="shared" si="1"/>
        <v>435.0185793014702</v>
      </c>
      <c r="J23" s="11">
        <f t="shared" si="2"/>
        <v>687.99152763571851</v>
      </c>
      <c r="K23" s="11">
        <f t="shared" si="3"/>
        <v>182.04563096722191</v>
      </c>
      <c r="L23" s="1"/>
      <c r="M23" s="2" t="s">
        <v>4</v>
      </c>
      <c r="N23" s="7" cm="1">
        <f t="array" ref="N23">SQRT(SUM((H7:H50-I7:I50)^2)/dfh)</f>
        <v>125.26259780655022</v>
      </c>
    </row>
    <row r="24" spans="2:28" ht="16.2" x14ac:dyDescent="0.3">
      <c r="B24" s="23">
        <v>43898</v>
      </c>
      <c r="C24" s="4">
        <v>18</v>
      </c>
      <c r="D24" s="11">
        <f>'dpc-covid19-ita-andamento-naz'!L15</f>
        <v>7375</v>
      </c>
      <c r="E24" s="11">
        <f t="shared" si="0"/>
        <v>6276.2622487901817</v>
      </c>
      <c r="F24" s="11">
        <f t="shared" si="4"/>
        <v>10844.636175934844</v>
      </c>
      <c r="G24" s="11">
        <f t="shared" si="5"/>
        <v>1707.8883216455188</v>
      </c>
      <c r="H24" s="11">
        <f>'dpc-covid19-ita-andamento-naz'!K15</f>
        <v>366</v>
      </c>
      <c r="I24" s="11">
        <f t="shared" si="1"/>
        <v>521.31117196771493</v>
      </c>
      <c r="J24" s="11">
        <f t="shared" si="2"/>
        <v>774.28412030196318</v>
      </c>
      <c r="K24" s="11">
        <f t="shared" si="3"/>
        <v>268.33822363346667</v>
      </c>
      <c r="L24" s="1"/>
      <c r="M24" s="2" t="s">
        <v>5</v>
      </c>
      <c r="N24" s="8" cm="1">
        <f t="array" ref="N24">1-SUM((H7:H50-I7:I50)^2)/SUM((H7:H50-Mean_of_yh)^2)</f>
        <v>0.99929890016114986</v>
      </c>
    </row>
    <row r="25" spans="2:28" x14ac:dyDescent="0.3">
      <c r="B25" s="10">
        <v>43899</v>
      </c>
      <c r="C25" s="4">
        <v>19</v>
      </c>
      <c r="D25" s="11">
        <f>'dpc-covid19-ita-andamento-naz'!L16</f>
        <v>9172</v>
      </c>
      <c r="E25" s="11">
        <f t="shared" si="0"/>
        <v>7627.4283522129608</v>
      </c>
      <c r="F25" s="11">
        <f t="shared" si="4"/>
        <v>12195.802279357624</v>
      </c>
      <c r="G25" s="11">
        <f t="shared" si="5"/>
        <v>3059.0544250682979</v>
      </c>
      <c r="H25" s="11">
        <f>'dpc-covid19-ita-andamento-naz'!K16</f>
        <v>463</v>
      </c>
      <c r="I25" s="11">
        <f t="shared" si="1"/>
        <v>624.1236474220849</v>
      </c>
      <c r="J25" s="11">
        <f t="shared" si="2"/>
        <v>877.09659575633316</v>
      </c>
      <c r="K25" s="11">
        <f t="shared" si="3"/>
        <v>371.15069908783664</v>
      </c>
      <c r="L25" s="1"/>
      <c r="M25" s="2" t="s">
        <v>6</v>
      </c>
      <c r="N25" s="8">
        <f>TINV(0.05,dfh)</f>
        <v>2.0195409704413767</v>
      </c>
    </row>
    <row r="26" spans="2:28" x14ac:dyDescent="0.3">
      <c r="B26" s="23">
        <v>43900</v>
      </c>
      <c r="C26" s="4">
        <v>20</v>
      </c>
      <c r="D26" s="11">
        <f>'dpc-covid19-ita-andamento-naz'!L17</f>
        <v>10149</v>
      </c>
      <c r="E26" s="11">
        <f t="shared" si="0"/>
        <v>9245.827250893326</v>
      </c>
      <c r="F26" s="11">
        <f t="shared" si="4"/>
        <v>13814.201178037989</v>
      </c>
      <c r="G26" s="11">
        <f t="shared" si="5"/>
        <v>4677.453323748663</v>
      </c>
      <c r="H26" s="11">
        <f>'dpc-covid19-ita-andamento-naz'!K17</f>
        <v>631</v>
      </c>
      <c r="I26" s="11">
        <f t="shared" si="1"/>
        <v>746.3620947616356</v>
      </c>
      <c r="J26" s="11">
        <f t="shared" si="2"/>
        <v>999.33504309588386</v>
      </c>
      <c r="K26" s="11">
        <f t="shared" si="3"/>
        <v>493.38914642738735</v>
      </c>
      <c r="L26" s="1"/>
      <c r="M26" s="2" t="s">
        <v>7</v>
      </c>
      <c r="N26" s="1">
        <f>Critical_th*SE_of_yh</f>
        <v>252.97294833424829</v>
      </c>
    </row>
    <row r="27" spans="2:28" x14ac:dyDescent="0.3">
      <c r="B27" s="10">
        <v>43901</v>
      </c>
      <c r="C27" s="4">
        <v>21</v>
      </c>
      <c r="D27" s="11">
        <f>'dpc-covid19-ita-andamento-naz'!L18</f>
        <v>12462</v>
      </c>
      <c r="E27" s="11">
        <f t="shared" si="0"/>
        <v>11173.475875825534</v>
      </c>
      <c r="F27" s="11">
        <f t="shared" si="4"/>
        <v>15741.849802970197</v>
      </c>
      <c r="G27" s="11">
        <f t="shared" si="5"/>
        <v>6605.1019486808709</v>
      </c>
      <c r="H27" s="11">
        <f>'dpc-covid19-ita-andamento-naz'!K18</f>
        <v>827</v>
      </c>
      <c r="I27" s="11">
        <f t="shared" si="1"/>
        <v>891.33530748249234</v>
      </c>
      <c r="J27" s="11">
        <f t="shared" si="2"/>
        <v>1144.3082558167407</v>
      </c>
      <c r="K27" s="11">
        <f t="shared" si="3"/>
        <v>638.36235914824408</v>
      </c>
      <c r="L27" s="1"/>
      <c r="M27" s="6"/>
    </row>
    <row r="28" spans="2:28" x14ac:dyDescent="0.3">
      <c r="B28" s="23">
        <v>43902</v>
      </c>
      <c r="C28" s="4">
        <v>22</v>
      </c>
      <c r="D28" s="11">
        <f>'dpc-covid19-ita-andamento-naz'!L19</f>
        <v>15113</v>
      </c>
      <c r="E28" s="11">
        <f t="shared" si="0"/>
        <v>13454.195957932339</v>
      </c>
      <c r="F28" s="11">
        <f t="shared" si="4"/>
        <v>18022.569885077002</v>
      </c>
      <c r="G28" s="11">
        <f t="shared" si="5"/>
        <v>8885.8220307876763</v>
      </c>
      <c r="H28" s="11">
        <f>'dpc-covid19-ita-andamento-naz'!K19</f>
        <v>1016</v>
      </c>
      <c r="I28" s="11">
        <f t="shared" si="1"/>
        <v>1062.7644595976583</v>
      </c>
      <c r="J28" s="11">
        <f t="shared" si="2"/>
        <v>1315.7374079319065</v>
      </c>
      <c r="K28" s="11">
        <f t="shared" si="3"/>
        <v>809.79151126341003</v>
      </c>
      <c r="L28" s="1"/>
      <c r="M28" s="6"/>
    </row>
    <row r="29" spans="2:28" x14ac:dyDescent="0.3">
      <c r="B29" s="10">
        <v>43903</v>
      </c>
      <c r="C29" s="4">
        <v>23</v>
      </c>
      <c r="D29" s="11">
        <f>'dpc-covid19-ita-andamento-naz'!L20</f>
        <v>17660</v>
      </c>
      <c r="E29" s="11">
        <f t="shared" si="0"/>
        <v>16131.447443741828</v>
      </c>
      <c r="F29" s="11">
        <f t="shared" si="4"/>
        <v>20699.821370886493</v>
      </c>
      <c r="G29" s="11">
        <f t="shared" si="5"/>
        <v>11563.073516597166</v>
      </c>
      <c r="H29" s="11">
        <f>'dpc-covid19-ita-andamento-naz'!K20</f>
        <v>1266</v>
      </c>
      <c r="I29" s="11">
        <f t="shared" si="1"/>
        <v>1264.770724011189</v>
      </c>
      <c r="J29" s="11">
        <f t="shared" si="2"/>
        <v>1517.7436723454373</v>
      </c>
      <c r="K29" s="11">
        <f t="shared" si="3"/>
        <v>1011.7977756769408</v>
      </c>
      <c r="L29" s="1"/>
    </row>
    <row r="30" spans="2:28" x14ac:dyDescent="0.3">
      <c r="B30" s="10">
        <v>43904</v>
      </c>
      <c r="C30" s="4">
        <v>24</v>
      </c>
      <c r="D30" s="11">
        <f>'dpc-covid19-ita-andamento-naz'!L21</f>
        <v>21157</v>
      </c>
      <c r="E30" s="11">
        <f t="shared" si="0"/>
        <v>19245.216173755118</v>
      </c>
      <c r="F30" s="11">
        <f t="shared" si="4"/>
        <v>23813.590100899783</v>
      </c>
      <c r="G30" s="11">
        <f t="shared" si="5"/>
        <v>14676.842246610455</v>
      </c>
      <c r="H30" s="11">
        <f>'dpc-covid19-ita-andamento-naz'!K21</f>
        <v>1441</v>
      </c>
      <c r="I30" s="11">
        <f t="shared" si="1"/>
        <v>1501.8307148794786</v>
      </c>
      <c r="J30" s="11">
        <f t="shared" si="2"/>
        <v>1754.8036632137268</v>
      </c>
      <c r="K30" s="11">
        <f t="shared" si="3"/>
        <v>1248.8577665452303</v>
      </c>
      <c r="L30" s="1"/>
    </row>
    <row r="31" spans="2:28" x14ac:dyDescent="0.3">
      <c r="B31" s="10">
        <v>43905</v>
      </c>
      <c r="C31" s="4">
        <v>25</v>
      </c>
      <c r="D31" s="11">
        <f>'dpc-covid19-ita-andamento-naz'!L22</f>
        <v>24747</v>
      </c>
      <c r="E31" s="11">
        <f t="shared" si="0"/>
        <v>22827.925768558718</v>
      </c>
      <c r="F31" s="11">
        <f t="shared" si="4"/>
        <v>27396.299695703383</v>
      </c>
      <c r="G31" s="11">
        <f t="shared" si="5"/>
        <v>18259.551841414053</v>
      </c>
      <c r="H31" s="11">
        <f>'dpc-covid19-ita-andamento-naz'!K22</f>
        <v>1809</v>
      </c>
      <c r="I31" s="11">
        <f t="shared" si="1"/>
        <v>1778.6878070629693</v>
      </c>
      <c r="J31" s="11">
        <f t="shared" si="2"/>
        <v>2031.6607553972176</v>
      </c>
      <c r="K31" s="11">
        <f t="shared" si="3"/>
        <v>1525.7148587287211</v>
      </c>
      <c r="L31" s="1"/>
    </row>
    <row r="32" spans="2:28" x14ac:dyDescent="0.3">
      <c r="B32" s="10">
        <v>43906</v>
      </c>
      <c r="C32" s="4">
        <v>26</v>
      </c>
      <c r="D32" s="11">
        <f>'dpc-covid19-ita-andamento-naz'!L23</f>
        <v>27980</v>
      </c>
      <c r="E32" s="11">
        <f t="shared" si="0"/>
        <v>26899.530969010262</v>
      </c>
      <c r="F32" s="11">
        <f t="shared" si="4"/>
        <v>31467.904896154927</v>
      </c>
      <c r="G32" s="11">
        <f t="shared" si="5"/>
        <v>22331.157041865597</v>
      </c>
      <c r="H32" s="11">
        <f>'dpc-covid19-ita-andamento-naz'!K23</f>
        <v>2158</v>
      </c>
      <c r="I32" s="11">
        <f t="shared" si="1"/>
        <v>2100.2064194950945</v>
      </c>
      <c r="J32" s="11">
        <f t="shared" si="2"/>
        <v>2353.1793678293429</v>
      </c>
      <c r="K32" s="11">
        <f t="shared" si="3"/>
        <v>1847.2334711608462</v>
      </c>
      <c r="L32" s="1"/>
    </row>
    <row r="33" spans="2:17" x14ac:dyDescent="0.3">
      <c r="B33" s="10">
        <v>43907</v>
      </c>
      <c r="C33" s="4">
        <v>27</v>
      </c>
      <c r="D33" s="11">
        <f>'dpc-covid19-ita-andamento-naz'!L24</f>
        <v>31506</v>
      </c>
      <c r="E33" s="11">
        <f t="shared" si="0"/>
        <v>31462.218052562432</v>
      </c>
      <c r="F33" s="11">
        <f t="shared" si="4"/>
        <v>36030.591979707096</v>
      </c>
      <c r="G33" s="11">
        <f t="shared" si="5"/>
        <v>26893.844125417767</v>
      </c>
      <c r="H33" s="11">
        <f>'dpc-covid19-ita-andamento-naz'!K24</f>
        <v>2503</v>
      </c>
      <c r="I33" s="11">
        <f t="shared" si="1"/>
        <v>2471.1571411044556</v>
      </c>
      <c r="J33" s="11">
        <f t="shared" si="2"/>
        <v>2724.1300894387041</v>
      </c>
      <c r="K33" s="11">
        <f t="shared" si="3"/>
        <v>2218.1841927702071</v>
      </c>
      <c r="L33" s="1"/>
    </row>
    <row r="34" spans="2:17" x14ac:dyDescent="0.3">
      <c r="B34" s="10">
        <v>43908</v>
      </c>
      <c r="C34" s="4">
        <v>28</v>
      </c>
      <c r="D34" s="11">
        <f>'dpc-covid19-ita-andamento-naz'!L25</f>
        <v>35713</v>
      </c>
      <c r="E34" s="11">
        <f t="shared" si="0"/>
        <v>36495.448600197466</v>
      </c>
      <c r="F34" s="11">
        <f t="shared" ref="F34:F49" si="6">E34+CI</f>
        <v>41063.822527342127</v>
      </c>
      <c r="G34" s="11">
        <f t="shared" si="5"/>
        <v>31927.074673052804</v>
      </c>
      <c r="H34" s="11">
        <f>'dpc-covid19-ita-andamento-naz'!K25</f>
        <v>2978</v>
      </c>
      <c r="I34" s="11">
        <f t="shared" si="1"/>
        <v>2895.924275153609</v>
      </c>
      <c r="J34" s="11">
        <f t="shared" si="2"/>
        <v>3148.8972234878574</v>
      </c>
      <c r="K34" s="11">
        <f t="shared" si="3"/>
        <v>2642.9513268193605</v>
      </c>
      <c r="Q34" s="1"/>
    </row>
    <row r="35" spans="2:17" x14ac:dyDescent="0.3">
      <c r="B35" s="10">
        <v>43909</v>
      </c>
      <c r="C35" s="4">
        <v>29</v>
      </c>
      <c r="D35" s="11">
        <f>'dpc-covid19-ita-andamento-naz'!L26</f>
        <v>41035</v>
      </c>
      <c r="E35" s="11">
        <f t="shared" si="0"/>
        <v>41952.347306091011</v>
      </c>
      <c r="F35" s="11">
        <f t="shared" si="6"/>
        <v>46520.721233235672</v>
      </c>
      <c r="G35" s="11">
        <f t="shared" si="5"/>
        <v>37383.97337894635</v>
      </c>
      <c r="H35" s="11">
        <f>'dpc-covid19-ita-andamento-naz'!K26</f>
        <v>3405</v>
      </c>
      <c r="I35" s="11">
        <f t="shared" si="1"/>
        <v>3378.1351881986775</v>
      </c>
      <c r="J35" s="11">
        <f t="shared" si="2"/>
        <v>3631.108136532926</v>
      </c>
      <c r="K35" s="11">
        <f t="shared" si="3"/>
        <v>3125.162239864429</v>
      </c>
    </row>
    <row r="36" spans="2:17" x14ac:dyDescent="0.3">
      <c r="B36" s="10">
        <v>43910</v>
      </c>
      <c r="C36" s="4">
        <v>30</v>
      </c>
      <c r="D36" s="11">
        <f>'dpc-covid19-ita-andamento-naz'!L27</f>
        <v>47021</v>
      </c>
      <c r="E36" s="11">
        <f t="shared" si="0"/>
        <v>47758.523600270462</v>
      </c>
      <c r="F36" s="11">
        <f t="shared" si="6"/>
        <v>52326.897527415123</v>
      </c>
      <c r="G36" s="11">
        <f t="shared" si="5"/>
        <v>43190.149673125801</v>
      </c>
      <c r="H36" s="11">
        <f>'dpc-covid19-ita-andamento-naz'!K27</f>
        <v>4032</v>
      </c>
      <c r="I36" s="11">
        <f t="shared" si="1"/>
        <v>3920.223621617261</v>
      </c>
      <c r="J36" s="11">
        <f t="shared" si="2"/>
        <v>4173.1965699515094</v>
      </c>
      <c r="K36" s="11">
        <f t="shared" si="3"/>
        <v>3667.2506732830125</v>
      </c>
    </row>
    <row r="37" spans="2:17" x14ac:dyDescent="0.3">
      <c r="B37" s="10">
        <v>43911</v>
      </c>
      <c r="C37" s="4">
        <v>31</v>
      </c>
      <c r="D37" s="11">
        <f>'dpc-covid19-ita-andamento-naz'!L28</f>
        <v>53578</v>
      </c>
      <c r="E37" s="11">
        <f t="shared" si="0"/>
        <v>53814.205053371821</v>
      </c>
      <c r="F37" s="11">
        <f t="shared" si="6"/>
        <v>58382.578980516482</v>
      </c>
      <c r="G37" s="11">
        <f t="shared" si="5"/>
        <v>49245.83112622716</v>
      </c>
      <c r="H37" s="11">
        <f>'dpc-covid19-ita-andamento-naz'!K28</f>
        <v>4825</v>
      </c>
      <c r="I37" s="11">
        <f t="shared" si="1"/>
        <v>4522.9566762856866</v>
      </c>
      <c r="J37" s="11">
        <f t="shared" si="2"/>
        <v>4775.9296246199347</v>
      </c>
      <c r="K37" s="11">
        <f t="shared" si="3"/>
        <v>4269.9837279514386</v>
      </c>
    </row>
    <row r="38" spans="2:17" x14ac:dyDescent="0.3">
      <c r="B38" s="10">
        <v>43912</v>
      </c>
      <c r="C38" s="4">
        <v>32</v>
      </c>
      <c r="D38" s="11">
        <f>'dpc-covid19-ita-andamento-naz'!L29</f>
        <v>59138</v>
      </c>
      <c r="E38" s="11">
        <f t="shared" si="0"/>
        <v>60000</v>
      </c>
      <c r="F38" s="11">
        <f t="shared" si="6"/>
        <v>64568.373927144661</v>
      </c>
      <c r="G38" s="11">
        <f t="shared" ref="G38:G49" si="7">MAX(E38-CI,0)</f>
        <v>55431.626072855339</v>
      </c>
      <c r="H38" s="11">
        <f>'dpc-covid19-ita-andamento-naz'!K29</f>
        <v>5476</v>
      </c>
      <c r="I38" s="11">
        <f t="shared" si="1"/>
        <v>5184.9755082633001</v>
      </c>
      <c r="J38" s="11">
        <f t="shared" si="2"/>
        <v>5437.9484565975481</v>
      </c>
      <c r="K38" s="11">
        <f t="shared" si="3"/>
        <v>4932.002559929052</v>
      </c>
    </row>
    <row r="39" spans="2:17" x14ac:dyDescent="0.3">
      <c r="B39" s="23">
        <v>43913</v>
      </c>
      <c r="C39" s="4">
        <v>33</v>
      </c>
      <c r="D39" s="11">
        <f>'dpc-covid19-ita-andamento-naz'!L30</f>
        <v>63927</v>
      </c>
      <c r="E39" s="11">
        <f t="shared" ref="E39:E70" si="8">K/(1+EXP(-($C39-t0)/w))</f>
        <v>66185.794946628172</v>
      </c>
      <c r="F39" s="11">
        <f t="shared" si="6"/>
        <v>70754.16887377284</v>
      </c>
      <c r="G39" s="11">
        <f t="shared" si="7"/>
        <v>61617.42101948351</v>
      </c>
      <c r="H39" s="11">
        <f>'dpc-covid19-ita-andamento-naz'!K30</f>
        <v>6077</v>
      </c>
      <c r="I39" s="11">
        <f t="shared" ref="I39:I70" si="9">Kh/(1+EXP(-($C39-t0h)/wh))</f>
        <v>5902.4184691081191</v>
      </c>
      <c r="J39" s="11">
        <f t="shared" si="2"/>
        <v>6155.3914174423671</v>
      </c>
      <c r="K39" s="11">
        <f t="shared" si="3"/>
        <v>5649.4455207738711</v>
      </c>
    </row>
    <row r="40" spans="2:17" x14ac:dyDescent="0.3">
      <c r="B40" s="10">
        <v>43914</v>
      </c>
      <c r="C40" s="4">
        <v>34</v>
      </c>
      <c r="D40" s="11">
        <f>'dpc-covid19-ita-andamento-naz'!L31</f>
        <v>69176</v>
      </c>
      <c r="E40" s="11">
        <f t="shared" si="8"/>
        <v>72241.476399729538</v>
      </c>
      <c r="F40" s="11">
        <f t="shared" si="6"/>
        <v>76809.850326874206</v>
      </c>
      <c r="G40" s="11">
        <f t="shared" si="7"/>
        <v>67673.102472584869</v>
      </c>
      <c r="H40" s="11">
        <f>'dpc-covid19-ita-andamento-naz'!K31</f>
        <v>6820</v>
      </c>
      <c r="I40" s="11">
        <f t="shared" si="9"/>
        <v>6668.7058970927155</v>
      </c>
      <c r="J40" s="11">
        <f t="shared" si="2"/>
        <v>6921.6788454269636</v>
      </c>
      <c r="K40" s="11">
        <f t="shared" si="3"/>
        <v>6415.7329487584675</v>
      </c>
    </row>
    <row r="41" spans="2:17" x14ac:dyDescent="0.3">
      <c r="B41" s="10">
        <v>43915</v>
      </c>
      <c r="C41" s="4">
        <v>35</v>
      </c>
      <c r="D41" s="11">
        <f>'dpc-covid19-ita-andamento-naz'!L32</f>
        <v>74386</v>
      </c>
      <c r="E41" s="11">
        <f t="shared" si="8"/>
        <v>78047.652693908982</v>
      </c>
      <c r="F41" s="11">
        <f t="shared" si="6"/>
        <v>82616.02662105365</v>
      </c>
      <c r="G41" s="11">
        <f t="shared" si="7"/>
        <v>73479.278766764313</v>
      </c>
      <c r="H41" s="11">
        <f>'dpc-covid19-ita-andamento-naz'!K32</f>
        <v>7503</v>
      </c>
      <c r="I41" s="11">
        <f t="shared" si="9"/>
        <v>7474.5607919774411</v>
      </c>
      <c r="J41" s="11">
        <f t="shared" si="2"/>
        <v>7727.5337403116891</v>
      </c>
      <c r="K41" s="11">
        <f t="shared" si="3"/>
        <v>7221.5878436431931</v>
      </c>
    </row>
    <row r="42" spans="2:17" x14ac:dyDescent="0.3">
      <c r="B42" s="10">
        <v>43916</v>
      </c>
      <c r="C42" s="4">
        <v>36</v>
      </c>
      <c r="D42" s="11">
        <f>'dpc-covid19-ita-andamento-naz'!L33</f>
        <v>80539</v>
      </c>
      <c r="E42" s="11">
        <f t="shared" si="8"/>
        <v>83504.551399802527</v>
      </c>
      <c r="F42" s="11">
        <f t="shared" si="6"/>
        <v>88072.925326947196</v>
      </c>
      <c r="G42" s="11">
        <f t="shared" si="7"/>
        <v>78936.177472657859</v>
      </c>
      <c r="H42" s="11">
        <f>'dpc-covid19-ita-andamento-naz'!K33</f>
        <v>8165</v>
      </c>
      <c r="I42" s="11">
        <f t="shared" si="9"/>
        <v>8308.3142849513642</v>
      </c>
      <c r="J42" s="11">
        <f t="shared" si="2"/>
        <v>8561.2872332856132</v>
      </c>
      <c r="K42" s="11">
        <f t="shared" si="3"/>
        <v>8055.3413366171162</v>
      </c>
    </row>
    <row r="43" spans="2:17" x14ac:dyDescent="0.3">
      <c r="B43" s="10">
        <v>43917</v>
      </c>
      <c r="C43" s="4">
        <v>37</v>
      </c>
      <c r="D43" s="11">
        <f>'dpc-covid19-ita-andamento-naz'!L34</f>
        <v>86498</v>
      </c>
      <c r="E43" s="11">
        <f t="shared" si="8"/>
        <v>88537.781947437572</v>
      </c>
      <c r="F43" s="11">
        <f t="shared" si="6"/>
        <v>93106.15587458224</v>
      </c>
      <c r="G43" s="11">
        <f t="shared" si="7"/>
        <v>83969.408020292904</v>
      </c>
      <c r="H43" s="11">
        <f>'dpc-covid19-ita-andamento-naz'!K34</f>
        <v>9134</v>
      </c>
      <c r="I43" s="11">
        <f t="shared" si="9"/>
        <v>9156.5</v>
      </c>
      <c r="J43" s="11">
        <f t="shared" si="2"/>
        <v>9409.4729483342489</v>
      </c>
      <c r="K43" s="11">
        <f t="shared" si="3"/>
        <v>8903.5270516657511</v>
      </c>
    </row>
    <row r="44" spans="2:17" x14ac:dyDescent="0.3">
      <c r="B44" s="10">
        <v>43918</v>
      </c>
      <c r="C44" s="4">
        <v>38</v>
      </c>
      <c r="D44" s="11">
        <f>'dpc-covid19-ita-andamento-naz'!L35</f>
        <v>92472</v>
      </c>
      <c r="E44" s="11">
        <f t="shared" si="8"/>
        <v>93100.469030989741</v>
      </c>
      <c r="F44" s="11">
        <f t="shared" si="6"/>
        <v>97668.84295813441</v>
      </c>
      <c r="G44" s="11">
        <f t="shared" si="7"/>
        <v>88532.095103845073</v>
      </c>
      <c r="H44" s="11">
        <f>'dpc-covid19-ita-andamento-naz'!K35</f>
        <v>10023</v>
      </c>
      <c r="I44" s="11">
        <f t="shared" si="9"/>
        <v>10004.685715048638</v>
      </c>
      <c r="J44" s="11">
        <f t="shared" si="2"/>
        <v>10257.658663382887</v>
      </c>
      <c r="K44" s="11">
        <f t="shared" si="3"/>
        <v>9751.7127667143886</v>
      </c>
    </row>
    <row r="45" spans="2:17" x14ac:dyDescent="0.3">
      <c r="B45" s="10">
        <v>43919</v>
      </c>
      <c r="C45" s="4">
        <v>39</v>
      </c>
      <c r="D45" s="11">
        <f>'dpc-covid19-ita-andamento-naz'!L36</f>
        <v>97689</v>
      </c>
      <c r="E45" s="11">
        <f t="shared" si="8"/>
        <v>97172.074231441278</v>
      </c>
      <c r="F45" s="11">
        <f t="shared" si="6"/>
        <v>101740.44815858595</v>
      </c>
      <c r="G45" s="11">
        <f t="shared" si="7"/>
        <v>92603.70030429661</v>
      </c>
      <c r="H45" s="11">
        <f>'dpc-covid19-ita-andamento-naz'!K36</f>
        <v>10779</v>
      </c>
      <c r="I45" s="11">
        <f t="shared" si="9"/>
        <v>10838.439208022559</v>
      </c>
      <c r="J45" s="11">
        <f t="shared" si="2"/>
        <v>11091.412156356808</v>
      </c>
      <c r="K45" s="11">
        <f t="shared" si="3"/>
        <v>10585.46625968831</v>
      </c>
    </row>
    <row r="46" spans="2:17" x14ac:dyDescent="0.3">
      <c r="B46" s="10">
        <v>43920</v>
      </c>
      <c r="C46" s="4">
        <v>40</v>
      </c>
      <c r="D46" s="11">
        <f>'dpc-covid19-ita-andamento-naz'!L37</f>
        <v>101739</v>
      </c>
      <c r="E46" s="11">
        <f t="shared" si="8"/>
        <v>100754.78382624488</v>
      </c>
      <c r="F46" s="11">
        <f t="shared" si="6"/>
        <v>105323.15775338955</v>
      </c>
      <c r="G46" s="11">
        <f t="shared" si="7"/>
        <v>96186.40989910021</v>
      </c>
      <c r="H46" s="11">
        <f>'dpc-covid19-ita-andamento-naz'!K37</f>
        <v>11591</v>
      </c>
      <c r="I46" s="11">
        <f t="shared" si="9"/>
        <v>11644.294102907283</v>
      </c>
      <c r="J46" s="11">
        <f t="shared" si="2"/>
        <v>11897.267051241532</v>
      </c>
      <c r="K46" s="11">
        <f t="shared" si="3"/>
        <v>11391.321154573034</v>
      </c>
    </row>
    <row r="47" spans="2:17" x14ac:dyDescent="0.3">
      <c r="B47" s="10">
        <v>43921</v>
      </c>
      <c r="C47" s="4">
        <v>41</v>
      </c>
      <c r="D47" s="11">
        <f>'dpc-covid19-ita-andamento-naz'!L38</f>
        <v>105792</v>
      </c>
      <c r="E47" s="11">
        <f t="shared" si="8"/>
        <v>103868.55255625818</v>
      </c>
      <c r="F47" s="11">
        <f t="shared" si="6"/>
        <v>108436.92648340284</v>
      </c>
      <c r="G47" s="11">
        <f t="shared" si="7"/>
        <v>99300.178629113507</v>
      </c>
      <c r="H47" s="11">
        <f>'dpc-covid19-ita-andamento-naz'!K38</f>
        <v>12428</v>
      </c>
      <c r="I47" s="11">
        <f t="shared" si="9"/>
        <v>12410.581530891881</v>
      </c>
      <c r="J47" s="11">
        <f t="shared" si="2"/>
        <v>12663.55447922613</v>
      </c>
      <c r="K47" s="11">
        <f>MAX(I47-CIh,0)</f>
        <v>12157.608582557632</v>
      </c>
    </row>
    <row r="48" spans="2:17" x14ac:dyDescent="0.3">
      <c r="B48" s="10">
        <v>43922</v>
      </c>
      <c r="C48" s="4">
        <v>42</v>
      </c>
      <c r="D48" s="11">
        <f>'dpc-covid19-ita-andamento-naz'!L39</f>
        <v>110574</v>
      </c>
      <c r="E48" s="11">
        <f t="shared" si="8"/>
        <v>106545.80404206767</v>
      </c>
      <c r="F48" s="11">
        <f t="shared" si="6"/>
        <v>111114.17796921234</v>
      </c>
      <c r="G48" s="11">
        <f t="shared" si="7"/>
        <v>101977.430114923</v>
      </c>
      <c r="H48" s="11">
        <f>'dpc-covid19-ita-andamento-naz'!K39</f>
        <v>13155</v>
      </c>
      <c r="I48" s="11">
        <f t="shared" si="9"/>
        <v>13128.0244917367</v>
      </c>
      <c r="J48" s="11">
        <f t="shared" ref="J48:J49" si="10">I48+CIh</f>
        <v>13380.997440070949</v>
      </c>
      <c r="K48" s="11">
        <f>MAX(I48-CIh,0)</f>
        <v>12875.051543402451</v>
      </c>
    </row>
    <row r="49" spans="2:11" x14ac:dyDescent="0.3">
      <c r="B49" s="10">
        <v>43923</v>
      </c>
      <c r="C49" s="4">
        <v>43</v>
      </c>
      <c r="D49" s="11">
        <f>'dpc-covid19-ita-andamento-naz'!L40</f>
        <v>115242</v>
      </c>
      <c r="E49" s="11">
        <f t="shared" si="8"/>
        <v>108826.52412417447</v>
      </c>
      <c r="F49" s="11">
        <f t="shared" si="6"/>
        <v>113394.89805131913</v>
      </c>
      <c r="G49" s="11">
        <f t="shared" si="7"/>
        <v>104258.1501970298</v>
      </c>
      <c r="H49" s="11">
        <f>'dpc-covid19-ita-andamento-naz'!K40</f>
        <v>13915</v>
      </c>
      <c r="I49" s="11">
        <f t="shared" si="9"/>
        <v>13790.043323714312</v>
      </c>
      <c r="J49" s="11">
        <f t="shared" si="10"/>
        <v>14043.01627204856</v>
      </c>
      <c r="K49" s="11">
        <f>MAX(I49-CIh,0)</f>
        <v>13537.070375380063</v>
      </c>
    </row>
    <row r="50" spans="2:11" x14ac:dyDescent="0.3">
      <c r="B50" s="10">
        <v>43924</v>
      </c>
      <c r="C50" s="4">
        <v>44</v>
      </c>
      <c r="D50" s="11">
        <f>'dpc-covid19-ita-andamento-naz'!L41</f>
        <v>119827</v>
      </c>
      <c r="E50" s="11">
        <f t="shared" si="8"/>
        <v>110754.17274910666</v>
      </c>
      <c r="F50" s="11">
        <f t="shared" ref="F50" si="11">E50+CI</f>
        <v>115322.54667625132</v>
      </c>
      <c r="G50" s="11">
        <f t="shared" ref="G50" si="12">MAX(E50-CI,0)</f>
        <v>106185.79882196199</v>
      </c>
      <c r="H50" s="11">
        <f>'dpc-covid19-ita-andamento-naz'!K41</f>
        <v>14681</v>
      </c>
      <c r="I50" s="11">
        <f t="shared" si="9"/>
        <v>14392.776378382739</v>
      </c>
      <c r="J50" s="11">
        <f t="shared" ref="J50" si="13">I50+CIh</f>
        <v>14645.749326716988</v>
      </c>
      <c r="K50" s="11">
        <f>MAX(I50-CIh,0)</f>
        <v>14139.803430048491</v>
      </c>
    </row>
    <row r="51" spans="2:11" x14ac:dyDescent="0.3">
      <c r="B51" s="10">
        <v>43925</v>
      </c>
      <c r="C51" s="4">
        <v>45</v>
      </c>
      <c r="E51" s="11">
        <f t="shared" si="8"/>
        <v>112372.57164778704</v>
      </c>
      <c r="I51" s="11">
        <f t="shared" si="9"/>
        <v>14934.864811801323</v>
      </c>
    </row>
    <row r="52" spans="2:11" x14ac:dyDescent="0.3">
      <c r="B52" s="10">
        <v>43926</v>
      </c>
      <c r="C52" s="4">
        <v>46</v>
      </c>
      <c r="E52" s="11">
        <f t="shared" si="8"/>
        <v>113723.7377512098</v>
      </c>
      <c r="I52" s="11">
        <f t="shared" si="9"/>
        <v>15417.075724846392</v>
      </c>
    </row>
    <row r="53" spans="2:11" x14ac:dyDescent="0.3">
      <c r="B53" s="10">
        <v>43927</v>
      </c>
      <c r="C53" s="4">
        <v>47</v>
      </c>
      <c r="E53" s="11">
        <f t="shared" si="8"/>
        <v>114846.52747685135</v>
      </c>
      <c r="I53" s="11">
        <f t="shared" si="9"/>
        <v>15841.842858895545</v>
      </c>
    </row>
    <row r="54" spans="2:11" x14ac:dyDescent="0.3">
      <c r="B54" s="10">
        <v>43928</v>
      </c>
      <c r="C54" s="4">
        <v>48</v>
      </c>
      <c r="E54" s="11">
        <f t="shared" si="8"/>
        <v>115775.91678751558</v>
      </c>
      <c r="I54" s="11">
        <f t="shared" si="9"/>
        <v>16212.793580504904</v>
      </c>
    </row>
    <row r="55" spans="2:11" x14ac:dyDescent="0.3">
      <c r="B55" s="10">
        <v>43929</v>
      </c>
      <c r="C55" s="4">
        <v>49</v>
      </c>
      <c r="E55" s="11">
        <f t="shared" si="8"/>
        <v>116542.74340922052</v>
      </c>
      <c r="I55" s="11">
        <f t="shared" si="9"/>
        <v>16534.312192937028</v>
      </c>
    </row>
    <row r="56" spans="2:11" x14ac:dyDescent="0.3">
      <c r="B56" s="10">
        <v>43930</v>
      </c>
      <c r="C56" s="4">
        <v>50</v>
      </c>
      <c r="E56" s="11">
        <f t="shared" si="8"/>
        <v>117173.76099505289</v>
      </c>
      <c r="I56" s="11">
        <f t="shared" si="9"/>
        <v>16811.169285120523</v>
      </c>
    </row>
    <row r="57" spans="2:11" x14ac:dyDescent="0.3">
      <c r="B57" s="10">
        <v>43931</v>
      </c>
      <c r="C57" s="4">
        <v>51</v>
      </c>
      <c r="E57" s="11">
        <f t="shared" si="8"/>
        <v>117691.88640237051</v>
      </c>
      <c r="I57" s="11">
        <f t="shared" si="9"/>
        <v>17048.229275988811</v>
      </c>
    </row>
    <row r="58" spans="2:11" x14ac:dyDescent="0.3">
      <c r="B58" s="10">
        <v>43932</v>
      </c>
      <c r="C58" s="4">
        <v>52</v>
      </c>
      <c r="E58" s="11">
        <f t="shared" si="8"/>
        <v>118116.55233355504</v>
      </c>
      <c r="I58" s="11">
        <f t="shared" si="9"/>
        <v>17250.23554040234</v>
      </c>
    </row>
    <row r="59" spans="2:11" x14ac:dyDescent="0.3">
      <c r="B59" s="10">
        <v>43933</v>
      </c>
      <c r="C59" s="4">
        <v>53</v>
      </c>
      <c r="E59" s="11">
        <f t="shared" si="8"/>
        <v>118464.10434976146</v>
      </c>
      <c r="I59" s="11">
        <f t="shared" si="9"/>
        <v>17421.664692517508</v>
      </c>
    </row>
    <row r="60" spans="2:11" x14ac:dyDescent="0.3">
      <c r="B60" s="10">
        <v>43934</v>
      </c>
      <c r="C60" s="4">
        <v>54</v>
      </c>
      <c r="E60" s="11">
        <f t="shared" si="8"/>
        <v>118748.20238747587</v>
      </c>
      <c r="I60" s="11">
        <f t="shared" si="9"/>
        <v>17566.637905238367</v>
      </c>
    </row>
    <row r="61" spans="2:11" x14ac:dyDescent="0.3">
      <c r="B61" s="10">
        <v>43935</v>
      </c>
      <c r="C61" s="4">
        <v>55</v>
      </c>
      <c r="E61" s="11">
        <f t="shared" si="8"/>
        <v>118980.20255712303</v>
      </c>
      <c r="I61" s="11">
        <f t="shared" si="9"/>
        <v>17688.876352577914</v>
      </c>
    </row>
    <row r="62" spans="2:11" x14ac:dyDescent="0.3">
      <c r="B62" s="10">
        <v>43936</v>
      </c>
      <c r="C62" s="4">
        <v>56</v>
      </c>
      <c r="E62" s="11">
        <f t="shared" si="8"/>
        <v>119169.506010785</v>
      </c>
      <c r="I62" s="11">
        <f t="shared" si="9"/>
        <v>17791.688828032286</v>
      </c>
    </row>
    <row r="63" spans="2:11" x14ac:dyDescent="0.3">
      <c r="B63" s="10">
        <v>43937</v>
      </c>
      <c r="C63" s="4">
        <v>57</v>
      </c>
      <c r="E63" s="11">
        <f t="shared" si="8"/>
        <v>119323.86904262131</v>
      </c>
      <c r="I63" s="11">
        <f t="shared" si="9"/>
        <v>17877.981420698532</v>
      </c>
    </row>
    <row r="64" spans="2:11" x14ac:dyDescent="0.3">
      <c r="B64" s="10">
        <v>43938</v>
      </c>
      <c r="C64" s="4">
        <v>58</v>
      </c>
      <c r="E64" s="11">
        <f t="shared" si="8"/>
        <v>119449.67327925304</v>
      </c>
      <c r="I64" s="11">
        <f t="shared" si="9"/>
        <v>17950.281215768271</v>
      </c>
    </row>
    <row r="65" spans="2:9" x14ac:dyDescent="0.3">
      <c r="B65" s="10">
        <v>43939</v>
      </c>
      <c r="C65" s="4">
        <v>59</v>
      </c>
      <c r="E65" s="11">
        <f t="shared" si="8"/>
        <v>119552.15761681026</v>
      </c>
      <c r="I65" s="11">
        <f t="shared" si="9"/>
        <v>18010.767970234283</v>
      </c>
    </row>
    <row r="66" spans="2:9" x14ac:dyDescent="0.3">
      <c r="B66" s="10">
        <v>43940</v>
      </c>
      <c r="C66" s="4">
        <v>60</v>
      </c>
      <c r="E66" s="11">
        <f t="shared" si="8"/>
        <v>119635.61507596412</v>
      </c>
      <c r="I66" s="11">
        <f t="shared" si="9"/>
        <v>18061.309423401337</v>
      </c>
    </row>
    <row r="67" spans="2:9" x14ac:dyDescent="0.3">
      <c r="B67" s="10">
        <v>43941</v>
      </c>
      <c r="C67" s="4">
        <v>61</v>
      </c>
      <c r="E67" s="11">
        <f t="shared" si="8"/>
        <v>119703.55842353143</v>
      </c>
      <c r="I67" s="11">
        <f t="shared" si="9"/>
        <v>18103.497277999249</v>
      </c>
    </row>
    <row r="68" spans="2:9" x14ac:dyDescent="0.3">
      <c r="B68" s="10">
        <v>43942</v>
      </c>
      <c r="C68" s="4">
        <v>62</v>
      </c>
      <c r="E68" s="11">
        <f t="shared" si="8"/>
        <v>119758.85856493549</v>
      </c>
      <c r="I68" s="11">
        <f t="shared" si="9"/>
        <v>18138.681941297204</v>
      </c>
    </row>
    <row r="69" spans="2:9" x14ac:dyDescent="0.3">
      <c r="B69" s="10">
        <v>43943</v>
      </c>
      <c r="C69" s="4">
        <v>63</v>
      </c>
      <c r="E69" s="11">
        <f t="shared" si="8"/>
        <v>119803.85956135367</v>
      </c>
      <c r="I69" s="11">
        <f t="shared" si="9"/>
        <v>18168.004888783271</v>
      </c>
    </row>
    <row r="70" spans="2:9" x14ac:dyDescent="0.3">
      <c r="B70" s="10">
        <v>43944</v>
      </c>
      <c r="C70" s="4">
        <v>64</v>
      </c>
      <c r="E70" s="11">
        <f t="shared" si="8"/>
        <v>119840.47381107407</v>
      </c>
      <c r="I70" s="11">
        <f t="shared" si="9"/>
        <v>18192.428058614038</v>
      </c>
    </row>
    <row r="71" spans="2:9" x14ac:dyDescent="0.3">
      <c r="B71" s="10"/>
      <c r="C71" s="4"/>
    </row>
    <row r="72" spans="2:9" x14ac:dyDescent="0.3">
      <c r="B72" s="10"/>
      <c r="C72" s="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AF72"/>
  <sheetViews>
    <sheetView tabSelected="1" zoomScale="70" zoomScaleNormal="70" workbookViewId="0">
      <selection activeCell="R24" sqref="R24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4.109375" style="2" bestFit="1" customWidth="1"/>
    <col min="5" max="5" width="9.6640625" style="2" bestFit="1" customWidth="1"/>
    <col min="6" max="6" width="7.44140625" style="2" bestFit="1" customWidth="1"/>
    <col min="7" max="7" width="7.5546875" style="2" bestFit="1" customWidth="1"/>
    <col min="8" max="8" width="8.109375" style="2" bestFit="1" customWidth="1"/>
    <col min="9" max="9" width="8.21875" style="2" bestFit="1" customWidth="1"/>
    <col min="10" max="10" width="11.109375" style="2" bestFit="1" customWidth="1"/>
    <col min="11" max="12" width="9.6640625" style="2" bestFit="1" customWidth="1"/>
    <col min="13" max="13" width="9.77734375" style="2" bestFit="1" customWidth="1"/>
    <col min="14" max="14" width="11.6640625" style="2" bestFit="1" customWidth="1"/>
    <col min="15" max="15" width="11.7773437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32" ht="31.2" x14ac:dyDescent="0.6">
      <c r="B2" s="12" t="s">
        <v>13</v>
      </c>
    </row>
    <row r="3" spans="2:32" ht="17.399999999999999" customHeight="1" x14ac:dyDescent="0.6">
      <c r="B3" s="13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S3" s="21" t="s">
        <v>0</v>
      </c>
      <c r="T3" s="20" t="s">
        <v>55</v>
      </c>
      <c r="U3" s="17"/>
      <c r="V3" s="17"/>
    </row>
    <row r="4" spans="2:32" ht="20.399999999999999" x14ac:dyDescent="0.35">
      <c r="B4" s="16" t="s">
        <v>25</v>
      </c>
      <c r="C4" s="15"/>
      <c r="D4" s="14"/>
      <c r="E4" s="14"/>
      <c r="F4" s="14"/>
      <c r="G4" s="14"/>
      <c r="H4" s="14"/>
      <c r="J4" s="14"/>
      <c r="K4" s="14"/>
      <c r="L4" s="14"/>
      <c r="M4" s="14"/>
      <c r="N4" s="14"/>
      <c r="S4" s="21" t="s">
        <v>26</v>
      </c>
      <c r="T4" s="20" t="s">
        <v>56</v>
      </c>
      <c r="U4" s="17"/>
      <c r="V4" s="17"/>
    </row>
    <row r="5" spans="2:32" ht="18.600000000000001" thickBot="1" x14ac:dyDescent="0.4">
      <c r="B5" s="16" t="s">
        <v>57</v>
      </c>
      <c r="C5" s="14"/>
      <c r="D5" s="14"/>
      <c r="E5" s="14"/>
      <c r="F5" s="14"/>
      <c r="G5" s="14"/>
      <c r="H5" s="14"/>
      <c r="J5" s="14"/>
      <c r="K5" s="14"/>
      <c r="L5" s="14"/>
      <c r="M5" s="14"/>
      <c r="N5" s="14"/>
      <c r="S5" s="21" t="s">
        <v>1</v>
      </c>
      <c r="T5" s="20" t="s">
        <v>58</v>
      </c>
      <c r="U5" s="17"/>
      <c r="V5" s="17"/>
    </row>
    <row r="6" spans="2:32" ht="28.8" x14ac:dyDescent="0.3">
      <c r="B6" s="4" t="s">
        <v>10</v>
      </c>
      <c r="C6" s="4" t="s">
        <v>11</v>
      </c>
      <c r="D6" s="4" t="s">
        <v>28</v>
      </c>
      <c r="E6" s="4" t="s">
        <v>29</v>
      </c>
      <c r="F6" s="9" t="s">
        <v>59</v>
      </c>
      <c r="G6" s="9" t="s">
        <v>60</v>
      </c>
      <c r="H6" s="9" t="s">
        <v>8</v>
      </c>
      <c r="I6" s="9" t="s">
        <v>9</v>
      </c>
      <c r="J6" s="4" t="s">
        <v>61</v>
      </c>
      <c r="K6" s="4" t="s">
        <v>62</v>
      </c>
      <c r="L6" s="9" t="s">
        <v>63</v>
      </c>
      <c r="M6" s="9" t="s">
        <v>64</v>
      </c>
      <c r="N6" s="9" t="s">
        <v>65</v>
      </c>
      <c r="O6" s="9" t="s">
        <v>66</v>
      </c>
      <c r="P6" s="9"/>
      <c r="Q6" s="29" t="s">
        <v>50</v>
      </c>
      <c r="R6" s="3"/>
      <c r="S6" s="3"/>
      <c r="AF6" s="34" t="s">
        <v>73</v>
      </c>
    </row>
    <row r="7" spans="2:32" x14ac:dyDescent="0.3">
      <c r="B7" s="26">
        <v>43881</v>
      </c>
      <c r="C7" s="27">
        <v>1</v>
      </c>
      <c r="D7" s="28">
        <v>3</v>
      </c>
      <c r="E7" s="11">
        <f>D7-D7</f>
        <v>0</v>
      </c>
      <c r="F7" s="11">
        <f t="shared" ref="F7:F38" si="0">Kn/(1+EXP(-($C7-t0n)/wn))</f>
        <v>853.13805534016956</v>
      </c>
      <c r="G7" s="11">
        <f>F7-F7</f>
        <v>0</v>
      </c>
      <c r="H7" s="11">
        <f>G7+CIn</f>
        <v>998.16360281167647</v>
      </c>
      <c r="I7" s="11">
        <f>MAX(G7-CIn,0)</f>
        <v>0</v>
      </c>
      <c r="J7" s="27">
        <v>0</v>
      </c>
      <c r="K7" s="11">
        <f>J7-J7</f>
        <v>0</v>
      </c>
      <c r="L7" s="11">
        <f t="shared" ref="L7:L38" si="1">Kd/(1+EXP(-($C7-t0d)/wd))</f>
        <v>49.670678001559608</v>
      </c>
      <c r="M7" s="11">
        <f>L7-L7</f>
        <v>0</v>
      </c>
      <c r="N7" s="11">
        <f t="shared" ref="N7:N46" si="2">M7+CId</f>
        <v>125.54768997836618</v>
      </c>
      <c r="O7" s="11">
        <f t="shared" ref="O7:O46" si="3">MAX(M7-CId,0)</f>
        <v>0</v>
      </c>
      <c r="P7" s="9"/>
      <c r="Q7" s="22" t="s">
        <v>0</v>
      </c>
      <c r="R7" s="5">
        <v>153507</v>
      </c>
      <c r="S7" s="3"/>
      <c r="AF7" s="35">
        <f>MAX($R$13)</f>
        <v>0.95428682807705834</v>
      </c>
    </row>
    <row r="8" spans="2:32" ht="15.6" x14ac:dyDescent="0.35">
      <c r="B8" s="26">
        <v>43882</v>
      </c>
      <c r="C8" s="27">
        <v>2</v>
      </c>
      <c r="D8" s="28">
        <v>20</v>
      </c>
      <c r="E8" s="11">
        <f>D8-D7</f>
        <v>17</v>
      </c>
      <c r="F8" s="11">
        <f t="shared" si="0"/>
        <v>992.835374678417</v>
      </c>
      <c r="G8" s="11">
        <f>F8-F7</f>
        <v>139.69731933824744</v>
      </c>
      <c r="H8" s="11">
        <f>G8+CIn</f>
        <v>1137.8609221499239</v>
      </c>
      <c r="I8" s="11">
        <f>MAX(G8-CIn,0)</f>
        <v>0</v>
      </c>
      <c r="J8" s="27">
        <v>1</v>
      </c>
      <c r="K8" s="11">
        <f t="shared" ref="K8:K50" si="4">J8-J7</f>
        <v>1</v>
      </c>
      <c r="L8" s="11">
        <f t="shared" si="1"/>
        <v>58.435674877393623</v>
      </c>
      <c r="M8" s="11">
        <f>L8-L7</f>
        <v>8.7649968758340151</v>
      </c>
      <c r="N8" s="11">
        <f t="shared" si="2"/>
        <v>134.31268685420019</v>
      </c>
      <c r="O8" s="11">
        <f t="shared" si="3"/>
        <v>0</v>
      </c>
      <c r="P8" s="9"/>
      <c r="Q8" s="22" t="s">
        <v>27</v>
      </c>
      <c r="R8" s="5">
        <v>35</v>
      </c>
      <c r="S8" s="3"/>
      <c r="AF8" s="36">
        <f>COUNT($R$7,$R$8,$R$9)</f>
        <v>3</v>
      </c>
    </row>
    <row r="9" spans="2:32" x14ac:dyDescent="0.3">
      <c r="B9" s="26">
        <v>43883</v>
      </c>
      <c r="C9" s="27">
        <v>3</v>
      </c>
      <c r="D9" s="28">
        <v>62</v>
      </c>
      <c r="E9" s="11">
        <f>D9-D8</f>
        <v>42</v>
      </c>
      <c r="F9" s="11">
        <f t="shared" si="0"/>
        <v>1155.2343601874959</v>
      </c>
      <c r="G9" s="11">
        <f>F9-F8</f>
        <v>162.3989855090789</v>
      </c>
      <c r="H9" s="11">
        <f>G9+CIn</f>
        <v>1160.5625883207554</v>
      </c>
      <c r="I9" s="11">
        <f>MAX(G9-CIn,0)</f>
        <v>0</v>
      </c>
      <c r="J9" s="27">
        <v>2</v>
      </c>
      <c r="K9" s="11">
        <f t="shared" si="4"/>
        <v>1</v>
      </c>
      <c r="L9" s="11">
        <f t="shared" si="1"/>
        <v>68.742206374147443</v>
      </c>
      <c r="M9" s="11">
        <f>L9-L8</f>
        <v>10.30653149675382</v>
      </c>
      <c r="N9" s="11">
        <f t="shared" si="2"/>
        <v>135.85422147512</v>
      </c>
      <c r="O9" s="11">
        <f t="shared" si="3"/>
        <v>0</v>
      </c>
      <c r="P9" s="9"/>
      <c r="Q9" s="22" t="s">
        <v>1</v>
      </c>
      <c r="R9" s="25">
        <v>6.5548399203674554</v>
      </c>
      <c r="S9" s="3"/>
      <c r="AF9" s="36" t="b">
        <f>$R$7=INT($R$7)</f>
        <v>1</v>
      </c>
    </row>
    <row r="10" spans="2:32" x14ac:dyDescent="0.3">
      <c r="B10" s="26">
        <v>43884</v>
      </c>
      <c r="C10" s="27">
        <v>4</v>
      </c>
      <c r="D10" s="28">
        <v>155</v>
      </c>
      <c r="E10" s="11">
        <f>D10-D9</f>
        <v>93</v>
      </c>
      <c r="F10" s="11">
        <f t="shared" si="0"/>
        <v>1343.9630143147008</v>
      </c>
      <c r="G10" s="11">
        <f>F10-F9</f>
        <v>188.72865412720489</v>
      </c>
      <c r="H10" s="11">
        <f>G10+CIn</f>
        <v>1186.8922569388815</v>
      </c>
      <c r="I10" s="11">
        <f>MAX(G10-CIn,0)</f>
        <v>0</v>
      </c>
      <c r="J10" s="27">
        <v>3</v>
      </c>
      <c r="K10" s="11">
        <f t="shared" si="4"/>
        <v>1</v>
      </c>
      <c r="L10" s="11">
        <f t="shared" si="1"/>
        <v>80.859410745014557</v>
      </c>
      <c r="M10" s="11">
        <f>L10-L9</f>
        <v>12.117204370867114</v>
      </c>
      <c r="N10" s="11">
        <f t="shared" si="2"/>
        <v>137.66489434923329</v>
      </c>
      <c r="O10" s="11">
        <f t="shared" si="3"/>
        <v>0</v>
      </c>
      <c r="P10" s="9"/>
      <c r="Q10" s="6" t="s">
        <v>2</v>
      </c>
      <c r="R10" s="1">
        <f>AVERAGE(E7:E70)</f>
        <v>2723.2727272727275</v>
      </c>
      <c r="S10" s="3"/>
      <c r="AF10" s="36" t="b">
        <f>$R$8=INT($R$8)</f>
        <v>1</v>
      </c>
    </row>
    <row r="11" spans="2:32" x14ac:dyDescent="0.3">
      <c r="B11" s="23">
        <v>43885</v>
      </c>
      <c r="C11" s="4">
        <v>5</v>
      </c>
      <c r="D11" s="11">
        <f>'dpc-covid19-ita-andamento-naz'!L2</f>
        <v>229</v>
      </c>
      <c r="E11" s="11">
        <f>D11-D10</f>
        <v>74</v>
      </c>
      <c r="F11" s="11">
        <f t="shared" si="0"/>
        <v>1563.2075896236643</v>
      </c>
      <c r="G11" s="11">
        <f>F11-F10</f>
        <v>219.24457530896348</v>
      </c>
      <c r="H11" s="11">
        <f t="shared" ref="H11:H44" si="5">G11+CIn</f>
        <v>1217.4081781206401</v>
      </c>
      <c r="I11" s="11">
        <f t="shared" ref="I11:I43" si="6">MAX(G11-CIn,0)</f>
        <v>0</v>
      </c>
      <c r="J11" s="11">
        <f>'dpc-covid19-ita-andamento-naz'!K2</f>
        <v>7</v>
      </c>
      <c r="K11" s="11">
        <f t="shared" si="4"/>
        <v>4</v>
      </c>
      <c r="L11" s="11">
        <f t="shared" si="1"/>
        <v>95.102657890913818</v>
      </c>
      <c r="M11" s="11">
        <f>L11-L10</f>
        <v>14.243247145899261</v>
      </c>
      <c r="N11" s="11">
        <f t="shared" si="2"/>
        <v>139.79093712426544</v>
      </c>
      <c r="O11" s="11">
        <f t="shared" si="3"/>
        <v>0</v>
      </c>
      <c r="P11" s="1"/>
      <c r="Q11" s="6" t="s">
        <v>3</v>
      </c>
      <c r="R11" s="1">
        <f>COUNT(E7:E70)-COUNT(R7:R9)</f>
        <v>41</v>
      </c>
      <c r="AF11" s="36">
        <f>{32767;32767;0.000001;0;FALSE;FALSE;TRUE;1;1;1;0.0001;TRUE}</f>
        <v>32767</v>
      </c>
    </row>
    <row r="12" spans="2:32" x14ac:dyDescent="0.3">
      <c r="B12" s="10">
        <v>43886</v>
      </c>
      <c r="C12" s="4">
        <v>6</v>
      </c>
      <c r="D12" s="11">
        <f>'dpc-covid19-ita-andamento-naz'!L3</f>
        <v>322</v>
      </c>
      <c r="E12" s="11">
        <f>D12-D11</f>
        <v>93</v>
      </c>
      <c r="F12" s="11">
        <f t="shared" si="0"/>
        <v>1817.7908941845701</v>
      </c>
      <c r="G12" s="11">
        <f>F12-F11</f>
        <v>254.58330456090584</v>
      </c>
      <c r="H12" s="11">
        <f t="shared" si="5"/>
        <v>1252.7469073725824</v>
      </c>
      <c r="I12" s="11">
        <f t="shared" si="6"/>
        <v>0</v>
      </c>
      <c r="J12" s="11">
        <f>'dpc-covid19-ita-andamento-naz'!K3</f>
        <v>10</v>
      </c>
      <c r="K12" s="11">
        <f t="shared" si="4"/>
        <v>3</v>
      </c>
      <c r="L12" s="11">
        <f t="shared" si="1"/>
        <v>111.84120077110406</v>
      </c>
      <c r="M12" s="11">
        <f>L12-L11</f>
        <v>16.738542880190238</v>
      </c>
      <c r="N12" s="11">
        <f t="shared" si="2"/>
        <v>142.28623285855642</v>
      </c>
      <c r="O12" s="11">
        <f t="shared" si="3"/>
        <v>0</v>
      </c>
      <c r="P12" s="1"/>
      <c r="Q12" s="6" t="s">
        <v>4</v>
      </c>
      <c r="R12" s="7" cm="1">
        <f t="array" ref="R12">SQRT(SUM((E7:E50-G7:G50)^2)/dfn)</f>
        <v>494.25271258226803</v>
      </c>
      <c r="AF12" s="43">
        <f>{0;0;1;100;0;FALSE;TRUE;0.075;0;0;FALSE;30}</f>
        <v>0</v>
      </c>
    </row>
    <row r="13" spans="2:32" ht="16.2" x14ac:dyDescent="0.3">
      <c r="B13" s="10">
        <v>43887</v>
      </c>
      <c r="C13" s="4">
        <v>7</v>
      </c>
      <c r="D13" s="11">
        <f>'dpc-covid19-ita-andamento-naz'!L4</f>
        <v>400</v>
      </c>
      <c r="E13" s="11">
        <f t="shared" ref="E13:E50" si="7">D13-D12</f>
        <v>78</v>
      </c>
      <c r="F13" s="11">
        <f t="shared" si="0"/>
        <v>2113.2588735817089</v>
      </c>
      <c r="G13" s="11">
        <f t="shared" ref="G13:G70" si="8">F13-F12</f>
        <v>295.46797939713883</v>
      </c>
      <c r="H13" s="11">
        <f t="shared" si="5"/>
        <v>1293.6315822088154</v>
      </c>
      <c r="I13" s="11">
        <f t="shared" si="6"/>
        <v>0</v>
      </c>
      <c r="J13" s="11">
        <f>'dpc-covid19-ita-andamento-naz'!K4</f>
        <v>12</v>
      </c>
      <c r="K13" s="11">
        <f t="shared" si="4"/>
        <v>2</v>
      </c>
      <c r="L13" s="11">
        <f t="shared" si="1"/>
        <v>131.50698158195408</v>
      </c>
      <c r="M13" s="11">
        <f t="shared" ref="M13:M70" si="9">L13-L12</f>
        <v>19.665780810850023</v>
      </c>
      <c r="N13" s="11">
        <f t="shared" si="2"/>
        <v>145.21347078921622</v>
      </c>
      <c r="O13" s="11">
        <f t="shared" si="3"/>
        <v>0</v>
      </c>
      <c r="P13" s="1"/>
      <c r="Q13" s="6" t="s">
        <v>5</v>
      </c>
      <c r="R13" s="8" cm="1">
        <f t="array" ref="R13">1-SUM((E7:E50-G7:G50)^2)/SUM((E7:E50-Mean_of_yn)^2)</f>
        <v>0.95428682807705834</v>
      </c>
      <c r="AF13" s="41"/>
    </row>
    <row r="14" spans="2:32" x14ac:dyDescent="0.3">
      <c r="B14" s="10">
        <v>43888</v>
      </c>
      <c r="C14" s="4">
        <v>8</v>
      </c>
      <c r="D14" s="11">
        <f>'dpc-covid19-ita-andamento-naz'!L5</f>
        <v>650</v>
      </c>
      <c r="E14" s="11">
        <f t="shared" si="7"/>
        <v>250</v>
      </c>
      <c r="F14" s="11">
        <f t="shared" si="0"/>
        <v>2455.9753266796006</v>
      </c>
      <c r="G14" s="11">
        <f t="shared" si="8"/>
        <v>342.71645309789164</v>
      </c>
      <c r="H14" s="11">
        <f t="shared" si="5"/>
        <v>1340.880055909568</v>
      </c>
      <c r="I14" s="11">
        <f t="shared" si="6"/>
        <v>0</v>
      </c>
      <c r="J14" s="11">
        <f>'dpc-covid19-ita-andamento-naz'!K5</f>
        <v>17</v>
      </c>
      <c r="K14" s="11">
        <f t="shared" si="4"/>
        <v>5</v>
      </c>
      <c r="L14" s="11">
        <f t="shared" si="1"/>
        <v>154.60472331794867</v>
      </c>
      <c r="M14" s="11">
        <f t="shared" si="9"/>
        <v>23.097741735994589</v>
      </c>
      <c r="N14" s="11">
        <f t="shared" si="2"/>
        <v>148.64543171436077</v>
      </c>
      <c r="O14" s="11">
        <f t="shared" si="3"/>
        <v>0</v>
      </c>
      <c r="P14" s="1"/>
      <c r="Q14" s="6" t="s">
        <v>6</v>
      </c>
      <c r="R14" s="8">
        <f>TINV(0.05,dfn)</f>
        <v>2.0195409704413767</v>
      </c>
      <c r="AF14" s="37"/>
    </row>
    <row r="15" spans="2:32" x14ac:dyDescent="0.3">
      <c r="B15" s="10">
        <v>43889</v>
      </c>
      <c r="C15" s="4">
        <v>9</v>
      </c>
      <c r="D15" s="11">
        <f>'dpc-covid19-ita-andamento-naz'!L6</f>
        <v>888</v>
      </c>
      <c r="E15" s="11">
        <f t="shared" si="7"/>
        <v>238</v>
      </c>
      <c r="F15" s="11">
        <f t="shared" si="0"/>
        <v>2853.2241303273572</v>
      </c>
      <c r="G15" s="11">
        <f t="shared" si="8"/>
        <v>397.24880364775663</v>
      </c>
      <c r="H15" s="11">
        <f t="shared" si="5"/>
        <v>1395.412406459433</v>
      </c>
      <c r="I15" s="11">
        <f t="shared" si="6"/>
        <v>0</v>
      </c>
      <c r="J15" s="11">
        <f>'dpc-covid19-ita-andamento-naz'!K6</f>
        <v>21</v>
      </c>
      <c r="K15" s="11">
        <f t="shared" si="4"/>
        <v>4</v>
      </c>
      <c r="L15" s="11">
        <f t="shared" si="1"/>
        <v>181.72343389148557</v>
      </c>
      <c r="M15" s="11">
        <f t="shared" si="9"/>
        <v>27.118710573536902</v>
      </c>
      <c r="N15" s="11">
        <f t="shared" si="2"/>
        <v>152.66640055190308</v>
      </c>
      <c r="O15" s="11">
        <f t="shared" si="3"/>
        <v>0</v>
      </c>
      <c r="P15" s="1"/>
      <c r="Q15" s="6" t="s">
        <v>7</v>
      </c>
      <c r="R15" s="1">
        <f>Critical_tn*SE_of_yn</f>
        <v>998.16360281167647</v>
      </c>
      <c r="AF15" s="37"/>
    </row>
    <row r="16" spans="2:32" ht="15" thickBot="1" x14ac:dyDescent="0.35">
      <c r="B16" s="10">
        <v>43890</v>
      </c>
      <c r="C16" s="4">
        <v>10</v>
      </c>
      <c r="D16" s="11">
        <f>'dpc-covid19-ita-andamento-naz'!L7</f>
        <v>1128</v>
      </c>
      <c r="E16" s="11">
        <f t="shared" si="7"/>
        <v>240</v>
      </c>
      <c r="F16" s="11">
        <f t="shared" si="0"/>
        <v>3313.3176654544523</v>
      </c>
      <c r="G16" s="11">
        <f t="shared" si="8"/>
        <v>460.09353512709504</v>
      </c>
      <c r="H16" s="11">
        <f t="shared" si="5"/>
        <v>1458.2571379387714</v>
      </c>
      <c r="I16" s="11">
        <f t="shared" si="6"/>
        <v>0</v>
      </c>
      <c r="J16" s="11">
        <f>'dpc-covid19-ita-andamento-naz'!K7</f>
        <v>29</v>
      </c>
      <c r="K16" s="11">
        <f t="shared" si="4"/>
        <v>8</v>
      </c>
      <c r="L16" s="11">
        <f t="shared" si="1"/>
        <v>213.54943683882681</v>
      </c>
      <c r="M16" s="11">
        <f t="shared" si="9"/>
        <v>31.826002947341237</v>
      </c>
      <c r="N16" s="11">
        <f t="shared" si="2"/>
        <v>157.37369292570742</v>
      </c>
      <c r="O16" s="11">
        <f t="shared" si="3"/>
        <v>0</v>
      </c>
      <c r="P16" s="1"/>
      <c r="Q16" s="29" t="s">
        <v>72</v>
      </c>
      <c r="R16" s="31">
        <f>Kn/(4*wn)</f>
        <v>5854.7196371271029</v>
      </c>
      <c r="AF16" s="38"/>
    </row>
    <row r="17" spans="2:32" ht="15" thickTop="1" x14ac:dyDescent="0.3">
      <c r="B17" s="23">
        <v>43891</v>
      </c>
      <c r="C17" s="4">
        <v>11</v>
      </c>
      <c r="D17" s="11">
        <f>'dpc-covid19-ita-andamento-naz'!L8</f>
        <v>1694</v>
      </c>
      <c r="E17" s="11">
        <f t="shared" si="7"/>
        <v>566</v>
      </c>
      <c r="F17" s="11">
        <f t="shared" si="0"/>
        <v>3845.7091986874702</v>
      </c>
      <c r="G17" s="11">
        <f t="shared" si="8"/>
        <v>532.39153323301798</v>
      </c>
      <c r="H17" s="11">
        <f t="shared" si="5"/>
        <v>1530.5551360446943</v>
      </c>
      <c r="I17" s="11">
        <f t="shared" si="6"/>
        <v>0</v>
      </c>
      <c r="J17" s="11">
        <f>'dpc-covid19-ita-andamento-naz'!K8</f>
        <v>34</v>
      </c>
      <c r="K17" s="11">
        <f t="shared" si="4"/>
        <v>5</v>
      </c>
      <c r="L17" s="11">
        <f t="shared" si="1"/>
        <v>250.88101522320883</v>
      </c>
      <c r="M17" s="11">
        <f t="shared" si="9"/>
        <v>37.331578384382027</v>
      </c>
      <c r="N17" s="11">
        <f t="shared" si="2"/>
        <v>162.87926836274821</v>
      </c>
      <c r="O17" s="11">
        <f t="shared" si="3"/>
        <v>0</v>
      </c>
      <c r="P17" s="1"/>
      <c r="Q17" s="24" t="s">
        <v>53</v>
      </c>
      <c r="R17" s="3"/>
      <c r="AF17" s="39">
        <f>MAX($R$24)</f>
        <v>0.96652266688388899</v>
      </c>
    </row>
    <row r="18" spans="2:32" x14ac:dyDescent="0.3">
      <c r="B18" s="10">
        <v>43892</v>
      </c>
      <c r="C18" s="4">
        <v>12</v>
      </c>
      <c r="D18" s="11">
        <f>'dpc-covid19-ita-andamento-naz'!L9</f>
        <v>2036</v>
      </c>
      <c r="E18" s="11">
        <f t="shared" si="7"/>
        <v>342</v>
      </c>
      <c r="F18" s="11">
        <f t="shared" si="0"/>
        <v>4461.1057183040211</v>
      </c>
      <c r="G18" s="11">
        <f t="shared" si="8"/>
        <v>615.3965196165509</v>
      </c>
      <c r="H18" s="11">
        <f t="shared" si="5"/>
        <v>1613.5601224282273</v>
      </c>
      <c r="I18" s="11">
        <f t="shared" si="6"/>
        <v>0</v>
      </c>
      <c r="J18" s="11">
        <f>'dpc-covid19-ita-andamento-naz'!K9</f>
        <v>52</v>
      </c>
      <c r="K18" s="11">
        <f t="shared" si="4"/>
        <v>18</v>
      </c>
      <c r="L18" s="11">
        <f t="shared" si="1"/>
        <v>294.6447075959228</v>
      </c>
      <c r="M18" s="11">
        <f t="shared" si="9"/>
        <v>43.763692372713962</v>
      </c>
      <c r="N18" s="11">
        <f t="shared" si="2"/>
        <v>169.31138235108014</v>
      </c>
      <c r="O18" s="11">
        <f t="shared" si="3"/>
        <v>0</v>
      </c>
      <c r="P18" s="1"/>
      <c r="Q18" s="22" t="s">
        <v>0</v>
      </c>
      <c r="R18" s="5">
        <v>20671</v>
      </c>
      <c r="AF18" s="40">
        <f>COUNT($R$18,$R$19,$R$20)</f>
        <v>3</v>
      </c>
    </row>
    <row r="19" spans="2:32" ht="15.6" x14ac:dyDescent="0.35">
      <c r="B19" s="10">
        <v>43893</v>
      </c>
      <c r="C19" s="4">
        <v>13</v>
      </c>
      <c r="D19" s="11">
        <f>'dpc-covid19-ita-andamento-naz'!L10</f>
        <v>2502</v>
      </c>
      <c r="E19" s="11">
        <f t="shared" si="7"/>
        <v>466</v>
      </c>
      <c r="F19" s="11">
        <f t="shared" si="0"/>
        <v>5171.5760871497596</v>
      </c>
      <c r="G19" s="11">
        <f t="shared" si="8"/>
        <v>710.47036884573845</v>
      </c>
      <c r="H19" s="11">
        <f t="shared" si="5"/>
        <v>1708.6339716574148</v>
      </c>
      <c r="I19" s="11">
        <f t="shared" si="6"/>
        <v>0</v>
      </c>
      <c r="J19" s="11">
        <f>'dpc-covid19-ita-andamento-naz'!K10</f>
        <v>79</v>
      </c>
      <c r="K19" s="11">
        <f t="shared" si="4"/>
        <v>27</v>
      </c>
      <c r="L19" s="11">
        <f t="shared" si="1"/>
        <v>345.91321888974511</v>
      </c>
      <c r="M19" s="11">
        <f t="shared" si="9"/>
        <v>51.268511293822314</v>
      </c>
      <c r="N19" s="11">
        <f t="shared" si="2"/>
        <v>176.81620127218849</v>
      </c>
      <c r="O19" s="11">
        <f t="shared" si="3"/>
        <v>0</v>
      </c>
      <c r="P19" s="1"/>
      <c r="Q19" s="22" t="s">
        <v>27</v>
      </c>
      <c r="R19" s="5">
        <v>38</v>
      </c>
      <c r="AF19" s="40" t="b">
        <f>$R$18=INT($R$18)</f>
        <v>1</v>
      </c>
    </row>
    <row r="20" spans="2:32" x14ac:dyDescent="0.3">
      <c r="B20" s="10">
        <v>43894</v>
      </c>
      <c r="C20" s="4">
        <v>14</v>
      </c>
      <c r="D20" s="11">
        <f>'dpc-covid19-ita-andamento-naz'!L11</f>
        <v>3089</v>
      </c>
      <c r="E20" s="11">
        <f t="shared" si="7"/>
        <v>587</v>
      </c>
      <c r="F20" s="11">
        <f t="shared" si="0"/>
        <v>5990.6472995703089</v>
      </c>
      <c r="G20" s="11">
        <f t="shared" si="8"/>
        <v>819.07121242054927</v>
      </c>
      <c r="H20" s="11">
        <f t="shared" si="5"/>
        <v>1817.2348152322256</v>
      </c>
      <c r="I20" s="11">
        <f t="shared" si="6"/>
        <v>0</v>
      </c>
      <c r="J20" s="11">
        <f>'dpc-covid19-ita-andamento-naz'!K11</f>
        <v>107</v>
      </c>
      <c r="K20" s="11">
        <f t="shared" si="4"/>
        <v>28</v>
      </c>
      <c r="L20" s="11">
        <f t="shared" si="1"/>
        <v>405.92479486431671</v>
      </c>
      <c r="M20" s="11">
        <f t="shared" si="9"/>
        <v>60.011575974571599</v>
      </c>
      <c r="N20" s="11">
        <f t="shared" si="2"/>
        <v>185.55926595293778</v>
      </c>
      <c r="O20" s="11">
        <f t="shared" si="3"/>
        <v>0</v>
      </c>
      <c r="P20" s="1"/>
      <c r="Q20" s="22" t="s">
        <v>1</v>
      </c>
      <c r="R20" s="25">
        <v>6.1373440285681164</v>
      </c>
      <c r="AF20" s="40" t="b">
        <f>$R$19=INT($R$19)</f>
        <v>1</v>
      </c>
    </row>
    <row r="21" spans="2:32" x14ac:dyDescent="0.3">
      <c r="B21" s="23">
        <v>43895</v>
      </c>
      <c r="C21" s="4">
        <v>15</v>
      </c>
      <c r="D21" s="11">
        <f>'dpc-covid19-ita-andamento-naz'!L12</f>
        <v>3858</v>
      </c>
      <c r="E21" s="11">
        <f t="shared" si="7"/>
        <v>769</v>
      </c>
      <c r="F21" s="11">
        <f t="shared" si="0"/>
        <v>6933.3790747646808</v>
      </c>
      <c r="G21" s="11">
        <f t="shared" si="8"/>
        <v>942.73177519437195</v>
      </c>
      <c r="H21" s="11">
        <f t="shared" si="5"/>
        <v>1940.8953780060483</v>
      </c>
      <c r="I21" s="11">
        <f t="shared" si="6"/>
        <v>0</v>
      </c>
      <c r="J21" s="11">
        <f>'dpc-covid19-ita-andamento-naz'!K12</f>
        <v>148</v>
      </c>
      <c r="K21" s="11">
        <f t="shared" si="4"/>
        <v>41</v>
      </c>
      <c r="L21" s="11">
        <f t="shared" si="1"/>
        <v>476.10374386231138</v>
      </c>
      <c r="M21" s="11">
        <f t="shared" si="9"/>
        <v>70.178948997994667</v>
      </c>
      <c r="N21" s="11">
        <f t="shared" si="2"/>
        <v>195.72663897636085</v>
      </c>
      <c r="O21" s="11">
        <f t="shared" si="3"/>
        <v>0</v>
      </c>
      <c r="P21" s="1"/>
      <c r="Q21" s="6" t="s">
        <v>2</v>
      </c>
      <c r="R21" s="1">
        <f>AVERAGE(K7:K70)</f>
        <v>333.65909090909093</v>
      </c>
      <c r="AF21" s="40">
        <f>{32767;32767;0.000001;0;FALSE;FALSE;TRUE;1;1;1;0.0001;TRUE}</f>
        <v>32767</v>
      </c>
    </row>
    <row r="22" spans="2:32" ht="15" thickBot="1" x14ac:dyDescent="0.35">
      <c r="B22" s="10">
        <v>43896</v>
      </c>
      <c r="C22" s="4">
        <v>16</v>
      </c>
      <c r="D22" s="11">
        <f>'dpc-covid19-ita-andamento-naz'!L13</f>
        <v>4636</v>
      </c>
      <c r="E22" s="11">
        <f t="shared" si="7"/>
        <v>778</v>
      </c>
      <c r="F22" s="11">
        <f t="shared" si="0"/>
        <v>8016.4039854319017</v>
      </c>
      <c r="G22" s="11">
        <f t="shared" si="8"/>
        <v>1083.0249106672209</v>
      </c>
      <c r="H22" s="11">
        <f t="shared" si="5"/>
        <v>2081.1885134788972</v>
      </c>
      <c r="I22" s="11">
        <f t="shared" si="6"/>
        <v>84.861307855544396</v>
      </c>
      <c r="J22" s="11">
        <f>'dpc-covid19-ita-andamento-naz'!K13</f>
        <v>197</v>
      </c>
      <c r="K22" s="11">
        <f t="shared" si="4"/>
        <v>49</v>
      </c>
      <c r="L22" s="11">
        <f t="shared" si="1"/>
        <v>558.08155961743546</v>
      </c>
      <c r="M22" s="11">
        <f t="shared" si="9"/>
        <v>81.977815755124084</v>
      </c>
      <c r="N22" s="11">
        <f t="shared" si="2"/>
        <v>207.52550573349026</v>
      </c>
      <c r="O22" s="11">
        <f t="shared" si="3"/>
        <v>0</v>
      </c>
      <c r="P22" s="1"/>
      <c r="Q22" s="6" t="s">
        <v>3</v>
      </c>
      <c r="R22" s="1">
        <f>COUNT(K7:K70)-COUNT(R18:R20)</f>
        <v>41</v>
      </c>
      <c r="AF22" s="42">
        <f>{0;0;1;100;0;FALSE;TRUE;0.075;0;0;FALSE;30}</f>
        <v>0</v>
      </c>
    </row>
    <row r="23" spans="2:32" x14ac:dyDescent="0.3">
      <c r="B23" s="10">
        <v>43897</v>
      </c>
      <c r="C23" s="4">
        <v>17</v>
      </c>
      <c r="D23" s="11">
        <f>'dpc-covid19-ita-andamento-naz'!L14</f>
        <v>5883</v>
      </c>
      <c r="E23" s="11">
        <f t="shared" si="7"/>
        <v>1247</v>
      </c>
      <c r="F23" s="11">
        <f t="shared" si="0"/>
        <v>9257.9168788655152</v>
      </c>
      <c r="G23" s="11">
        <f t="shared" si="8"/>
        <v>1241.5128934336135</v>
      </c>
      <c r="H23" s="11">
        <f t="shared" si="5"/>
        <v>2239.6764962452899</v>
      </c>
      <c r="I23" s="11">
        <f t="shared" si="6"/>
        <v>243.34929062193703</v>
      </c>
      <c r="J23" s="11">
        <f>'dpc-covid19-ita-andamento-naz'!K14</f>
        <v>233</v>
      </c>
      <c r="K23" s="11">
        <f t="shared" si="4"/>
        <v>36</v>
      </c>
      <c r="L23" s="11">
        <f t="shared" si="1"/>
        <v>653.71778751359238</v>
      </c>
      <c r="M23" s="11">
        <f t="shared" si="9"/>
        <v>95.636227896156925</v>
      </c>
      <c r="N23" s="11">
        <f t="shared" si="2"/>
        <v>221.1839178745231</v>
      </c>
      <c r="O23" s="11">
        <f t="shared" si="3"/>
        <v>0</v>
      </c>
      <c r="P23" s="1"/>
      <c r="Q23" s="6" t="s">
        <v>4</v>
      </c>
      <c r="R23" s="7" cm="1">
        <f t="array" ref="R23">SQRT(SUM((K7:K50-M7:M50)^2)/dfd)</f>
        <v>62.166448621702067</v>
      </c>
    </row>
    <row r="24" spans="2:32" ht="16.2" x14ac:dyDescent="0.3">
      <c r="B24" s="23">
        <v>43898</v>
      </c>
      <c r="C24" s="4">
        <v>18</v>
      </c>
      <c r="D24" s="11">
        <f>'dpc-covid19-ita-andamento-naz'!L15</f>
        <v>7375</v>
      </c>
      <c r="E24" s="11">
        <f t="shared" si="7"/>
        <v>1492</v>
      </c>
      <c r="F24" s="11">
        <f t="shared" si="0"/>
        <v>10677.593680482141</v>
      </c>
      <c r="G24" s="11">
        <f t="shared" si="8"/>
        <v>1419.6768016166261</v>
      </c>
      <c r="H24" s="11">
        <f t="shared" si="5"/>
        <v>2417.8404044283025</v>
      </c>
      <c r="I24" s="11">
        <f t="shared" si="6"/>
        <v>421.51319880494964</v>
      </c>
      <c r="J24" s="11">
        <f>'dpc-covid19-ita-andamento-naz'!K15</f>
        <v>366</v>
      </c>
      <c r="K24" s="11">
        <f t="shared" si="4"/>
        <v>133</v>
      </c>
      <c r="L24" s="11">
        <f t="shared" si="1"/>
        <v>765.11936770367424</v>
      </c>
      <c r="M24" s="11">
        <f t="shared" si="9"/>
        <v>111.40158019008186</v>
      </c>
      <c r="N24" s="11">
        <f t="shared" si="2"/>
        <v>236.94927016844804</v>
      </c>
      <c r="O24" s="11">
        <f t="shared" si="3"/>
        <v>0</v>
      </c>
      <c r="P24" s="1"/>
      <c r="Q24" s="6" t="s">
        <v>5</v>
      </c>
      <c r="R24" s="8" cm="1">
        <f t="array" ref="R24">1-SUM((K7:K50-M7:M50)^2)/SUM((K7:K50-Mean_of_yd)^2)</f>
        <v>0.96652266688388899</v>
      </c>
    </row>
    <row r="25" spans="2:32" x14ac:dyDescent="0.3">
      <c r="B25" s="10">
        <v>43899</v>
      </c>
      <c r="C25" s="4">
        <v>19</v>
      </c>
      <c r="D25" s="11">
        <f>'dpc-covid19-ita-andamento-naz'!L16</f>
        <v>9172</v>
      </c>
      <c r="E25" s="11">
        <f t="shared" si="7"/>
        <v>1797</v>
      </c>
      <c r="F25" s="11">
        <f t="shared" si="0"/>
        <v>12296.416123401015</v>
      </c>
      <c r="G25" s="11">
        <f t="shared" si="8"/>
        <v>1618.822442918874</v>
      </c>
      <c r="H25" s="11">
        <f t="shared" si="5"/>
        <v>2616.9860457305504</v>
      </c>
      <c r="I25" s="11">
        <f t="shared" si="6"/>
        <v>620.65884010719753</v>
      </c>
      <c r="J25" s="11">
        <f>'dpc-covid19-ita-andamento-naz'!K16</f>
        <v>463</v>
      </c>
      <c r="K25" s="11">
        <f t="shared" si="4"/>
        <v>97</v>
      </c>
      <c r="L25" s="11">
        <f t="shared" si="1"/>
        <v>894.65666818231477</v>
      </c>
      <c r="M25" s="11">
        <f t="shared" si="9"/>
        <v>129.53730047864053</v>
      </c>
      <c r="N25" s="11">
        <f t="shared" si="2"/>
        <v>255.08499045700671</v>
      </c>
      <c r="O25" s="11">
        <f t="shared" si="3"/>
        <v>3.9896105002743525</v>
      </c>
      <c r="P25" s="1"/>
      <c r="Q25" s="6" t="s">
        <v>6</v>
      </c>
      <c r="R25" s="8">
        <f>TINV(0.05,dfd)</f>
        <v>2.0195409704413767</v>
      </c>
    </row>
    <row r="26" spans="2:32" x14ac:dyDescent="0.3">
      <c r="B26" s="23">
        <v>43900</v>
      </c>
      <c r="C26" s="4">
        <v>20</v>
      </c>
      <c r="D26" s="11">
        <f>'dpc-covid19-ita-andamento-naz'!L17</f>
        <v>10149</v>
      </c>
      <c r="E26" s="11">
        <f t="shared" si="7"/>
        <v>977</v>
      </c>
      <c r="F26" s="11">
        <f t="shared" si="0"/>
        <v>14136.376088437068</v>
      </c>
      <c r="G26" s="11">
        <f t="shared" si="8"/>
        <v>1839.9599650360524</v>
      </c>
      <c r="H26" s="11">
        <f t="shared" si="5"/>
        <v>2838.1235678477287</v>
      </c>
      <c r="I26" s="11">
        <f t="shared" si="6"/>
        <v>841.79636222437591</v>
      </c>
      <c r="J26" s="11">
        <f>'dpc-covid19-ita-andamento-naz'!K17</f>
        <v>631</v>
      </c>
      <c r="K26" s="11">
        <f t="shared" si="4"/>
        <v>168</v>
      </c>
      <c r="L26" s="11">
        <f t="shared" si="1"/>
        <v>1044.9737830335991</v>
      </c>
      <c r="M26" s="11">
        <f t="shared" si="9"/>
        <v>150.31711485128437</v>
      </c>
      <c r="N26" s="11">
        <f t="shared" si="2"/>
        <v>275.86480482965055</v>
      </c>
      <c r="O26" s="11">
        <f t="shared" si="3"/>
        <v>24.769424872918194</v>
      </c>
      <c r="P26" s="1"/>
      <c r="Q26" s="6" t="s">
        <v>7</v>
      </c>
      <c r="R26" s="1">
        <f>Critical_td*SE_of_yd</f>
        <v>125.54768997836618</v>
      </c>
    </row>
    <row r="27" spans="2:32" x14ac:dyDescent="0.3">
      <c r="B27" s="10">
        <v>43901</v>
      </c>
      <c r="C27" s="4">
        <v>21</v>
      </c>
      <c r="D27" s="11">
        <f>'dpc-covid19-ita-andamento-naz'!L18</f>
        <v>12462</v>
      </c>
      <c r="E27" s="11">
        <f t="shared" si="7"/>
        <v>2313</v>
      </c>
      <c r="F27" s="11">
        <f t="shared" si="0"/>
        <v>16220.031902899304</v>
      </c>
      <c r="G27" s="11">
        <f t="shared" si="8"/>
        <v>2083.6558144622359</v>
      </c>
      <c r="H27" s="11">
        <f t="shared" si="5"/>
        <v>3081.8194172739122</v>
      </c>
      <c r="I27" s="11">
        <f t="shared" si="6"/>
        <v>1085.4922116505595</v>
      </c>
      <c r="J27" s="11">
        <f>'dpc-covid19-ita-andamento-naz'!K18</f>
        <v>827</v>
      </c>
      <c r="K27" s="11">
        <f t="shared" si="4"/>
        <v>196</v>
      </c>
      <c r="L27" s="11">
        <f t="shared" si="1"/>
        <v>1218.9899243015022</v>
      </c>
      <c r="M27" s="11">
        <f t="shared" si="9"/>
        <v>174.01614126790309</v>
      </c>
      <c r="N27" s="11">
        <f t="shared" si="2"/>
        <v>299.56383124626927</v>
      </c>
      <c r="O27" s="11">
        <f t="shared" si="3"/>
        <v>48.468451289536915</v>
      </c>
      <c r="P27" s="1"/>
      <c r="Q27" s="30" t="s">
        <v>72</v>
      </c>
      <c r="R27" s="32">
        <f>Kd/(4*wd)</f>
        <v>842.01732474913433</v>
      </c>
    </row>
    <row r="28" spans="2:32" x14ac:dyDescent="0.3">
      <c r="B28" s="23">
        <v>43902</v>
      </c>
      <c r="C28" s="4">
        <v>22</v>
      </c>
      <c r="D28" s="11">
        <f>'dpc-covid19-ita-andamento-naz'!L19</f>
        <v>15113</v>
      </c>
      <c r="E28" s="11">
        <f t="shared" si="7"/>
        <v>2651</v>
      </c>
      <c r="F28" s="11">
        <f t="shared" si="0"/>
        <v>18569.890261287786</v>
      </c>
      <c r="G28" s="11">
        <f t="shared" si="8"/>
        <v>2349.8583583884829</v>
      </c>
      <c r="H28" s="11">
        <f t="shared" si="5"/>
        <v>3348.0219612001592</v>
      </c>
      <c r="I28" s="11">
        <f t="shared" si="6"/>
        <v>1351.6947555768065</v>
      </c>
      <c r="J28" s="11">
        <f>'dpc-covid19-ita-andamento-naz'!K19</f>
        <v>1016</v>
      </c>
      <c r="K28" s="11">
        <f t="shared" si="4"/>
        <v>189</v>
      </c>
      <c r="L28" s="11">
        <f t="shared" si="1"/>
        <v>1419.8879145168039</v>
      </c>
      <c r="M28" s="11">
        <f t="shared" si="9"/>
        <v>200.89799021530166</v>
      </c>
      <c r="N28" s="11">
        <f t="shared" si="2"/>
        <v>326.44568019366784</v>
      </c>
      <c r="O28" s="11">
        <f t="shared" si="3"/>
        <v>75.350300236935482</v>
      </c>
      <c r="P28" s="1"/>
      <c r="Q28" s="6"/>
    </row>
    <row r="29" spans="2:32" x14ac:dyDescent="0.3">
      <c r="B29" s="10">
        <v>43903</v>
      </c>
      <c r="C29" s="4">
        <v>23</v>
      </c>
      <c r="D29" s="11">
        <f>'dpc-covid19-ita-andamento-naz'!L20</f>
        <v>17660</v>
      </c>
      <c r="E29" s="11">
        <f t="shared" si="7"/>
        <v>2547</v>
      </c>
      <c r="F29" s="11">
        <f t="shared" si="0"/>
        <v>21207.592774453147</v>
      </c>
      <c r="G29" s="11">
        <f t="shared" si="8"/>
        <v>2637.7025131653609</v>
      </c>
      <c r="H29" s="11">
        <f t="shared" si="5"/>
        <v>3635.8661159770372</v>
      </c>
      <c r="I29" s="11">
        <f t="shared" si="6"/>
        <v>1639.5389103536845</v>
      </c>
      <c r="J29" s="11">
        <f>'dpc-covid19-ita-andamento-naz'!K20</f>
        <v>1266</v>
      </c>
      <c r="K29" s="11">
        <f t="shared" si="4"/>
        <v>250</v>
      </c>
      <c r="L29" s="11">
        <f t="shared" si="1"/>
        <v>1651.0849647578191</v>
      </c>
      <c r="M29" s="11">
        <f t="shared" si="9"/>
        <v>231.19705024101518</v>
      </c>
      <c r="N29" s="11">
        <f t="shared" si="2"/>
        <v>356.74474021938136</v>
      </c>
      <c r="O29" s="11">
        <f t="shared" si="3"/>
        <v>105.649360262649</v>
      </c>
      <c r="P29" s="1"/>
    </row>
    <row r="30" spans="2:32" x14ac:dyDescent="0.3">
      <c r="B30" s="10">
        <v>43904</v>
      </c>
      <c r="C30" s="4">
        <v>24</v>
      </c>
      <c r="D30" s="11">
        <f>'dpc-covid19-ita-andamento-naz'!L21</f>
        <v>21157</v>
      </c>
      <c r="E30" s="11">
        <f t="shared" si="7"/>
        <v>3497</v>
      </c>
      <c r="F30" s="11">
        <f t="shared" si="0"/>
        <v>24152.897008746088</v>
      </c>
      <c r="G30" s="11">
        <f t="shared" si="8"/>
        <v>2945.3042342929402</v>
      </c>
      <c r="H30" s="11">
        <f t="shared" si="5"/>
        <v>3943.4678371046166</v>
      </c>
      <c r="I30" s="11">
        <f t="shared" si="6"/>
        <v>1947.1406314812639</v>
      </c>
      <c r="J30" s="11">
        <f>'dpc-covid19-ita-andamento-naz'!K21</f>
        <v>1441</v>
      </c>
      <c r="K30" s="11">
        <f t="shared" si="4"/>
        <v>175</v>
      </c>
      <c r="L30" s="11">
        <f t="shared" si="1"/>
        <v>1916.1802300890586</v>
      </c>
      <c r="M30" s="11">
        <f t="shared" si="9"/>
        <v>265.09526533123949</v>
      </c>
      <c r="N30" s="11">
        <f t="shared" si="2"/>
        <v>390.64295530960567</v>
      </c>
      <c r="O30" s="11">
        <f t="shared" si="3"/>
        <v>139.54757535287331</v>
      </c>
      <c r="P30" s="1"/>
    </row>
    <row r="31" spans="2:32" x14ac:dyDescent="0.3">
      <c r="B31" s="10">
        <v>43905</v>
      </c>
      <c r="C31" s="4">
        <v>25</v>
      </c>
      <c r="D31" s="11">
        <f>'dpc-covid19-ita-andamento-naz'!L22</f>
        <v>24747</v>
      </c>
      <c r="E31" s="11">
        <f t="shared" si="7"/>
        <v>3590</v>
      </c>
      <c r="F31" s="11">
        <f t="shared" si="0"/>
        <v>27422.459533680103</v>
      </c>
      <c r="G31" s="11">
        <f t="shared" si="8"/>
        <v>3269.5625249340155</v>
      </c>
      <c r="H31" s="11">
        <f t="shared" si="5"/>
        <v>4267.7261277456919</v>
      </c>
      <c r="I31" s="11">
        <f t="shared" si="6"/>
        <v>2271.3989221223392</v>
      </c>
      <c r="J31" s="11">
        <f>'dpc-covid19-ita-andamento-naz'!K22</f>
        <v>1809</v>
      </c>
      <c r="K31" s="11">
        <f t="shared" si="4"/>
        <v>368</v>
      </c>
      <c r="L31" s="11">
        <f t="shared" si="1"/>
        <v>2218.8732716359818</v>
      </c>
      <c r="M31" s="11">
        <f t="shared" si="9"/>
        <v>302.69304154692327</v>
      </c>
      <c r="N31" s="11">
        <f t="shared" si="2"/>
        <v>428.24073152528945</v>
      </c>
      <c r="O31" s="11">
        <f t="shared" si="3"/>
        <v>177.14535156855709</v>
      </c>
      <c r="P31" s="1"/>
    </row>
    <row r="32" spans="2:32" x14ac:dyDescent="0.3">
      <c r="B32" s="10">
        <v>43906</v>
      </c>
      <c r="C32" s="4">
        <v>26</v>
      </c>
      <c r="D32" s="11">
        <f>'dpc-covid19-ita-andamento-naz'!L23</f>
        <v>27980</v>
      </c>
      <c r="E32" s="11">
        <f t="shared" si="7"/>
        <v>3233</v>
      </c>
      <c r="F32" s="11">
        <f t="shared" si="0"/>
        <v>31028.453579740046</v>
      </c>
      <c r="G32" s="11">
        <f t="shared" si="8"/>
        <v>3605.9940460599428</v>
      </c>
      <c r="H32" s="11">
        <f t="shared" si="5"/>
        <v>4604.1576488716191</v>
      </c>
      <c r="I32" s="11">
        <f t="shared" si="6"/>
        <v>2607.8304432482664</v>
      </c>
      <c r="J32" s="11">
        <f>'dpc-covid19-ita-andamento-naz'!K23</f>
        <v>2158</v>
      </c>
      <c r="K32" s="11">
        <f t="shared" si="4"/>
        <v>349</v>
      </c>
      <c r="L32" s="11">
        <f t="shared" si="1"/>
        <v>2562.8478035224134</v>
      </c>
      <c r="M32" s="11">
        <f t="shared" si="9"/>
        <v>343.97453188643158</v>
      </c>
      <c r="N32" s="11">
        <f t="shared" si="2"/>
        <v>469.52222186479776</v>
      </c>
      <c r="O32" s="11">
        <f t="shared" si="3"/>
        <v>218.4268419080654</v>
      </c>
      <c r="P32" s="1"/>
    </row>
    <row r="33" spans="2:21" x14ac:dyDescent="0.3">
      <c r="B33" s="10">
        <v>43907</v>
      </c>
      <c r="C33" s="4">
        <v>27</v>
      </c>
      <c r="D33" s="11">
        <f>'dpc-covid19-ita-andamento-naz'!L24</f>
        <v>31506</v>
      </c>
      <c r="E33" s="11">
        <f t="shared" si="7"/>
        <v>3526</v>
      </c>
      <c r="F33" s="11">
        <f t="shared" si="0"/>
        <v>34977.085747211044</v>
      </c>
      <c r="G33" s="11">
        <f t="shared" si="8"/>
        <v>3948.632167470998</v>
      </c>
      <c r="H33" s="11">
        <f t="shared" si="5"/>
        <v>4946.7957702826743</v>
      </c>
      <c r="I33" s="11">
        <f t="shared" si="6"/>
        <v>2950.4685646593216</v>
      </c>
      <c r="J33" s="11">
        <f>'dpc-covid19-ita-andamento-naz'!K24</f>
        <v>2503</v>
      </c>
      <c r="K33" s="11">
        <f t="shared" si="4"/>
        <v>345</v>
      </c>
      <c r="L33" s="11">
        <f t="shared" si="1"/>
        <v>2951.6163150647362</v>
      </c>
      <c r="M33" s="11">
        <f t="shared" si="9"/>
        <v>388.76851154232281</v>
      </c>
      <c r="N33" s="11">
        <f t="shared" si="2"/>
        <v>514.31620152068899</v>
      </c>
      <c r="O33" s="11">
        <f t="shared" si="3"/>
        <v>263.22082156395663</v>
      </c>
      <c r="P33" s="1"/>
    </row>
    <row r="34" spans="2:21" x14ac:dyDescent="0.3">
      <c r="B34" s="10">
        <v>43908</v>
      </c>
      <c r="C34" s="4">
        <v>28</v>
      </c>
      <c r="D34" s="11">
        <f>'dpc-covid19-ita-andamento-naz'!L25</f>
        <v>35713</v>
      </c>
      <c r="E34" s="11">
        <f t="shared" si="7"/>
        <v>4207</v>
      </c>
      <c r="F34" s="11">
        <f t="shared" si="0"/>
        <v>39267.112171707333</v>
      </c>
      <c r="G34" s="11">
        <f t="shared" si="8"/>
        <v>4290.0264244962891</v>
      </c>
      <c r="H34" s="11">
        <f t="shared" si="5"/>
        <v>5288.1900273079655</v>
      </c>
      <c r="I34" s="11">
        <f t="shared" si="6"/>
        <v>3291.8628216846128</v>
      </c>
      <c r="J34" s="11">
        <f>'dpc-covid19-ita-andamento-naz'!K25</f>
        <v>2978</v>
      </c>
      <c r="K34" s="11">
        <f t="shared" si="4"/>
        <v>475</v>
      </c>
      <c r="L34" s="11">
        <f t="shared" si="1"/>
        <v>3388.323715187681</v>
      </c>
      <c r="M34" s="11">
        <f t="shared" si="9"/>
        <v>436.70740012294482</v>
      </c>
      <c r="N34" s="11">
        <f t="shared" si="2"/>
        <v>562.255090101311</v>
      </c>
      <c r="O34" s="11">
        <f t="shared" si="3"/>
        <v>311.15971014457864</v>
      </c>
      <c r="U34" s="1"/>
    </row>
    <row r="35" spans="2:21" x14ac:dyDescent="0.3">
      <c r="B35" s="10">
        <v>43909</v>
      </c>
      <c r="C35" s="4">
        <v>29</v>
      </c>
      <c r="D35" s="11">
        <f>'dpc-covid19-ita-andamento-naz'!L26</f>
        <v>41035</v>
      </c>
      <c r="E35" s="11">
        <f t="shared" si="7"/>
        <v>5322</v>
      </c>
      <c r="F35" s="11">
        <f t="shared" si="0"/>
        <v>43888.489578729248</v>
      </c>
      <c r="G35" s="11">
        <f t="shared" si="8"/>
        <v>4621.3774070219151</v>
      </c>
      <c r="H35" s="11">
        <f t="shared" si="5"/>
        <v>5619.5410098335915</v>
      </c>
      <c r="I35" s="11">
        <f t="shared" si="6"/>
        <v>3623.2138042102388</v>
      </c>
      <c r="J35" s="11">
        <f>'dpc-covid19-ita-andamento-naz'!K26</f>
        <v>3405</v>
      </c>
      <c r="K35" s="11">
        <f t="shared" si="4"/>
        <v>427</v>
      </c>
      <c r="L35" s="11">
        <f t="shared" si="1"/>
        <v>3875.5123701281996</v>
      </c>
      <c r="M35" s="11">
        <f t="shared" si="9"/>
        <v>487.18865494051852</v>
      </c>
      <c r="N35" s="11">
        <f t="shared" si="2"/>
        <v>612.7363449188847</v>
      </c>
      <c r="O35" s="11">
        <f t="shared" si="3"/>
        <v>361.64096496215234</v>
      </c>
    </row>
    <row r="36" spans="2:21" x14ac:dyDescent="0.3">
      <c r="B36" s="10">
        <v>43910</v>
      </c>
      <c r="C36" s="4">
        <v>30</v>
      </c>
      <c r="D36" s="11">
        <f>'dpc-covid19-ita-andamento-naz'!L27</f>
        <v>47021</v>
      </c>
      <c r="E36" s="11">
        <f t="shared" si="7"/>
        <v>5986</v>
      </c>
      <c r="F36" s="11">
        <f t="shared" si="0"/>
        <v>48821.323309251777</v>
      </c>
      <c r="G36" s="11">
        <f t="shared" si="8"/>
        <v>4932.8337305225286</v>
      </c>
      <c r="H36" s="11">
        <f t="shared" si="5"/>
        <v>5930.997333334205</v>
      </c>
      <c r="I36" s="11">
        <f t="shared" si="6"/>
        <v>3934.6701277108523</v>
      </c>
      <c r="J36" s="11">
        <f>'dpc-covid19-ita-andamento-naz'!K27</f>
        <v>4032</v>
      </c>
      <c r="K36" s="11">
        <f t="shared" si="4"/>
        <v>627</v>
      </c>
      <c r="L36" s="11">
        <f t="shared" si="1"/>
        <v>4414.8569195155105</v>
      </c>
      <c r="M36" s="11">
        <f t="shared" si="9"/>
        <v>539.34454938731096</v>
      </c>
      <c r="N36" s="11">
        <f t="shared" si="2"/>
        <v>664.89223936567714</v>
      </c>
      <c r="O36" s="11">
        <f t="shared" si="3"/>
        <v>413.79685940894478</v>
      </c>
    </row>
    <row r="37" spans="2:21" x14ac:dyDescent="0.3">
      <c r="B37" s="10">
        <v>43911</v>
      </c>
      <c r="C37" s="4">
        <v>31</v>
      </c>
      <c r="D37" s="11">
        <f>'dpc-covid19-ita-andamento-naz'!L28</f>
        <v>53578</v>
      </c>
      <c r="E37" s="11">
        <f t="shared" si="7"/>
        <v>6557</v>
      </c>
      <c r="F37" s="11">
        <f t="shared" si="0"/>
        <v>54035.28379318041</v>
      </c>
      <c r="G37" s="11">
        <f t="shared" si="8"/>
        <v>5213.960483928633</v>
      </c>
      <c r="H37" s="11">
        <f t="shared" si="5"/>
        <v>6212.1240867403094</v>
      </c>
      <c r="I37" s="11">
        <f t="shared" si="6"/>
        <v>4215.7968811169567</v>
      </c>
      <c r="J37" s="11">
        <f>'dpc-covid19-ita-andamento-naz'!K28</f>
        <v>4825</v>
      </c>
      <c r="K37" s="11">
        <f t="shared" si="4"/>
        <v>793</v>
      </c>
      <c r="L37" s="11">
        <f t="shared" si="1"/>
        <v>5006.8847942617158</v>
      </c>
      <c r="M37" s="11">
        <f t="shared" si="9"/>
        <v>592.02787474620527</v>
      </c>
      <c r="N37" s="11">
        <f t="shared" si="2"/>
        <v>717.57556472457145</v>
      </c>
      <c r="O37" s="11">
        <f t="shared" si="3"/>
        <v>466.48018476783909</v>
      </c>
    </row>
    <row r="38" spans="2:21" x14ac:dyDescent="0.3">
      <c r="B38" s="10">
        <v>43912</v>
      </c>
      <c r="C38" s="4">
        <v>32</v>
      </c>
      <c r="D38" s="11">
        <f>'dpc-covid19-ita-andamento-naz'!L29</f>
        <v>59138</v>
      </c>
      <c r="E38" s="11">
        <f t="shared" si="7"/>
        <v>5560</v>
      </c>
      <c r="F38" s="11">
        <f t="shared" si="0"/>
        <v>59489.646758904972</v>
      </c>
      <c r="G38" s="11">
        <f t="shared" si="8"/>
        <v>5454.3629657245619</v>
      </c>
      <c r="H38" s="11">
        <f t="shared" si="5"/>
        <v>6452.5265685362383</v>
      </c>
      <c r="I38" s="11">
        <f t="shared" si="6"/>
        <v>4456.1993629128856</v>
      </c>
      <c r="J38" s="11">
        <f>'dpc-covid19-ita-andamento-naz'!K29</f>
        <v>5476</v>
      </c>
      <c r="K38" s="11">
        <f t="shared" si="4"/>
        <v>651</v>
      </c>
      <c r="L38" s="11">
        <f t="shared" si="1"/>
        <v>5650.7065807387698</v>
      </c>
      <c r="M38" s="11">
        <f t="shared" si="9"/>
        <v>643.82178647705405</v>
      </c>
      <c r="N38" s="11">
        <f t="shared" si="2"/>
        <v>769.36947645542023</v>
      </c>
      <c r="O38" s="11">
        <f t="shared" si="3"/>
        <v>518.27409649868787</v>
      </c>
    </row>
    <row r="39" spans="2:21" x14ac:dyDescent="0.3">
      <c r="B39" s="23">
        <v>43913</v>
      </c>
      <c r="C39" s="4">
        <v>33</v>
      </c>
      <c r="D39" s="11">
        <f>'dpc-covid19-ita-andamento-naz'!L30</f>
        <v>63927</v>
      </c>
      <c r="E39" s="11">
        <f t="shared" si="7"/>
        <v>4789</v>
      </c>
      <c r="F39" s="11">
        <f t="shared" ref="F39:F70" si="10">Kn/(1+EXP(-($C39-t0n)/wn))</f>
        <v>65134.065730513212</v>
      </c>
      <c r="G39" s="11">
        <f t="shared" si="8"/>
        <v>5644.4189716082401</v>
      </c>
      <c r="H39" s="11">
        <f t="shared" si="5"/>
        <v>6642.5825744199165</v>
      </c>
      <c r="I39" s="11">
        <f t="shared" si="6"/>
        <v>4646.2553687965637</v>
      </c>
      <c r="J39" s="11">
        <f>'dpc-covid19-ita-andamento-naz'!K30</f>
        <v>6077</v>
      </c>
      <c r="K39" s="11">
        <f t="shared" si="4"/>
        <v>601</v>
      </c>
      <c r="L39" s="11">
        <f t="shared" ref="L39:L70" si="11">Kd/(1+EXP(-($C39-t0d)/wd))</f>
        <v>6343.787758512749</v>
      </c>
      <c r="M39" s="11">
        <f t="shared" si="9"/>
        <v>693.08117777397911</v>
      </c>
      <c r="N39" s="11">
        <f t="shared" si="2"/>
        <v>818.62886775234529</v>
      </c>
      <c r="O39" s="11">
        <f t="shared" si="3"/>
        <v>567.53348779561293</v>
      </c>
    </row>
    <row r="40" spans="2:21" x14ac:dyDescent="0.3">
      <c r="B40" s="10">
        <v>43914</v>
      </c>
      <c r="C40" s="4">
        <v>34</v>
      </c>
      <c r="D40" s="11">
        <f>'dpc-covid19-ita-andamento-naz'!L31</f>
        <v>69176</v>
      </c>
      <c r="E40" s="11">
        <f t="shared" si="7"/>
        <v>5249</v>
      </c>
      <c r="F40" s="11">
        <f t="shared" si="10"/>
        <v>70910.109350206214</v>
      </c>
      <c r="G40" s="11">
        <f t="shared" si="8"/>
        <v>5776.0436196930023</v>
      </c>
      <c r="H40" s="11">
        <f t="shared" si="5"/>
        <v>6774.2072225046786</v>
      </c>
      <c r="I40" s="11">
        <f t="shared" si="6"/>
        <v>4777.8800168813259</v>
      </c>
      <c r="J40" s="11">
        <f>'dpc-covid19-ita-andamento-naz'!K31</f>
        <v>6820</v>
      </c>
      <c r="K40" s="11">
        <f t="shared" si="4"/>
        <v>743</v>
      </c>
      <c r="L40" s="11">
        <f t="shared" si="11"/>
        <v>7081.7977805124428</v>
      </c>
      <c r="M40" s="11">
        <f t="shared" si="9"/>
        <v>738.01002199969389</v>
      </c>
      <c r="N40" s="11">
        <f t="shared" si="2"/>
        <v>863.55771197806007</v>
      </c>
      <c r="O40" s="11">
        <f t="shared" si="3"/>
        <v>612.46233202132771</v>
      </c>
    </row>
    <row r="41" spans="2:21" x14ac:dyDescent="0.3">
      <c r="B41" s="10">
        <v>43915</v>
      </c>
      <c r="C41" s="4">
        <v>35</v>
      </c>
      <c r="D41" s="11">
        <f>'dpc-covid19-ita-andamento-naz'!L32</f>
        <v>74386</v>
      </c>
      <c r="E41" s="11">
        <f t="shared" si="7"/>
        <v>5210</v>
      </c>
      <c r="F41" s="11">
        <f t="shared" si="10"/>
        <v>76753.5</v>
      </c>
      <c r="G41" s="11">
        <f t="shared" si="8"/>
        <v>5843.390649793786</v>
      </c>
      <c r="H41" s="11">
        <f t="shared" si="5"/>
        <v>6841.5542526054624</v>
      </c>
      <c r="I41" s="11">
        <f t="shared" si="6"/>
        <v>4845.2270469821096</v>
      </c>
      <c r="J41" s="11">
        <f>'dpc-covid19-ita-andamento-naz'!K32</f>
        <v>7503</v>
      </c>
      <c r="K41" s="11">
        <f t="shared" si="4"/>
        <v>683</v>
      </c>
      <c r="L41" s="11">
        <f t="shared" si="11"/>
        <v>7858.5716788676327</v>
      </c>
      <c r="M41" s="11">
        <f t="shared" si="9"/>
        <v>776.77389835518989</v>
      </c>
      <c r="N41" s="11">
        <f t="shared" si="2"/>
        <v>902.32158833355606</v>
      </c>
      <c r="O41" s="11">
        <f t="shared" si="3"/>
        <v>651.22620837682371</v>
      </c>
    </row>
    <row r="42" spans="2:21" x14ac:dyDescent="0.3">
      <c r="B42" s="10">
        <v>43916</v>
      </c>
      <c r="C42" s="4">
        <v>36</v>
      </c>
      <c r="D42" s="11">
        <f>'dpc-covid19-ita-andamento-naz'!L33</f>
        <v>80539</v>
      </c>
      <c r="E42" s="11">
        <f t="shared" si="7"/>
        <v>6153</v>
      </c>
      <c r="F42" s="11">
        <f t="shared" si="10"/>
        <v>82596.890649793771</v>
      </c>
      <c r="G42" s="11">
        <f t="shared" si="8"/>
        <v>5843.3906497937714</v>
      </c>
      <c r="H42" s="11">
        <f t="shared" si="5"/>
        <v>6841.5542526054478</v>
      </c>
      <c r="I42" s="11">
        <f t="shared" si="6"/>
        <v>4845.2270469820951</v>
      </c>
      <c r="J42" s="11">
        <f>'dpc-covid19-ita-andamento-naz'!K33</f>
        <v>8165</v>
      </c>
      <c r="K42" s="11">
        <f t="shared" si="4"/>
        <v>662</v>
      </c>
      <c r="L42" s="11">
        <f t="shared" si="11"/>
        <v>8666.2116071021501</v>
      </c>
      <c r="M42" s="11">
        <f t="shared" si="9"/>
        <v>807.63992823451736</v>
      </c>
      <c r="N42" s="11">
        <f t="shared" si="2"/>
        <v>933.18761821288354</v>
      </c>
      <c r="O42" s="11">
        <f t="shared" si="3"/>
        <v>682.09223825615118</v>
      </c>
    </row>
    <row r="43" spans="2:21" x14ac:dyDescent="0.3">
      <c r="B43" s="10">
        <v>43917</v>
      </c>
      <c r="C43" s="4">
        <v>37</v>
      </c>
      <c r="D43" s="11">
        <f>'dpc-covid19-ita-andamento-naz'!L34</f>
        <v>86498</v>
      </c>
      <c r="E43" s="11">
        <f t="shared" si="7"/>
        <v>5959</v>
      </c>
      <c r="F43" s="11">
        <f t="shared" si="10"/>
        <v>88372.934269486796</v>
      </c>
      <c r="G43" s="11">
        <f t="shared" si="8"/>
        <v>5776.0436196930241</v>
      </c>
      <c r="H43" s="11">
        <f t="shared" si="5"/>
        <v>6774.2072225047004</v>
      </c>
      <c r="I43" s="11">
        <f t="shared" si="6"/>
        <v>4777.8800168813477</v>
      </c>
      <c r="J43" s="11">
        <f>'dpc-covid19-ita-andamento-naz'!K34</f>
        <v>9134</v>
      </c>
      <c r="K43" s="11">
        <f t="shared" si="4"/>
        <v>969</v>
      </c>
      <c r="L43" s="11">
        <f t="shared" si="11"/>
        <v>9495.3405970249096</v>
      </c>
      <c r="M43" s="11">
        <f t="shared" si="9"/>
        <v>829.1289899227595</v>
      </c>
      <c r="N43" s="11">
        <f t="shared" si="2"/>
        <v>954.67667990112568</v>
      </c>
      <c r="O43" s="11">
        <f t="shared" si="3"/>
        <v>703.58129994439332</v>
      </c>
    </row>
    <row r="44" spans="2:21" x14ac:dyDescent="0.3">
      <c r="B44" s="10">
        <v>43918</v>
      </c>
      <c r="C44" s="4">
        <v>38</v>
      </c>
      <c r="D44" s="11">
        <f>'dpc-covid19-ita-andamento-naz'!L35</f>
        <v>92472</v>
      </c>
      <c r="E44" s="11">
        <f t="shared" si="7"/>
        <v>5974</v>
      </c>
      <c r="F44" s="11">
        <f t="shared" si="10"/>
        <v>94017.353241095028</v>
      </c>
      <c r="G44" s="11">
        <f t="shared" si="8"/>
        <v>5644.4189716082328</v>
      </c>
      <c r="H44" s="11">
        <f t="shared" si="5"/>
        <v>6642.5825744199092</v>
      </c>
      <c r="I44" s="11">
        <f t="shared" ref="I44:I49" si="12">MAX(G44-CIn,0)</f>
        <v>4646.2553687965565</v>
      </c>
      <c r="J44" s="11">
        <f>'dpc-covid19-ita-andamento-naz'!K35</f>
        <v>10023</v>
      </c>
      <c r="K44" s="11">
        <f t="shared" si="4"/>
        <v>889</v>
      </c>
      <c r="L44" s="11">
        <f t="shared" si="11"/>
        <v>10335.5</v>
      </c>
      <c r="M44" s="11">
        <f t="shared" si="9"/>
        <v>840.15940297509042</v>
      </c>
      <c r="N44" s="11">
        <f t="shared" si="2"/>
        <v>965.70709295345659</v>
      </c>
      <c r="O44" s="11">
        <f t="shared" si="3"/>
        <v>714.61171299672424</v>
      </c>
    </row>
    <row r="45" spans="2:21" x14ac:dyDescent="0.3">
      <c r="B45" s="10">
        <v>43919</v>
      </c>
      <c r="C45" s="4">
        <v>39</v>
      </c>
      <c r="D45" s="11">
        <f>'dpc-covid19-ita-andamento-naz'!L36</f>
        <v>97689</v>
      </c>
      <c r="E45" s="11">
        <f t="shared" si="7"/>
        <v>5217</v>
      </c>
      <c r="F45" s="11">
        <f t="shared" si="10"/>
        <v>99471.71620681959</v>
      </c>
      <c r="G45" s="11">
        <f t="shared" si="8"/>
        <v>5454.3629657245619</v>
      </c>
      <c r="H45" s="11">
        <f>G45+CIn</f>
        <v>6452.5265685362383</v>
      </c>
      <c r="I45" s="11">
        <f t="shared" si="12"/>
        <v>4456.1993629128856</v>
      </c>
      <c r="J45" s="11">
        <f>'dpc-covid19-ita-andamento-naz'!K36</f>
        <v>10779</v>
      </c>
      <c r="K45" s="11">
        <f t="shared" si="4"/>
        <v>756</v>
      </c>
      <c r="L45" s="11">
        <f t="shared" si="11"/>
        <v>11175.65940297509</v>
      </c>
      <c r="M45" s="11">
        <f t="shared" si="9"/>
        <v>840.15940297509042</v>
      </c>
      <c r="N45" s="11">
        <f t="shared" si="2"/>
        <v>965.70709295345659</v>
      </c>
      <c r="O45" s="11">
        <f t="shared" si="3"/>
        <v>714.61171299672424</v>
      </c>
    </row>
    <row r="46" spans="2:21" x14ac:dyDescent="0.3">
      <c r="B46" s="10">
        <v>43920</v>
      </c>
      <c r="C46" s="4">
        <v>40</v>
      </c>
      <c r="D46" s="11">
        <f>'dpc-covid19-ita-andamento-naz'!L37</f>
        <v>101739</v>
      </c>
      <c r="E46" s="11">
        <f t="shared" si="7"/>
        <v>4050</v>
      </c>
      <c r="F46" s="11">
        <f t="shared" si="10"/>
        <v>104685.67669074822</v>
      </c>
      <c r="G46" s="11">
        <f t="shared" si="8"/>
        <v>5213.960483928633</v>
      </c>
      <c r="H46" s="11">
        <f>G46+CIn</f>
        <v>6212.1240867403094</v>
      </c>
      <c r="I46" s="11">
        <f t="shared" si="12"/>
        <v>4215.7968811169567</v>
      </c>
      <c r="J46" s="11">
        <f>'dpc-covid19-ita-andamento-naz'!K37</f>
        <v>11591</v>
      </c>
      <c r="K46" s="11">
        <f t="shared" si="4"/>
        <v>812</v>
      </c>
      <c r="L46" s="11">
        <f t="shared" si="11"/>
        <v>12004.78839289785</v>
      </c>
      <c r="M46" s="11">
        <f t="shared" si="9"/>
        <v>829.1289899227595</v>
      </c>
      <c r="N46" s="11">
        <f t="shared" si="2"/>
        <v>954.67667990112568</v>
      </c>
      <c r="O46" s="11">
        <f t="shared" si="3"/>
        <v>703.58129994439332</v>
      </c>
    </row>
    <row r="47" spans="2:21" x14ac:dyDescent="0.3">
      <c r="B47" s="10">
        <v>43921</v>
      </c>
      <c r="C47" s="4">
        <v>41</v>
      </c>
      <c r="D47" s="11">
        <f>'dpc-covid19-ita-andamento-naz'!L38</f>
        <v>105792</v>
      </c>
      <c r="E47" s="11">
        <f t="shared" si="7"/>
        <v>4053</v>
      </c>
      <c r="F47" s="11">
        <f t="shared" si="10"/>
        <v>109618.51042127075</v>
      </c>
      <c r="G47" s="11">
        <f t="shared" si="8"/>
        <v>4932.8337305225286</v>
      </c>
      <c r="H47" s="11">
        <f>G47+CIn</f>
        <v>5930.997333334205</v>
      </c>
      <c r="I47" s="11">
        <f t="shared" si="12"/>
        <v>3934.6701277108523</v>
      </c>
      <c r="J47" s="11">
        <f>'dpc-covid19-ita-andamento-naz'!K38</f>
        <v>12428</v>
      </c>
      <c r="K47" s="11">
        <f t="shared" si="4"/>
        <v>837</v>
      </c>
      <c r="L47" s="11">
        <f t="shared" si="11"/>
        <v>12812.428321132367</v>
      </c>
      <c r="M47" s="11">
        <f t="shared" si="9"/>
        <v>807.63992823451736</v>
      </c>
      <c r="N47" s="11">
        <f>M47+CId</f>
        <v>933.18761821288354</v>
      </c>
      <c r="O47" s="11">
        <f>MAX(M47-CId,0)</f>
        <v>682.09223825615118</v>
      </c>
    </row>
    <row r="48" spans="2:21" x14ac:dyDescent="0.3">
      <c r="B48" s="10">
        <v>43922</v>
      </c>
      <c r="C48" s="4">
        <v>42</v>
      </c>
      <c r="D48" s="11">
        <f>'dpc-covid19-ita-andamento-naz'!L39</f>
        <v>110574</v>
      </c>
      <c r="E48" s="11">
        <f t="shared" si="7"/>
        <v>4782</v>
      </c>
      <c r="F48" s="11">
        <f t="shared" si="10"/>
        <v>114239.88782829266</v>
      </c>
      <c r="G48" s="11">
        <f t="shared" si="8"/>
        <v>4621.3774070219079</v>
      </c>
      <c r="H48" s="11">
        <f>G48+CIn</f>
        <v>5619.5410098335842</v>
      </c>
      <c r="I48" s="11">
        <f t="shared" si="12"/>
        <v>3623.2138042102315</v>
      </c>
      <c r="J48" s="11">
        <f>'dpc-covid19-ita-andamento-naz'!K39</f>
        <v>13155</v>
      </c>
      <c r="K48" s="11">
        <f t="shared" si="4"/>
        <v>727</v>
      </c>
      <c r="L48" s="11">
        <f t="shared" si="11"/>
        <v>13589.202219487557</v>
      </c>
      <c r="M48" s="11">
        <f t="shared" si="9"/>
        <v>776.77389835518989</v>
      </c>
      <c r="N48" s="11">
        <f>M48+CId</f>
        <v>902.32158833355606</v>
      </c>
      <c r="O48" s="11">
        <f>MAX(M48-CId,0)</f>
        <v>651.22620837682371</v>
      </c>
    </row>
    <row r="49" spans="2:15" x14ac:dyDescent="0.3">
      <c r="B49" s="10">
        <v>43923</v>
      </c>
      <c r="C49" s="4">
        <v>43</v>
      </c>
      <c r="D49" s="11">
        <f>'dpc-covid19-ita-andamento-naz'!L40</f>
        <v>115242</v>
      </c>
      <c r="E49" s="11">
        <f t="shared" si="7"/>
        <v>4668</v>
      </c>
      <c r="F49" s="11">
        <f t="shared" si="10"/>
        <v>118529.91425278895</v>
      </c>
      <c r="G49" s="11">
        <f t="shared" si="8"/>
        <v>4290.0264244962891</v>
      </c>
      <c r="H49" s="11">
        <f>G49+CIn</f>
        <v>5288.1900273079655</v>
      </c>
      <c r="I49" s="11">
        <f t="shared" si="12"/>
        <v>3291.8628216846128</v>
      </c>
      <c r="J49" s="11">
        <f>'dpc-covid19-ita-andamento-naz'!K40</f>
        <v>13915</v>
      </c>
      <c r="K49" s="11">
        <f t="shared" si="4"/>
        <v>760</v>
      </c>
      <c r="L49" s="11">
        <f t="shared" si="11"/>
        <v>14327.21224148725</v>
      </c>
      <c r="M49" s="11">
        <f t="shared" si="9"/>
        <v>738.01002199969298</v>
      </c>
      <c r="N49" s="11">
        <f>M49+CId</f>
        <v>863.55771197805916</v>
      </c>
      <c r="O49" s="11">
        <f>MAX(M49-CId,0)</f>
        <v>612.4623320213268</v>
      </c>
    </row>
    <row r="50" spans="2:15" x14ac:dyDescent="0.3">
      <c r="B50" s="10">
        <v>43924</v>
      </c>
      <c r="C50" s="4">
        <v>44</v>
      </c>
      <c r="D50" s="11">
        <f>'dpc-covid19-ita-andamento-naz'!L41</f>
        <v>119827</v>
      </c>
      <c r="E50" s="11">
        <f t="shared" si="7"/>
        <v>4585</v>
      </c>
      <c r="F50" s="11">
        <f t="shared" si="10"/>
        <v>122478.54642025995</v>
      </c>
      <c r="G50" s="11">
        <f t="shared" si="8"/>
        <v>3948.6321674710052</v>
      </c>
      <c r="H50" s="11">
        <f>G50+CIn</f>
        <v>4946.7957702826816</v>
      </c>
      <c r="I50" s="11">
        <f t="shared" ref="I50" si="13">MAX(G50-CIn,0)</f>
        <v>2950.4685646593289</v>
      </c>
      <c r="J50" s="11">
        <f>'dpc-covid19-ita-andamento-naz'!K41</f>
        <v>14681</v>
      </c>
      <c r="K50" s="11">
        <f t="shared" si="4"/>
        <v>766</v>
      </c>
      <c r="L50" s="11">
        <f t="shared" si="11"/>
        <v>15020.29341926123</v>
      </c>
      <c r="M50" s="11">
        <f t="shared" si="9"/>
        <v>693.08117777398002</v>
      </c>
      <c r="N50" s="11">
        <f>M50+CId</f>
        <v>818.6288677523462</v>
      </c>
      <c r="O50" s="11">
        <f>MAX(M50-CId,0)</f>
        <v>567.53348779561384</v>
      </c>
    </row>
    <row r="51" spans="2:15" x14ac:dyDescent="0.3">
      <c r="B51" s="10">
        <v>43925</v>
      </c>
      <c r="C51" s="4">
        <v>45</v>
      </c>
      <c r="E51" s="11"/>
      <c r="F51" s="11">
        <f t="shared" si="10"/>
        <v>126084.5404663199</v>
      </c>
      <c r="G51" s="11">
        <f t="shared" si="8"/>
        <v>3605.9940460599464</v>
      </c>
      <c r="K51" s="11"/>
      <c r="L51" s="11">
        <f t="shared" si="11"/>
        <v>15664.115205738284</v>
      </c>
      <c r="M51" s="11">
        <f t="shared" si="9"/>
        <v>643.82178647705405</v>
      </c>
    </row>
    <row r="52" spans="2:15" x14ac:dyDescent="0.3">
      <c r="B52" s="10">
        <v>43926</v>
      </c>
      <c r="C52" s="4">
        <v>46</v>
      </c>
      <c r="E52" s="11"/>
      <c r="F52" s="11">
        <f t="shared" si="10"/>
        <v>129354.10299125392</v>
      </c>
      <c r="G52" s="11">
        <f t="shared" si="8"/>
        <v>3269.5625249340228</v>
      </c>
      <c r="K52" s="11"/>
      <c r="L52" s="11">
        <f t="shared" si="11"/>
        <v>16256.143080484491</v>
      </c>
      <c r="M52" s="11">
        <f t="shared" si="9"/>
        <v>592.02787474620709</v>
      </c>
    </row>
    <row r="53" spans="2:15" x14ac:dyDescent="0.3">
      <c r="B53" s="10">
        <v>43927</v>
      </c>
      <c r="C53" s="4">
        <v>47</v>
      </c>
      <c r="E53" s="11"/>
      <c r="F53" s="11">
        <f t="shared" si="10"/>
        <v>132299.40722554686</v>
      </c>
      <c r="G53" s="11">
        <f t="shared" si="8"/>
        <v>2945.3042342929402</v>
      </c>
      <c r="K53" s="11"/>
      <c r="L53" s="11">
        <f t="shared" si="11"/>
        <v>16795.487629871797</v>
      </c>
      <c r="M53" s="11">
        <f t="shared" si="9"/>
        <v>539.34454938730596</v>
      </c>
    </row>
    <row r="54" spans="2:15" x14ac:dyDescent="0.3">
      <c r="B54" s="10">
        <v>43928</v>
      </c>
      <c r="C54" s="4">
        <v>48</v>
      </c>
      <c r="E54" s="11"/>
      <c r="F54" s="11">
        <f t="shared" si="10"/>
        <v>134937.10973871223</v>
      </c>
      <c r="G54" s="11">
        <f t="shared" si="8"/>
        <v>2637.7025131653645</v>
      </c>
      <c r="K54" s="11"/>
      <c r="L54" s="11">
        <f t="shared" si="11"/>
        <v>17282.676284812322</v>
      </c>
      <c r="M54" s="11">
        <f t="shared" si="9"/>
        <v>487.18865494052443</v>
      </c>
    </row>
    <row r="55" spans="2:15" x14ac:dyDescent="0.3">
      <c r="B55" s="10">
        <v>43929</v>
      </c>
      <c r="C55" s="4">
        <v>49</v>
      </c>
      <c r="E55" s="11"/>
      <c r="F55" s="11">
        <f t="shared" si="10"/>
        <v>137286.96809710067</v>
      </c>
      <c r="G55" s="11">
        <f t="shared" si="8"/>
        <v>2349.8583583884465</v>
      </c>
      <c r="K55" s="11"/>
      <c r="L55" s="11">
        <f t="shared" si="11"/>
        <v>17719.383684935263</v>
      </c>
      <c r="M55" s="11">
        <f t="shared" si="9"/>
        <v>436.70740012294118</v>
      </c>
    </row>
    <row r="56" spans="2:15" x14ac:dyDescent="0.3">
      <c r="B56" s="10">
        <v>43930</v>
      </c>
      <c r="C56" s="4">
        <v>50</v>
      </c>
      <c r="E56" s="11"/>
      <c r="F56" s="11">
        <f t="shared" si="10"/>
        <v>139370.62391156293</v>
      </c>
      <c r="G56" s="11">
        <f t="shared" si="8"/>
        <v>2083.6558144622541</v>
      </c>
      <c r="K56" s="11"/>
      <c r="L56" s="11">
        <f t="shared" si="11"/>
        <v>18108.152196477586</v>
      </c>
      <c r="M56" s="11">
        <f t="shared" si="9"/>
        <v>388.76851154232281</v>
      </c>
    </row>
    <row r="57" spans="2:15" x14ac:dyDescent="0.3">
      <c r="B57" s="10">
        <v>43931</v>
      </c>
      <c r="C57" s="4">
        <v>51</v>
      </c>
      <c r="E57" s="11"/>
      <c r="F57" s="11">
        <f t="shared" si="10"/>
        <v>141210.58387659898</v>
      </c>
      <c r="G57" s="11">
        <f t="shared" si="8"/>
        <v>1839.9599650360469</v>
      </c>
      <c r="K57" s="11"/>
      <c r="L57" s="11">
        <f t="shared" si="11"/>
        <v>18452.126728364019</v>
      </c>
      <c r="M57" s="11">
        <f t="shared" si="9"/>
        <v>343.9745318864334</v>
      </c>
    </row>
    <row r="58" spans="2:15" x14ac:dyDescent="0.3">
      <c r="B58" s="10">
        <v>43932</v>
      </c>
      <c r="C58" s="4">
        <v>52</v>
      </c>
      <c r="E58" s="11"/>
      <c r="F58" s="11">
        <f t="shared" si="10"/>
        <v>142829.40631951785</v>
      </c>
      <c r="G58" s="11">
        <f t="shared" si="8"/>
        <v>1618.8224429188704</v>
      </c>
      <c r="K58" s="11"/>
      <c r="L58" s="11">
        <f t="shared" si="11"/>
        <v>18754.819769910941</v>
      </c>
      <c r="M58" s="11">
        <f t="shared" si="9"/>
        <v>302.69304154692145</v>
      </c>
    </row>
    <row r="59" spans="2:15" x14ac:dyDescent="0.3">
      <c r="B59" s="10">
        <v>43933</v>
      </c>
      <c r="C59" s="4">
        <v>53</v>
      </c>
      <c r="E59" s="11"/>
      <c r="F59" s="11">
        <f t="shared" si="10"/>
        <v>144249.08312113449</v>
      </c>
      <c r="G59" s="11">
        <f t="shared" si="8"/>
        <v>1419.6768016166461</v>
      </c>
      <c r="K59" s="11"/>
      <c r="L59" s="11">
        <f t="shared" si="11"/>
        <v>19019.915035242182</v>
      </c>
      <c r="M59" s="11">
        <f t="shared" si="9"/>
        <v>265.09526533124154</v>
      </c>
    </row>
    <row r="60" spans="2:15" x14ac:dyDescent="0.3">
      <c r="B60" s="10">
        <v>43934</v>
      </c>
      <c r="C60" s="4">
        <v>54</v>
      </c>
      <c r="E60" s="11"/>
      <c r="F60" s="11">
        <f t="shared" si="10"/>
        <v>145490.59601456809</v>
      </c>
      <c r="G60" s="11">
        <f t="shared" si="8"/>
        <v>1241.5128934335953</v>
      </c>
      <c r="K60" s="11"/>
      <c r="L60" s="11">
        <f t="shared" si="11"/>
        <v>19251.112085483193</v>
      </c>
      <c r="M60" s="11">
        <f t="shared" si="9"/>
        <v>231.19705024101131</v>
      </c>
    </row>
    <row r="61" spans="2:15" x14ac:dyDescent="0.3">
      <c r="B61" s="10">
        <v>43935</v>
      </c>
      <c r="C61" s="4">
        <v>55</v>
      </c>
      <c r="E61" s="11"/>
      <c r="F61" s="11">
        <f t="shared" si="10"/>
        <v>146573.6209252353</v>
      </c>
      <c r="G61" s="11">
        <f t="shared" si="8"/>
        <v>1083.0249106672127</v>
      </c>
      <c r="K61" s="11"/>
      <c r="L61" s="11">
        <f t="shared" si="11"/>
        <v>19452.010075698498</v>
      </c>
      <c r="M61" s="11">
        <f t="shared" si="9"/>
        <v>200.89799021530416</v>
      </c>
    </row>
    <row r="62" spans="2:15" x14ac:dyDescent="0.3">
      <c r="B62" s="10">
        <v>43936</v>
      </c>
      <c r="C62" s="4">
        <v>56</v>
      </c>
      <c r="E62" s="11"/>
      <c r="F62" s="11">
        <f t="shared" si="10"/>
        <v>147516.35270042971</v>
      </c>
      <c r="G62" s="11">
        <f t="shared" si="8"/>
        <v>942.73177519440651</v>
      </c>
      <c r="K62" s="11"/>
      <c r="L62" s="11">
        <f t="shared" si="11"/>
        <v>19626.026216966398</v>
      </c>
      <c r="M62" s="11">
        <f t="shared" si="9"/>
        <v>174.01614126790082</v>
      </c>
    </row>
    <row r="63" spans="2:15" x14ac:dyDescent="0.3">
      <c r="B63" s="10">
        <v>43937</v>
      </c>
      <c r="C63" s="4">
        <v>57</v>
      </c>
      <c r="E63" s="11"/>
      <c r="F63" s="11">
        <f t="shared" si="10"/>
        <v>148335.42391285024</v>
      </c>
      <c r="G63" s="11">
        <f t="shared" si="8"/>
        <v>819.07121242053108</v>
      </c>
      <c r="K63" s="11"/>
      <c r="L63" s="11">
        <f t="shared" si="11"/>
        <v>19776.343331817687</v>
      </c>
      <c r="M63" s="11">
        <f t="shared" si="9"/>
        <v>150.31711485128835</v>
      </c>
    </row>
    <row r="64" spans="2:15" x14ac:dyDescent="0.3">
      <c r="B64" s="10">
        <v>43938</v>
      </c>
      <c r="C64" s="4">
        <v>58</v>
      </c>
      <c r="E64" s="11"/>
      <c r="F64" s="11">
        <f t="shared" si="10"/>
        <v>149045.89428169598</v>
      </c>
      <c r="G64" s="11">
        <f t="shared" si="8"/>
        <v>710.47036884573754</v>
      </c>
      <c r="K64" s="11"/>
      <c r="L64" s="11">
        <f t="shared" si="11"/>
        <v>19905.880632296328</v>
      </c>
      <c r="M64" s="11">
        <f t="shared" si="9"/>
        <v>129.53730047864155</v>
      </c>
    </row>
    <row r="65" spans="2:13" x14ac:dyDescent="0.3">
      <c r="B65" s="10">
        <v>43939</v>
      </c>
      <c r="C65" s="4">
        <v>59</v>
      </c>
      <c r="E65" s="11"/>
      <c r="F65" s="11">
        <f t="shared" si="10"/>
        <v>149661.29080131254</v>
      </c>
      <c r="G65" s="11">
        <f t="shared" si="8"/>
        <v>615.39651961656637</v>
      </c>
      <c r="K65" s="11"/>
      <c r="L65" s="11">
        <f t="shared" si="11"/>
        <v>20017.282212486411</v>
      </c>
      <c r="M65" s="11">
        <f t="shared" si="9"/>
        <v>111.40158019008231</v>
      </c>
    </row>
    <row r="66" spans="2:13" x14ac:dyDescent="0.3">
      <c r="B66" s="10">
        <v>43940</v>
      </c>
      <c r="C66" s="4">
        <v>60</v>
      </c>
      <c r="E66" s="11"/>
      <c r="F66" s="11">
        <f t="shared" si="10"/>
        <v>150193.68233454553</v>
      </c>
      <c r="G66" s="11">
        <f t="shared" si="8"/>
        <v>532.39153323299251</v>
      </c>
      <c r="K66" s="11"/>
      <c r="L66" s="11">
        <f t="shared" si="11"/>
        <v>20112.918440382567</v>
      </c>
      <c r="M66" s="11">
        <f t="shared" si="9"/>
        <v>95.636227896156925</v>
      </c>
    </row>
    <row r="67" spans="2:13" x14ac:dyDescent="0.3">
      <c r="B67" s="10">
        <v>43941</v>
      </c>
      <c r="C67" s="4">
        <v>61</v>
      </c>
      <c r="E67" s="11"/>
      <c r="F67" s="11">
        <f t="shared" si="10"/>
        <v>150653.77586967265</v>
      </c>
      <c r="G67" s="11">
        <f t="shared" si="8"/>
        <v>460.09353512711823</v>
      </c>
      <c r="K67" s="11"/>
      <c r="L67" s="11">
        <f t="shared" si="11"/>
        <v>20194.89625613769</v>
      </c>
      <c r="M67" s="11">
        <f t="shared" si="9"/>
        <v>81.97781575512272</v>
      </c>
    </row>
    <row r="68" spans="2:13" x14ac:dyDescent="0.3">
      <c r="B68" s="10">
        <v>43942</v>
      </c>
      <c r="C68" s="4">
        <v>62</v>
      </c>
      <c r="E68" s="11"/>
      <c r="F68" s="11">
        <f t="shared" si="10"/>
        <v>151051.02467332041</v>
      </c>
      <c r="G68" s="11">
        <f t="shared" si="8"/>
        <v>397.2488036477589</v>
      </c>
      <c r="K68" s="11"/>
      <c r="L68" s="11">
        <f t="shared" si="11"/>
        <v>20265.075205135683</v>
      </c>
      <c r="M68" s="11">
        <f t="shared" si="9"/>
        <v>70.178948997992848</v>
      </c>
    </row>
    <row r="69" spans="2:13" x14ac:dyDescent="0.3">
      <c r="B69" s="10">
        <v>43943</v>
      </c>
      <c r="C69" s="4">
        <v>63</v>
      </c>
      <c r="E69" s="11"/>
      <c r="F69" s="11">
        <f t="shared" si="10"/>
        <v>151393.74112641832</v>
      </c>
      <c r="G69" s="11">
        <f t="shared" si="8"/>
        <v>342.7164530979062</v>
      </c>
      <c r="K69" s="11"/>
      <c r="L69" s="11">
        <f t="shared" si="11"/>
        <v>20325.086781110254</v>
      </c>
      <c r="M69" s="11">
        <f t="shared" si="9"/>
        <v>60.011575974571315</v>
      </c>
    </row>
    <row r="70" spans="2:13" x14ac:dyDescent="0.3">
      <c r="B70" s="10">
        <v>43944</v>
      </c>
      <c r="C70" s="4">
        <v>64</v>
      </c>
      <c r="E70" s="11"/>
      <c r="F70" s="11">
        <f t="shared" si="10"/>
        <v>151689.20910581542</v>
      </c>
      <c r="G70" s="11">
        <f t="shared" si="8"/>
        <v>295.46797939710086</v>
      </c>
      <c r="K70" s="11"/>
      <c r="L70" s="11">
        <f t="shared" si="11"/>
        <v>20376.355292404074</v>
      </c>
      <c r="M70" s="11">
        <f t="shared" si="9"/>
        <v>51.268511293819756</v>
      </c>
    </row>
    <row r="71" spans="2:13" x14ac:dyDescent="0.3">
      <c r="B71" s="10"/>
      <c r="C71" s="4"/>
    </row>
    <row r="72" spans="2:13" x14ac:dyDescent="0.3">
      <c r="B72" s="10"/>
      <c r="C72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44</vt:i4>
      </vt:variant>
    </vt:vector>
  </HeadingPairs>
  <TitlesOfParts>
    <vt:vector size="47" baseType="lpstr">
      <vt:lpstr>dpc-covid19-ita-andamento-naz</vt:lpstr>
      <vt:lpstr>Cumul_confirmed - Boltzmann fit</vt:lpstr>
      <vt:lpstr>New_confirmed - Boltzmann fit</vt:lpstr>
      <vt:lpstr>CI</vt:lpstr>
      <vt:lpstr>CId</vt:lpstr>
      <vt:lpstr>CIh</vt:lpstr>
      <vt:lpstr>CIn</vt:lpstr>
      <vt:lpstr>Critical_t</vt:lpstr>
      <vt:lpstr>Critical_td</vt:lpstr>
      <vt:lpstr>Critical_th</vt:lpstr>
      <vt:lpstr>Critical_tn</vt:lpstr>
      <vt:lpstr>df</vt:lpstr>
      <vt:lpstr>dfd</vt:lpstr>
      <vt:lpstr>dfh</vt:lpstr>
      <vt:lpstr>dfn</vt:lpstr>
      <vt:lpstr>E_end</vt:lpstr>
      <vt:lpstr>E_start</vt:lpstr>
      <vt:lpstr>G_end</vt:lpstr>
      <vt:lpstr>G_start</vt:lpstr>
      <vt:lpstr>K</vt:lpstr>
      <vt:lpstr>K_end</vt:lpstr>
      <vt:lpstr>K_start</vt:lpstr>
      <vt:lpstr>Kd</vt:lpstr>
      <vt:lpstr>Kh</vt:lpstr>
      <vt:lpstr>Kn</vt:lpstr>
      <vt:lpstr>M_end</vt:lpstr>
      <vt:lpstr>M_start</vt:lpstr>
      <vt:lpstr>Mean_of_y</vt:lpstr>
      <vt:lpstr>Mean_of_yd</vt:lpstr>
      <vt:lpstr>Mean_of_yh</vt:lpstr>
      <vt:lpstr>Mean_of_yn</vt:lpstr>
      <vt:lpstr>RSQ</vt:lpstr>
      <vt:lpstr>RSQd</vt:lpstr>
      <vt:lpstr>RSQh</vt:lpstr>
      <vt:lpstr>RSQn</vt:lpstr>
      <vt:lpstr>SE_of_y</vt:lpstr>
      <vt:lpstr>SE_of_yd</vt:lpstr>
      <vt:lpstr>SE_of_yh</vt:lpstr>
      <vt:lpstr>SE_of_yn</vt:lpstr>
      <vt:lpstr>t0</vt:lpstr>
      <vt:lpstr>t0d</vt:lpstr>
      <vt:lpstr>t0h</vt:lpstr>
      <vt:lpstr>t0n</vt:lpstr>
      <vt:lpstr>w</vt:lpstr>
      <vt:lpstr>wd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2020-04-03T23:42:10Z</dcterms:modified>
</cp:coreProperties>
</file>