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D53729C6-FCF8-45AD-81EC-3B6BC5AE525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-19-ita-andamento-naz" sheetId="16" r:id="rId1"/>
    <sheet name="Cumul_ confirmed - Gompertz fit" sheetId="12" r:id="rId2"/>
    <sheet name="New_ confirmed - Gompertz fit" sheetId="17" r:id="rId3"/>
  </sheets>
  <definedNames>
    <definedName name="CI">'Cumul_ confirmed - Gompertz fit'!$N$15</definedName>
    <definedName name="CId">'New_ confirmed - Gompertz fit'!$R$26</definedName>
    <definedName name="CIh">'Cumul_ confirmed - Gompertz fit'!$N$26</definedName>
    <definedName name="CIn">'New_ confirmed - Gompertz fit'!$R$15</definedName>
    <definedName name="Critical_t">'Cumul_ confirmed - Gompertz fit'!$N$14</definedName>
    <definedName name="Critical_td">'New_ confirmed - Gompertz fit'!$R$25</definedName>
    <definedName name="Critical_th">'Cumul_ confirmed - Gompertz fit'!$N$25</definedName>
    <definedName name="Critical_tn">'New_ confirmed - Gompertz fit'!$R$14</definedName>
    <definedName name="D_End">'Cumul_ confirmed - Gompertz fit'!$D$47</definedName>
    <definedName name="D_Start">'Cumul_ confirmed - Gompertz fit'!$D$7</definedName>
    <definedName name="DatiEsterni_1" localSheetId="0" hidden="1">'dpc-covid-19-ita-andamento-naz'!$A$1:$O$41</definedName>
    <definedName name="DatiEsterni_2" localSheetId="0" hidden="1">'dpc-covid-19-ita-andamento-naz'!#REF!</definedName>
    <definedName name="df">'Cumul_ confirmed - Gompertz fit'!$N$11</definedName>
    <definedName name="dfd">'New_ confirmed - Gompertz fit'!$R$22</definedName>
    <definedName name="dfh">'Cumul_ confirmed - Gompertz fit'!$N$22</definedName>
    <definedName name="dfn">'New_ confirmed - Gompertz fit'!$R$11</definedName>
    <definedName name="E_End">'Cumul_ confirmed - Gompertz fit'!$E$47</definedName>
    <definedName name="E_Start">'Cumul_ confirmed - Gompertz fit'!$E$7</definedName>
    <definedName name="H_End">'Cumul_ confirmed - Gompertz fit'!$H$47</definedName>
    <definedName name="H_Start">'Cumul_ confirmed - Gompertz fit'!$H$7</definedName>
    <definedName name="I_End">'Cumul_ confirmed - Gompertz fit'!$I$47</definedName>
    <definedName name="I_Start">'Cumul_ confirmed - Gompertz fit'!$I$7</definedName>
    <definedName name="K">'Cumul_ confirmed - Gompertz fit'!$N$7</definedName>
    <definedName name="K_end">'New_ confirmed - Gompertz fit'!$K$47</definedName>
    <definedName name="K_start">'New_ confirmed - Gompertz fit'!$K$7</definedName>
    <definedName name="Kd">'New_ confirmed - Gompertz fit'!$R$18</definedName>
    <definedName name="Kh">'Cumul_ confirmed - Gompertz fit'!$N$18</definedName>
    <definedName name="Kn">'New_ confirmed - Gompertz fit'!$R$7</definedName>
    <definedName name="M_end">'New_ confirmed - Gompertz fit'!$M$47</definedName>
    <definedName name="M_start">'New_ confirmed - Gompertz fit'!$M$7</definedName>
    <definedName name="Mean_of_y">'Cumul_ confirmed - Gompertz fit'!$N$10</definedName>
    <definedName name="Mean_of_yd">'New_ confirmed - Gompertz fit'!$R$21</definedName>
    <definedName name="Mean_of_yh">'Cumul_ confirmed - Gompertz fit'!$N$21</definedName>
    <definedName name="Mean_of_yn">'New_ confirmed - Gompertz fit'!$R$10</definedName>
    <definedName name="RSQ">'Cumul_ confirmed - Gompertz fit'!$N$13</definedName>
    <definedName name="RSQd">'New_ confirmed - Gompertz fit'!$R$24</definedName>
    <definedName name="RSQh">'Cumul_ confirmed - Gompertz fit'!$N$24</definedName>
    <definedName name="RSQn">'New_ confirmed - Gompertz fit'!$R$13</definedName>
    <definedName name="SE_of_y">'Cumul_ confirmed - Gompertz fit'!$N$12</definedName>
    <definedName name="SE_of_yd">'New_ confirmed - Gompertz fit'!$R$23</definedName>
    <definedName name="SE_of_yh">'Cumul_ confirmed - Gompertz fit'!$N$23</definedName>
    <definedName name="SE_of_yn">'New_ confirmed - Gompertz fit'!$R$12</definedName>
    <definedName name="solver_adj" localSheetId="1" hidden="1">'Cumul_ confirmed - Gompertz fit'!$N$18,'Cumul_ confirmed - Gompertz fit'!$N$19,'Cumul_ confirmed - Gompertz fit'!$N$20</definedName>
    <definedName name="solver_adj" localSheetId="2" hidden="1">'New_ confirmed - Gompertz fit'!$R$18,'New_ confirmed - Gompertz fit'!$R$19,'New_ confirmed - Gompertz fit'!$R$20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 confirmed - Gompertz fit'!$N$18</definedName>
    <definedName name="solver_lhs1" localSheetId="2" hidden="1">'New_ confirmed - Gompertz fit'!$R$18</definedName>
    <definedName name="solver_lhs2" localSheetId="1" hidden="1">'Cumul_ confirmed - Gompertz fit'!$N$19</definedName>
    <definedName name="solver_lhs2" localSheetId="2" hidden="1">'New_ confirmed - Gompertz fit'!$R$19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'Cumul_ confirmed - Gompertz fit'!$N$24</definedName>
    <definedName name="solver_opt" localSheetId="2" hidden="1">'New_ confirmed - Gompertz fit'!$R$24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 confirmed - Gompertz fit'!$N$8</definedName>
    <definedName name="t0d">'New_ confirmed - Gompertz fit'!$R$19</definedName>
    <definedName name="t0h">'Cumul_ confirmed - Gompertz fit'!$N$19</definedName>
    <definedName name="t0n">'New_ confirmed - Gompertz fit'!$R$8</definedName>
    <definedName name="w">'Cumul_ confirmed - Gompertz fit'!$N$9</definedName>
    <definedName name="wd">'New_ confirmed - Gompertz fit'!$R$20</definedName>
    <definedName name="wh">'Cumul_ confirmed - Gompertz fit'!$N$20</definedName>
    <definedName name="wn">'New_ confirmed - Gompertz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2" i="17" l="1"/>
  <c r="AF21" i="17"/>
  <c r="AF20" i="17"/>
  <c r="AF19" i="17"/>
  <c r="AF18" i="17"/>
  <c r="AF12" i="17"/>
  <c r="AF11" i="17"/>
  <c r="AF10" i="17"/>
  <c r="AF9" i="17"/>
  <c r="AF8" i="17"/>
  <c r="R22" i="17"/>
  <c r="R21" i="17"/>
  <c r="R11" i="17"/>
  <c r="R10" i="17"/>
  <c r="K48" i="17"/>
  <c r="K49" i="17"/>
  <c r="K50" i="17"/>
  <c r="J48" i="17"/>
  <c r="J49" i="17"/>
  <c r="J50" i="17"/>
  <c r="E47" i="17"/>
  <c r="E48" i="17"/>
  <c r="E49" i="17"/>
  <c r="E50" i="17"/>
  <c r="D46" i="17"/>
  <c r="D47" i="17"/>
  <c r="D48" i="17"/>
  <c r="D49" i="17"/>
  <c r="D50" i="17"/>
  <c r="AB22" i="12"/>
  <c r="AB21" i="12"/>
  <c r="AB20" i="12"/>
  <c r="AB19" i="12"/>
  <c r="AB18" i="12"/>
  <c r="AB12" i="12"/>
  <c r="AB11" i="12"/>
  <c r="AB10" i="12"/>
  <c r="AB9" i="12"/>
  <c r="AB8" i="12"/>
  <c r="N22" i="12"/>
  <c r="N21" i="12"/>
  <c r="N11" i="12"/>
  <c r="N10" i="12"/>
  <c r="H48" i="12"/>
  <c r="H49" i="12"/>
  <c r="H50" i="12"/>
  <c r="D47" i="12"/>
  <c r="D48" i="12"/>
  <c r="D49" i="12"/>
  <c r="D50" i="12"/>
  <c r="J47" i="17" l="1"/>
  <c r="H47" i="12"/>
  <c r="J46" i="17" l="1"/>
  <c r="K47" i="17" s="1"/>
  <c r="H46" i="12"/>
  <c r="D46" i="12"/>
  <c r="F130" i="17" l="1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L70" i="17"/>
  <c r="F70" i="17"/>
  <c r="L69" i="17"/>
  <c r="F69" i="17"/>
  <c r="L68" i="17"/>
  <c r="F68" i="17"/>
  <c r="L67" i="17"/>
  <c r="F67" i="17"/>
  <c r="L66" i="17"/>
  <c r="F66" i="17"/>
  <c r="L65" i="17"/>
  <c r="F65" i="17"/>
  <c r="L64" i="17"/>
  <c r="F64" i="17"/>
  <c r="L63" i="17"/>
  <c r="F63" i="17"/>
  <c r="L62" i="17"/>
  <c r="F62" i="17"/>
  <c r="L61" i="17"/>
  <c r="F61" i="17"/>
  <c r="L60" i="17"/>
  <c r="F60" i="17"/>
  <c r="L59" i="17"/>
  <c r="F59" i="17"/>
  <c r="L58" i="17"/>
  <c r="F58" i="17"/>
  <c r="L57" i="17"/>
  <c r="F57" i="17"/>
  <c r="L56" i="17"/>
  <c r="F56" i="17"/>
  <c r="L55" i="17"/>
  <c r="F55" i="17"/>
  <c r="L54" i="17"/>
  <c r="F54" i="17"/>
  <c r="L53" i="17"/>
  <c r="F53" i="17"/>
  <c r="L52" i="17"/>
  <c r="F52" i="17"/>
  <c r="L51" i="17"/>
  <c r="F51" i="17"/>
  <c r="L50" i="17"/>
  <c r="F50" i="17"/>
  <c r="L49" i="17"/>
  <c r="F49" i="17"/>
  <c r="L48" i="17"/>
  <c r="F48" i="17"/>
  <c r="L47" i="17"/>
  <c r="F47" i="17"/>
  <c r="L46" i="17"/>
  <c r="F46" i="17"/>
  <c r="L45" i="17"/>
  <c r="J45" i="17"/>
  <c r="F45" i="17"/>
  <c r="D45" i="17"/>
  <c r="L44" i="17"/>
  <c r="J44" i="17"/>
  <c r="F44" i="17"/>
  <c r="D44" i="17"/>
  <c r="L43" i="17"/>
  <c r="J43" i="17"/>
  <c r="F43" i="17"/>
  <c r="D43" i="17"/>
  <c r="L42" i="17"/>
  <c r="J42" i="17"/>
  <c r="F42" i="17"/>
  <c r="D42" i="17"/>
  <c r="L41" i="17"/>
  <c r="J41" i="17"/>
  <c r="F41" i="17"/>
  <c r="D41" i="17"/>
  <c r="L40" i="17"/>
  <c r="J40" i="17"/>
  <c r="F40" i="17"/>
  <c r="D40" i="17"/>
  <c r="L39" i="17"/>
  <c r="J39" i="17"/>
  <c r="F39" i="17"/>
  <c r="D39" i="17"/>
  <c r="L38" i="17"/>
  <c r="J38" i="17"/>
  <c r="F38" i="17"/>
  <c r="D38" i="17"/>
  <c r="L37" i="17"/>
  <c r="J37" i="17"/>
  <c r="F37" i="17"/>
  <c r="D37" i="17"/>
  <c r="L36" i="17"/>
  <c r="J36" i="17"/>
  <c r="F36" i="17"/>
  <c r="D36" i="17"/>
  <c r="L35" i="17"/>
  <c r="J35" i="17"/>
  <c r="F35" i="17"/>
  <c r="D35" i="17"/>
  <c r="L34" i="17"/>
  <c r="J34" i="17"/>
  <c r="F34" i="17"/>
  <c r="D34" i="17"/>
  <c r="L33" i="17"/>
  <c r="J33" i="17"/>
  <c r="F33" i="17"/>
  <c r="D33" i="17"/>
  <c r="L32" i="17"/>
  <c r="J32" i="17"/>
  <c r="F32" i="17"/>
  <c r="D32" i="17"/>
  <c r="L31" i="17"/>
  <c r="J31" i="17"/>
  <c r="F31" i="17"/>
  <c r="D31" i="17"/>
  <c r="L30" i="17"/>
  <c r="J30" i="17"/>
  <c r="F30" i="17"/>
  <c r="D30" i="17"/>
  <c r="L29" i="17"/>
  <c r="J29" i="17"/>
  <c r="F29" i="17"/>
  <c r="D29" i="17"/>
  <c r="L28" i="17"/>
  <c r="J28" i="17"/>
  <c r="F28" i="17"/>
  <c r="D28" i="17"/>
  <c r="R27" i="17"/>
  <c r="L27" i="17"/>
  <c r="J27" i="17"/>
  <c r="F27" i="17"/>
  <c r="D27" i="17"/>
  <c r="L26" i="17"/>
  <c r="J26" i="17"/>
  <c r="F26" i="17"/>
  <c r="D26" i="17"/>
  <c r="L25" i="17"/>
  <c r="J25" i="17"/>
  <c r="F25" i="17"/>
  <c r="D25" i="17"/>
  <c r="L24" i="17"/>
  <c r="J24" i="17"/>
  <c r="F24" i="17"/>
  <c r="D24" i="17"/>
  <c r="L23" i="17"/>
  <c r="J23" i="17"/>
  <c r="F23" i="17"/>
  <c r="D23" i="17"/>
  <c r="L22" i="17"/>
  <c r="J22" i="17"/>
  <c r="F22" i="17"/>
  <c r="D22" i="17"/>
  <c r="L21" i="17"/>
  <c r="J21" i="17"/>
  <c r="F21" i="17"/>
  <c r="D21" i="17"/>
  <c r="L20" i="17"/>
  <c r="J20" i="17"/>
  <c r="F20" i="17"/>
  <c r="D20" i="17"/>
  <c r="L19" i="17"/>
  <c r="J19" i="17"/>
  <c r="F19" i="17"/>
  <c r="D19" i="17"/>
  <c r="L18" i="17"/>
  <c r="J18" i="17"/>
  <c r="F18" i="17"/>
  <c r="D18" i="17"/>
  <c r="L17" i="17"/>
  <c r="J17" i="17"/>
  <c r="F17" i="17"/>
  <c r="D17" i="17"/>
  <c r="R16" i="17"/>
  <c r="L16" i="17"/>
  <c r="J16" i="17"/>
  <c r="F16" i="17"/>
  <c r="D16" i="17"/>
  <c r="L15" i="17"/>
  <c r="J15" i="17"/>
  <c r="F15" i="17"/>
  <c r="D15" i="17"/>
  <c r="L14" i="17"/>
  <c r="J14" i="17"/>
  <c r="F14" i="17"/>
  <c r="D14" i="17"/>
  <c r="L13" i="17"/>
  <c r="J13" i="17"/>
  <c r="F13" i="17"/>
  <c r="D13" i="17"/>
  <c r="L12" i="17"/>
  <c r="J12" i="17"/>
  <c r="F12" i="17"/>
  <c r="D12" i="17"/>
  <c r="L11" i="17"/>
  <c r="J11" i="17"/>
  <c r="K11" i="17" s="1"/>
  <c r="F11" i="17"/>
  <c r="D11" i="17"/>
  <c r="E11" i="17" s="1"/>
  <c r="L10" i="17"/>
  <c r="K10" i="17"/>
  <c r="F10" i="17"/>
  <c r="E10" i="17"/>
  <c r="L9" i="17"/>
  <c r="K9" i="17"/>
  <c r="F9" i="17"/>
  <c r="E9" i="17"/>
  <c r="L8" i="17"/>
  <c r="K8" i="17"/>
  <c r="F8" i="17"/>
  <c r="E8" i="17"/>
  <c r="L7" i="17"/>
  <c r="M7" i="17" s="1"/>
  <c r="K7" i="17"/>
  <c r="F7" i="17"/>
  <c r="G7" i="17" s="1"/>
  <c r="E7" i="17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E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N23" i="12" l="1" a="1"/>
  <c r="N23" i="12" s="1"/>
  <c r="N24" i="12" a="1"/>
  <c r="N24" i="12" s="1"/>
  <c r="AB17" i="12" s="1"/>
  <c r="N13" i="12" a="1"/>
  <c r="N13" i="12" s="1"/>
  <c r="AB7" i="12" s="1"/>
  <c r="N12" i="12" a="1"/>
  <c r="N12" i="12" s="1"/>
  <c r="E38" i="17"/>
  <c r="E29" i="17"/>
  <c r="E32" i="17"/>
  <c r="E35" i="17"/>
  <c r="E41" i="17"/>
  <c r="E17" i="17"/>
  <c r="N14" i="12"/>
  <c r="N15" i="12" s="1"/>
  <c r="K23" i="17"/>
  <c r="E12" i="17"/>
  <c r="K35" i="17"/>
  <c r="K38" i="17"/>
  <c r="K44" i="17"/>
  <c r="K32" i="17"/>
  <c r="K41" i="17"/>
  <c r="K21" i="17"/>
  <c r="K27" i="17"/>
  <c r="K13" i="17"/>
  <c r="K16" i="17"/>
  <c r="E31" i="17"/>
  <c r="E34" i="17"/>
  <c r="E40" i="17"/>
  <c r="E43" i="17"/>
  <c r="E21" i="17"/>
  <c r="E27" i="17"/>
  <c r="K15" i="17"/>
  <c r="E36" i="17"/>
  <c r="K30" i="17"/>
  <c r="K39" i="17"/>
  <c r="E45" i="17"/>
  <c r="E46" i="17"/>
  <c r="E19" i="17"/>
  <c r="K45" i="17"/>
  <c r="K46" i="17"/>
  <c r="K19" i="17"/>
  <c r="K25" i="17"/>
  <c r="N25" i="12"/>
  <c r="E14" i="17"/>
  <c r="K28" i="17"/>
  <c r="K31" i="17"/>
  <c r="K34" i="17"/>
  <c r="K37" i="17"/>
  <c r="K43" i="17"/>
  <c r="M47" i="17"/>
  <c r="M46" i="17"/>
  <c r="M41" i="17"/>
  <c r="M50" i="17"/>
  <c r="M27" i="17"/>
  <c r="M30" i="17"/>
  <c r="M33" i="17"/>
  <c r="M42" i="17"/>
  <c r="M56" i="17"/>
  <c r="M18" i="17"/>
  <c r="M13" i="17"/>
  <c r="M16" i="17"/>
  <c r="M21" i="17"/>
  <c r="M26" i="17"/>
  <c r="M24" i="17"/>
  <c r="M23" i="17"/>
  <c r="M70" i="17"/>
  <c r="M54" i="17"/>
  <c r="M60" i="17"/>
  <c r="M66" i="17"/>
  <c r="M55" i="17"/>
  <c r="M61" i="17"/>
  <c r="M67" i="17"/>
  <c r="M62" i="17"/>
  <c r="M8" i="17"/>
  <c r="M34" i="17"/>
  <c r="M37" i="17"/>
  <c r="M40" i="17"/>
  <c r="M43" i="17"/>
  <c r="M51" i="17"/>
  <c r="M63" i="17"/>
  <c r="M69" i="17"/>
  <c r="M22" i="17"/>
  <c r="M17" i="17"/>
  <c r="M59" i="17"/>
  <c r="M15" i="17"/>
  <c r="M29" i="17"/>
  <c r="M32" i="17"/>
  <c r="M36" i="17"/>
  <c r="M11" i="17"/>
  <c r="M14" i="17"/>
  <c r="M19" i="17"/>
  <c r="M38" i="17"/>
  <c r="M57" i="17"/>
  <c r="M25" i="17"/>
  <c r="M44" i="17"/>
  <c r="M48" i="17"/>
  <c r="M53" i="17"/>
  <c r="M12" i="17"/>
  <c r="M28" i="17"/>
  <c r="M39" i="17"/>
  <c r="M58" i="17"/>
  <c r="M10" i="17"/>
  <c r="M20" i="17"/>
  <c r="M49" i="17"/>
  <c r="M68" i="17"/>
  <c r="M52" i="17"/>
  <c r="M31" i="17"/>
  <c r="M45" i="17"/>
  <c r="M64" i="17"/>
  <c r="M65" i="17"/>
  <c r="M9" i="17"/>
  <c r="M35" i="17"/>
  <c r="G21" i="17"/>
  <c r="G45" i="17"/>
  <c r="G26" i="17"/>
  <c r="G82" i="17"/>
  <c r="G94" i="17"/>
  <c r="G120" i="17"/>
  <c r="G98" i="17"/>
  <c r="G110" i="17"/>
  <c r="G19" i="17"/>
  <c r="G88" i="17"/>
  <c r="G100" i="17"/>
  <c r="G112" i="17"/>
  <c r="G10" i="17"/>
  <c r="G17" i="17"/>
  <c r="G36" i="17"/>
  <c r="G27" i="17"/>
  <c r="G128" i="17"/>
  <c r="G24" i="17"/>
  <c r="G106" i="17"/>
  <c r="G118" i="17"/>
  <c r="G130" i="17"/>
  <c r="G87" i="17"/>
  <c r="G102" i="17"/>
  <c r="G113" i="17"/>
  <c r="G124" i="17"/>
  <c r="G89" i="17"/>
  <c r="G22" i="17"/>
  <c r="G29" i="17"/>
  <c r="G41" i="17"/>
  <c r="G79" i="17"/>
  <c r="G50" i="17"/>
  <c r="G54" i="17"/>
  <c r="G58" i="17"/>
  <c r="G66" i="17"/>
  <c r="G70" i="17"/>
  <c r="G92" i="17"/>
  <c r="G46" i="17"/>
  <c r="G62" i="17"/>
  <c r="G13" i="17"/>
  <c r="G20" i="17"/>
  <c r="G39" i="17"/>
  <c r="G32" i="17"/>
  <c r="G44" i="17"/>
  <c r="G129" i="17"/>
  <c r="G77" i="17"/>
  <c r="G8" i="17"/>
  <c r="G18" i="17"/>
  <c r="G16" i="17"/>
  <c r="G23" i="17"/>
  <c r="G30" i="17"/>
  <c r="G42" i="17"/>
  <c r="G108" i="17"/>
  <c r="G123" i="17"/>
  <c r="G25" i="17"/>
  <c r="G35" i="17"/>
  <c r="G97" i="17"/>
  <c r="G80" i="17"/>
  <c r="G90" i="17"/>
  <c r="G111" i="17"/>
  <c r="G121" i="17"/>
  <c r="G37" i="17"/>
  <c r="G81" i="17"/>
  <c r="G91" i="17"/>
  <c r="G101" i="17"/>
  <c r="G122" i="17"/>
  <c r="G59" i="17"/>
  <c r="G72" i="17"/>
  <c r="G93" i="17"/>
  <c r="G103" i="17"/>
  <c r="G63" i="17"/>
  <c r="G9" i="17"/>
  <c r="G28" i="17"/>
  <c r="G40" i="17"/>
  <c r="G73" i="17"/>
  <c r="G83" i="17"/>
  <c r="G104" i="17"/>
  <c r="G114" i="17"/>
  <c r="G55" i="17"/>
  <c r="G33" i="17"/>
  <c r="G56" i="17"/>
  <c r="G60" i="17"/>
  <c r="G64" i="17"/>
  <c r="G68" i="17"/>
  <c r="G74" i="17"/>
  <c r="G84" i="17"/>
  <c r="G105" i="17"/>
  <c r="G115" i="17"/>
  <c r="G125" i="17"/>
  <c r="G51" i="17"/>
  <c r="G67" i="17"/>
  <c r="G14" i="17"/>
  <c r="G48" i="17"/>
  <c r="G38" i="17"/>
  <c r="G75" i="17"/>
  <c r="G85" i="17"/>
  <c r="G95" i="17"/>
  <c r="G116" i="17"/>
  <c r="G126" i="17"/>
  <c r="G11" i="17"/>
  <c r="G71" i="17"/>
  <c r="G52" i="17"/>
  <c r="G12" i="17"/>
  <c r="G31" i="17"/>
  <c r="G43" i="17"/>
  <c r="G86" i="17"/>
  <c r="G96" i="17"/>
  <c r="G117" i="17"/>
  <c r="G127" i="17"/>
  <c r="G47" i="17"/>
  <c r="G49" i="17"/>
  <c r="G53" i="17"/>
  <c r="G57" i="17"/>
  <c r="G61" i="17"/>
  <c r="G65" i="17"/>
  <c r="G69" i="17"/>
  <c r="G76" i="17"/>
  <c r="G107" i="17"/>
  <c r="G15" i="17"/>
  <c r="G34" i="17"/>
  <c r="G78" i="17"/>
  <c r="G99" i="17"/>
  <c r="G109" i="17"/>
  <c r="G119" i="17"/>
  <c r="K36" i="17"/>
  <c r="E22" i="17"/>
  <c r="E18" i="17"/>
  <c r="E33" i="17"/>
  <c r="K12" i="17"/>
  <c r="E37" i="17"/>
  <c r="K40" i="17"/>
  <c r="K18" i="17"/>
  <c r="K33" i="17"/>
  <c r="K42" i="17"/>
  <c r="E42" i="17"/>
  <c r="K14" i="17"/>
  <c r="E20" i="17"/>
  <c r="E24" i="17"/>
  <c r="E26" i="17"/>
  <c r="K29" i="17"/>
  <c r="E44" i="17"/>
  <c r="E13" i="17"/>
  <c r="E16" i="17"/>
  <c r="K20" i="17"/>
  <c r="K22" i="17"/>
  <c r="K26" i="17"/>
  <c r="E30" i="17"/>
  <c r="E39" i="17"/>
  <c r="K17" i="17"/>
  <c r="E25" i="17"/>
  <c r="E23" i="17"/>
  <c r="E15" i="17"/>
  <c r="K24" i="17"/>
  <c r="E28" i="17"/>
  <c r="R23" i="17" l="1" a="1"/>
  <c r="R23" i="17" s="1"/>
  <c r="R24" i="17" a="1"/>
  <c r="R24" i="17" s="1"/>
  <c r="AF17" i="17" s="1"/>
  <c r="R12" i="17" a="1"/>
  <c r="R12" i="17" s="1"/>
  <c r="R13" i="17" a="1"/>
  <c r="R13" i="17" s="1"/>
  <c r="AF7" i="17" s="1"/>
  <c r="F50" i="12"/>
  <c r="G50" i="12"/>
  <c r="R25" i="17"/>
  <c r="N26" i="12"/>
  <c r="G49" i="12"/>
  <c r="F47" i="12"/>
  <c r="F48" i="12"/>
  <c r="F49" i="12"/>
  <c r="F27" i="12"/>
  <c r="G46" i="12"/>
  <c r="F46" i="12"/>
  <c r="G47" i="12"/>
  <c r="G48" i="12"/>
  <c r="F35" i="12"/>
  <c r="G44" i="12"/>
  <c r="G19" i="12"/>
  <c r="F34" i="12"/>
  <c r="G17" i="12"/>
  <c r="F33" i="12"/>
  <c r="G29" i="12"/>
  <c r="F31" i="12"/>
  <c r="G43" i="12"/>
  <c r="F30" i="12"/>
  <c r="F38" i="12"/>
  <c r="G45" i="12"/>
  <c r="F37" i="12"/>
  <c r="F22" i="12"/>
  <c r="G20" i="12"/>
  <c r="F36" i="12"/>
  <c r="F41" i="12"/>
  <c r="G8" i="12"/>
  <c r="F10" i="12"/>
  <c r="F40" i="12"/>
  <c r="G27" i="12"/>
  <c r="F7" i="12"/>
  <c r="F39" i="12"/>
  <c r="F32" i="12"/>
  <c r="G14" i="12"/>
  <c r="G22" i="12"/>
  <c r="F44" i="12"/>
  <c r="G10" i="12"/>
  <c r="G35" i="12"/>
  <c r="F43" i="12"/>
  <c r="G33" i="12"/>
  <c r="F9" i="12"/>
  <c r="F42" i="12"/>
  <c r="F14" i="12"/>
  <c r="G38" i="12"/>
  <c r="G39" i="12"/>
  <c r="G12" i="12"/>
  <c r="F45" i="12"/>
  <c r="F11" i="12"/>
  <c r="F25" i="12"/>
  <c r="G25" i="12"/>
  <c r="G24" i="12"/>
  <c r="G11" i="12"/>
  <c r="G23" i="12"/>
  <c r="G30" i="12"/>
  <c r="F13" i="12"/>
  <c r="G13" i="12"/>
  <c r="F15" i="12"/>
  <c r="G36" i="12"/>
  <c r="F21" i="12"/>
  <c r="F17" i="12"/>
  <c r="G31" i="12"/>
  <c r="F12" i="12"/>
  <c r="G9" i="12"/>
  <c r="F18" i="12"/>
  <c r="G28" i="12"/>
  <c r="G7" i="12"/>
  <c r="F26" i="12"/>
  <c r="G15" i="12"/>
  <c r="G21" i="12"/>
  <c r="F20" i="12"/>
  <c r="G34" i="12"/>
  <c r="F23" i="12"/>
  <c r="F16" i="12"/>
  <c r="G26" i="12"/>
  <c r="F8" i="12"/>
  <c r="G32" i="12"/>
  <c r="F24" i="12"/>
  <c r="G37" i="12"/>
  <c r="G16" i="12"/>
  <c r="F19" i="12"/>
  <c r="F29" i="12"/>
  <c r="G18" i="12"/>
  <c r="G41" i="12"/>
  <c r="F28" i="12"/>
  <c r="G40" i="12"/>
  <c r="G42" i="12"/>
  <c r="J47" i="12" l="1"/>
  <c r="J49" i="12"/>
  <c r="K49" i="12"/>
  <c r="J50" i="12"/>
  <c r="K50" i="12"/>
  <c r="K30" i="12"/>
  <c r="K11" i="12"/>
  <c r="K31" i="12"/>
  <c r="J33" i="12"/>
  <c r="J48" i="12"/>
  <c r="K27" i="12"/>
  <c r="K20" i="12"/>
  <c r="J36" i="12"/>
  <c r="K32" i="12"/>
  <c r="J13" i="12"/>
  <c r="K48" i="12"/>
  <c r="J31" i="12"/>
  <c r="J12" i="12"/>
  <c r="J8" i="12"/>
  <c r="J39" i="12"/>
  <c r="J9" i="12"/>
  <c r="K44" i="12"/>
  <c r="J42" i="12"/>
  <c r="J26" i="12"/>
  <c r="K33" i="12"/>
  <c r="K40" i="12"/>
  <c r="K7" i="12"/>
  <c r="J10" i="12"/>
  <c r="K22" i="12"/>
  <c r="K16" i="12"/>
  <c r="J30" i="12"/>
  <c r="J22" i="12"/>
  <c r="J28" i="12"/>
  <c r="K28" i="12"/>
  <c r="J24" i="12"/>
  <c r="K10" i="12"/>
  <c r="K17" i="12"/>
  <c r="J37" i="12"/>
  <c r="J27" i="12"/>
  <c r="J25" i="12"/>
  <c r="K46" i="12"/>
  <c r="K15" i="12"/>
  <c r="J20" i="12"/>
  <c r="J38" i="12"/>
  <c r="K37" i="12"/>
  <c r="K21" i="12"/>
  <c r="J46" i="12"/>
  <c r="K25" i="12"/>
  <c r="J40" i="12"/>
  <c r="J18" i="12"/>
  <c r="J14" i="12"/>
  <c r="K24" i="12"/>
  <c r="J23" i="12"/>
  <c r="J11" i="12"/>
  <c r="J41" i="12"/>
  <c r="K8" i="12"/>
  <c r="J7" i="12"/>
  <c r="J29" i="12"/>
  <c r="K34" i="12"/>
  <c r="K12" i="12"/>
  <c r="K43" i="12"/>
  <c r="K41" i="12"/>
  <c r="J16" i="12"/>
  <c r="J19" i="12"/>
  <c r="K42" i="12"/>
  <c r="J32" i="12"/>
  <c r="K18" i="12"/>
  <c r="K47" i="12"/>
  <c r="K19" i="12"/>
  <c r="K45" i="12"/>
  <c r="J43" i="12"/>
  <c r="K35" i="12"/>
  <c r="J45" i="12"/>
  <c r="K38" i="12"/>
  <c r="J35" i="12"/>
  <c r="K36" i="12"/>
  <c r="J34" i="12"/>
  <c r="K23" i="12"/>
  <c r="K14" i="12"/>
  <c r="K9" i="12"/>
  <c r="K13" i="12"/>
  <c r="K26" i="12"/>
  <c r="K29" i="12"/>
  <c r="J15" i="12"/>
  <c r="J17" i="12"/>
  <c r="K39" i="12"/>
  <c r="J44" i="12"/>
  <c r="J21" i="12"/>
  <c r="R26" i="17"/>
  <c r="R14" i="17"/>
  <c r="R15" i="17" s="1"/>
  <c r="O47" i="17" l="1"/>
  <c r="O49" i="17"/>
  <c r="N49" i="17"/>
  <c r="O50" i="17"/>
  <c r="N50" i="17"/>
  <c r="H50" i="17"/>
  <c r="I50" i="17"/>
  <c r="N48" i="17"/>
  <c r="O24" i="17"/>
  <c r="O27" i="17"/>
  <c r="N39" i="17"/>
  <c r="O41" i="17"/>
  <c r="O33" i="17"/>
  <c r="O15" i="17"/>
  <c r="N30" i="17"/>
  <c r="O34" i="17"/>
  <c r="N36" i="17"/>
  <c r="N16" i="17"/>
  <c r="O10" i="17"/>
  <c r="O28" i="17"/>
  <c r="N10" i="17"/>
  <c r="O13" i="17"/>
  <c r="N17" i="17"/>
  <c r="O46" i="17"/>
  <c r="O29" i="17"/>
  <c r="O43" i="17"/>
  <c r="O8" i="17"/>
  <c r="O20" i="17"/>
  <c r="O7" i="17"/>
  <c r="O11" i="17"/>
  <c r="N24" i="17"/>
  <c r="O18" i="17"/>
  <c r="N7" i="17"/>
  <c r="O25" i="17"/>
  <c r="N37" i="17"/>
  <c r="N31" i="17"/>
  <c r="O39" i="17"/>
  <c r="N43" i="17"/>
  <c r="O48" i="17"/>
  <c r="N27" i="17"/>
  <c r="N22" i="17"/>
  <c r="N18" i="17"/>
  <c r="O9" i="17"/>
  <c r="N11" i="17"/>
  <c r="O40" i="17"/>
  <c r="N8" i="17"/>
  <c r="N20" i="17"/>
  <c r="N34" i="17"/>
  <c r="O38" i="17"/>
  <c r="O16" i="17"/>
  <c r="N29" i="17"/>
  <c r="N26" i="17"/>
  <c r="N46" i="17"/>
  <c r="O21" i="17"/>
  <c r="O22" i="17"/>
  <c r="O30" i="17"/>
  <c r="N32" i="17"/>
  <c r="N15" i="17"/>
  <c r="N12" i="17"/>
  <c r="N25" i="17"/>
  <c r="O44" i="17"/>
  <c r="N44" i="17"/>
  <c r="O19" i="17"/>
  <c r="O31" i="17"/>
  <c r="O42" i="17"/>
  <c r="O14" i="17"/>
  <c r="N41" i="17"/>
  <c r="N21" i="17"/>
  <c r="O17" i="17"/>
  <c r="O36" i="17"/>
  <c r="O26" i="17"/>
  <c r="N14" i="17"/>
  <c r="N23" i="17"/>
  <c r="N19" i="17"/>
  <c r="N42" i="17"/>
  <c r="N33" i="17"/>
  <c r="N9" i="17"/>
  <c r="N35" i="17"/>
  <c r="N38" i="17"/>
  <c r="N28" i="17"/>
  <c r="O23" i="17"/>
  <c r="O32" i="17"/>
  <c r="N45" i="17"/>
  <c r="N47" i="17"/>
  <c r="O37" i="17"/>
  <c r="O12" i="17"/>
  <c r="N40" i="17"/>
  <c r="N13" i="17"/>
  <c r="O45" i="17"/>
  <c r="O35" i="17"/>
  <c r="I49" i="17"/>
  <c r="H49" i="17"/>
  <c r="I48" i="17"/>
  <c r="H48" i="17"/>
  <c r="I47" i="17"/>
  <c r="I21" i="17"/>
  <c r="H47" i="17"/>
  <c r="H41" i="17"/>
  <c r="H35" i="17"/>
  <c r="I11" i="17"/>
  <c r="I42" i="17"/>
  <c r="I36" i="17"/>
  <c r="I30" i="17"/>
  <c r="I14" i="17"/>
  <c r="I13" i="17"/>
  <c r="H42" i="17"/>
  <c r="H36" i="17"/>
  <c r="H30" i="17"/>
  <c r="I23" i="17"/>
  <c r="H22" i="17"/>
  <c r="I15" i="17"/>
  <c r="H14" i="17"/>
  <c r="H13" i="17"/>
  <c r="H12" i="17"/>
  <c r="I8" i="17"/>
  <c r="I43" i="17"/>
  <c r="I37" i="17"/>
  <c r="I31" i="17"/>
  <c r="I24" i="17"/>
  <c r="H23" i="17"/>
  <c r="I16" i="17"/>
  <c r="H15" i="17"/>
  <c r="H8" i="17"/>
  <c r="H43" i="17"/>
  <c r="H37" i="17"/>
  <c r="H31" i="17"/>
  <c r="I25" i="17"/>
  <c r="H24" i="17"/>
  <c r="I17" i="17"/>
  <c r="H16" i="17"/>
  <c r="H25" i="17"/>
  <c r="H44" i="17"/>
  <c r="I18" i="17"/>
  <c r="I20" i="17"/>
  <c r="I7" i="17"/>
  <c r="H7" i="17"/>
  <c r="I44" i="17"/>
  <c r="I38" i="17"/>
  <c r="I32" i="17"/>
  <c r="H17" i="17"/>
  <c r="H38" i="17"/>
  <c r="H32" i="17"/>
  <c r="I26" i="17"/>
  <c r="I9" i="17"/>
  <c r="H40" i="17"/>
  <c r="H28" i="17"/>
  <c r="I41" i="17"/>
  <c r="H20" i="17"/>
  <c r="H10" i="17"/>
  <c r="I45" i="17"/>
  <c r="I39" i="17"/>
  <c r="I33" i="17"/>
  <c r="H26" i="17"/>
  <c r="H18" i="17"/>
  <c r="H9" i="17"/>
  <c r="I10" i="17"/>
  <c r="I35" i="17"/>
  <c r="I29" i="17"/>
  <c r="H21" i="17"/>
  <c r="H11" i="17"/>
  <c r="H45" i="17"/>
  <c r="H39" i="17"/>
  <c r="H33" i="17"/>
  <c r="I27" i="17"/>
  <c r="I19" i="17"/>
  <c r="H29" i="17"/>
  <c r="I22" i="17"/>
  <c r="I46" i="17"/>
  <c r="I40" i="17"/>
  <c r="I34" i="17"/>
  <c r="I28" i="17"/>
  <c r="H27" i="17"/>
  <c r="H19" i="17"/>
  <c r="H46" i="17"/>
  <c r="H34" i="17"/>
  <c r="I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tc={64E3EB96-87C7-4B9C-BD54-C3277E98F305}</author>
    <author>tc={A8254C99-F8D0-4594-8DF9-BAFD3FB1F24C}</author>
    <author>tc={68C9FCAD-9B4E-4A36-9FFD-6E42EF7BAB2E}</author>
    <author>tc={2996D8DF-A90C-4837-A522-D1B05D838A82}</author>
    <author>tc={882C4A53-2ECA-4C73-9AA1-B5A8E73D3E81}</author>
    <author>tc={6447A7C0-2273-4DFF-A091-BC96FA683C9A}</author>
    <author>tc={15FBF8B4-9604-4298-88C0-A397053E9646}</author>
    <author>tc={7D93C683-3CC9-4CA5-88A7-CE381226F7E8}</author>
  </authors>
  <commentList>
    <comment ref="B7" authorId="0" shapeId="0" xr:uid="{64E3EB96-87C7-4B9C-BD54-C3277E98F30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A8254C99-F8D0-4594-8DF9-BAFD3FB1F24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68C9FCAD-9B4E-4A36-9FFD-6E42EF7BAB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2996D8DF-A90C-4837-A522-D1B05D838A8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882C4A53-2ECA-4C73-9AA1-B5A8E73D3E8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6447A7C0-2273-4DFF-A091-BC96FA683C9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15FBF8B4-9604-4298-88C0-A397053E964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7D93C683-3CC9-4CA5-88A7-CE381226F7E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tc={0526C815-FBB1-40DE-857A-780B07E348C3}</author>
    <author>tc={E55EDF91-B929-427F-974C-7C4BA6A2256F}</author>
    <author>tc={E68D444F-F44E-4F7B-A08B-3E97C8F77EB8}</author>
    <author>tc={5FA73663-8ACB-4C87-9ACE-833B3E2F4F52}</author>
    <author>tc={C84EE756-EBBF-4242-B72B-A7663F6ADECE}</author>
    <author>tc={B367DBCB-7C6A-4BA4-9A30-B8A2E8E7290F}</author>
    <author>tc={926C33C6-F39A-4524-91C9-0CF38C04972A}</author>
    <author>tc={5CCFFE3B-C34B-4578-99E2-92A322494188}</author>
  </authors>
  <commentList>
    <comment ref="B7" authorId="0" shapeId="0" xr:uid="{0526C815-FBB1-40DE-857A-780B07E348C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Worldometer data</t>
      </text>
    </comment>
    <comment ref="B11" authorId="1" shapeId="0" xr:uid="{E55EDF91-B929-427F-974C-7C4BA6A225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2" shapeId="0" xr:uid="{E68D444F-F44E-4F7B-A08B-3E97C8F77E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3" shapeId="0" xr:uid="{5FA73663-8ACB-4C87-9ACE-833B3E2F4F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4" shapeId="0" xr:uid="{C84EE756-EBBF-4242-B72B-A7663F6ADE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5" shapeId="0" xr:uid="{B367DBCB-7C6A-4BA4-9A30-B8A2E8E729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6" shapeId="0" xr:uid="{926C33C6-F39A-4524-91C9-0CF38C04972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7" shapeId="0" xr:uid="{5CCFFE3B-C34B-4578-99E2-92A3224941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715E2-2952-4A17-90E3-B814229A5D34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449F3959-B20D-4E9F-B8EC-387D477F485D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7979ADB5-CB13-44F2-A710-8AC47B10E3C8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588C5E05-4E1F-4C26-85F8-DEEC715D5DD8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6CA167A2-DE5F-4C03-9AC1-FA1D2E34CC01}" keepAlive="1" name="Query - dpc-covid19-ita-andamento-nazionale (5)" description="Connessione alla query 'dpc-covid19-ita-andamento-nazionale (5)' nella cartella di lavoro." type="5" refreshedVersion="6" background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9FD9AE8A-4705-40F6-8CDB-F3993C06EE42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A1BB73BA-E74A-452F-A572-E3D01FB7E172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3E9ECFB3-4EA4-44E9-8FD0-946392602217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5802F092-0F12-4CDA-A1E3-E610489F1891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<sst xmlns="http://schemas.openxmlformats.org/spreadsheetml/2006/main" count="221" uniqueCount="74">
  <si>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</si>
  <si>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</si>
  <si>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</si>
  <si>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</si>
  <si>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</si>
  <si>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</si>
  <si>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</si>
  <si>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</si>
  <si>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</si>
  <si>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</si>
  <si>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</si>
  <si>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</si>
  <si>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</si>
  <si>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</si>
  <si>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Modeling function: Gompertz sigmoidal growth function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</si>
  <si>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</si>
  <si>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</si>
  <si>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</si>
  <si>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</si>
  <si>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</si>
  <si>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</si>
  <si>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</si>
  <si>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</si>
  <si>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</si>
  <si>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</si>
  <si>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</si>
  <si>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</si>
  <si>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</si>
  <si>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New cases</t>
  </si>
  <si>
    <t>Cum_confirmed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</si>
  <si>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</si>
  <si>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</si>
  <si>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</si>
  <si>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</si>
  <si>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</si>
  <si>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</si>
  <si>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</si>
  <si>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</si>
  <si>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</si>
  <si>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</si>
  <si>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</si>
  <si>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</si>
  <si>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</si>
  <si>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</si>
  <si>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</si>
  <si>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</si>
  <si>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</si>
  <si>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Confirmed fit</t>
  </si>
  <si>
    <t>C. Upper CI</t>
  </si>
  <si>
    <t>C. Lower CI</t>
  </si>
  <si>
    <t>Confirmed</t>
  </si>
  <si>
    <t>pd-IT-0009</t>
  </si>
  <si>
    <t>pd-EN-0009</t>
  </si>
  <si>
    <t>Solver method: GRG non linear engine - option: integer optimization 0%</t>
  </si>
  <si>
    <t>saturation value - constraint (integer)</t>
  </si>
  <si>
    <t>crossover point - constraint (integer)</t>
  </si>
  <si>
    <t>width of crossover region - constraint (none)</t>
  </si>
  <si>
    <t>Deaths</t>
  </si>
  <si>
    <t>Deaths fit</t>
  </si>
  <si>
    <t>D. Upper CI</t>
  </si>
  <si>
    <t>D. Lower CI</t>
  </si>
  <si>
    <t>Cum_fit</t>
  </si>
  <si>
    <t>New_fit</t>
  </si>
  <si>
    <t>Cum_deaths</t>
  </si>
  <si>
    <t>New deaths</t>
  </si>
  <si>
    <t>Cum_D_fit</t>
  </si>
  <si>
    <t>New_D_fit</t>
  </si>
  <si>
    <t>ND_Upper CI</t>
  </si>
  <si>
    <t>ND_Lower CI</t>
  </si>
  <si>
    <t>totale_positivi</t>
  </si>
  <si>
    <t>variazione_totale_positivi</t>
  </si>
  <si>
    <t>nuovi_positivi</t>
  </si>
  <si>
    <t>Peak value</t>
  </si>
  <si>
    <t>SOLVER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</si>
</sst>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22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2" borderId="0" xfId="0" applyNumberFormat="1" applyFill="1"/>
    <xf numFmtId="0" fontId="0" fillId="0" borderId="0" xfId="0" applyAlignment="1">
      <alignment horizontal="left" vertic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0" fillId="0" borderId="0" xfId="0" applyFont="1"/>
    <xf numFmtId="1" fontId="10" fillId="0" borderId="0" xfId="0" applyNumberFormat="1" applyFont="1"/>
    <xf numFmtId="0" fontId="11" fillId="0" borderId="0" xfId="0" applyFont="1"/>
    <xf numFmtId="1" fontId="11" fillId="0" borderId="0" xfId="0" applyNumberFormat="1" applyFont="1"/>
    <xf numFmtId="0" fontId="11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600" b="1" i="0" u="none" strike="noStrike" baseline="0">
                <a:effectLst/>
              </a:rPr>
              <a:t>Cumulative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 confirmed - Gompertz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 formatCode="General">
                  <c:v>229</c:v>
                </c:pt>
                <c:pt idx="5" formatCode="General">
                  <c:v>322</c:v>
                </c:pt>
                <c:pt idx="6" formatCode="General">
                  <c:v>400</c:v>
                </c:pt>
                <c:pt idx="7" formatCode="General">
                  <c:v>650</c:v>
                </c:pt>
                <c:pt idx="8" formatCode="General">
                  <c:v>888</c:v>
                </c:pt>
                <c:pt idx="9" formatCode="General">
                  <c:v>1128</c:v>
                </c:pt>
                <c:pt idx="10" formatCode="General">
                  <c:v>1694</c:v>
                </c:pt>
                <c:pt idx="11" formatCode="General">
                  <c:v>2036</c:v>
                </c:pt>
                <c:pt idx="12" formatCode="General">
                  <c:v>2502</c:v>
                </c:pt>
                <c:pt idx="13" formatCode="General">
                  <c:v>3089</c:v>
                </c:pt>
                <c:pt idx="14" formatCode="General">
                  <c:v>3858</c:v>
                </c:pt>
                <c:pt idx="15" formatCode="General">
                  <c:v>4636</c:v>
                </c:pt>
                <c:pt idx="16" formatCode="General">
                  <c:v>5883</c:v>
                </c:pt>
                <c:pt idx="17" formatCode="General">
                  <c:v>7375</c:v>
                </c:pt>
                <c:pt idx="18" formatCode="General">
                  <c:v>9172</c:v>
                </c:pt>
                <c:pt idx="19" formatCode="General">
                  <c:v>10149</c:v>
                </c:pt>
                <c:pt idx="20" formatCode="General">
                  <c:v>12462</c:v>
                </c:pt>
                <c:pt idx="21" formatCode="General">
                  <c:v>15113</c:v>
                </c:pt>
                <c:pt idx="22" formatCode="General">
                  <c:v>17660</c:v>
                </c:pt>
                <c:pt idx="23" formatCode="General">
                  <c:v>21157</c:v>
                </c:pt>
                <c:pt idx="24" formatCode="General">
                  <c:v>24747</c:v>
                </c:pt>
                <c:pt idx="25" formatCode="General">
                  <c:v>27980</c:v>
                </c:pt>
                <c:pt idx="26" formatCode="General">
                  <c:v>31506</c:v>
                </c:pt>
                <c:pt idx="27" formatCode="General">
                  <c:v>35713</c:v>
                </c:pt>
                <c:pt idx="28" formatCode="General">
                  <c:v>41035</c:v>
                </c:pt>
                <c:pt idx="29" formatCode="General">
                  <c:v>47021</c:v>
                </c:pt>
                <c:pt idx="30" formatCode="General">
                  <c:v>53578</c:v>
                </c:pt>
                <c:pt idx="31" formatCode="General">
                  <c:v>59138</c:v>
                </c:pt>
                <c:pt idx="32" formatCode="General">
                  <c:v>63927</c:v>
                </c:pt>
                <c:pt idx="33" formatCode="General">
                  <c:v>69176</c:v>
                </c:pt>
                <c:pt idx="34" formatCode="General">
                  <c:v>74386</c:v>
                </c:pt>
                <c:pt idx="35" formatCode="General">
                  <c:v>80539</c:v>
                </c:pt>
                <c:pt idx="36" formatCode="General">
                  <c:v>86498</c:v>
                </c:pt>
                <c:pt idx="37" formatCode="General">
                  <c:v>92472</c:v>
                </c:pt>
                <c:pt idx="38" formatCode="General">
                  <c:v>97689</c:v>
                </c:pt>
                <c:pt idx="39" formatCode="General">
                  <c:v>101739</c:v>
                </c:pt>
                <c:pt idx="40" formatCode="General">
                  <c:v>105792</c:v>
                </c:pt>
                <c:pt idx="41" formatCode="General">
                  <c:v>110574</c:v>
                </c:pt>
                <c:pt idx="42" formatCode="General">
                  <c:v>115242</c:v>
                </c:pt>
                <c:pt idx="43" formatCode="General">
                  <c:v>119827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 confirmed - Gompertz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fit'!$E$7:$E$70</c:f>
              <c:numCache>
                <c:formatCode>0</c:formatCode>
                <c:ptCount val="64"/>
                <c:pt idx="0">
                  <c:v>86.93716395706241</c:v>
                </c:pt>
                <c:pt idx="1">
                  <c:v>128.62596015012463</c:v>
                </c:pt>
                <c:pt idx="2">
                  <c:v>186.83161771826988</c:v>
                </c:pt>
                <c:pt idx="3">
                  <c:v>266.65334357743063</c:v>
                </c:pt>
                <c:pt idx="4">
                  <c:v>374.26329711380623</c:v>
                </c:pt>
                <c:pt idx="5">
                  <c:v>516.99072837463268</c:v>
                </c:pt>
                <c:pt idx="6">
                  <c:v>703.37879165663821</c:v>
                </c:pt>
                <c:pt idx="7">
                  <c:v>943.2073028236091</c:v>
                </c:pt>
                <c:pt idx="8">
                  <c:v>1247.4759575526189</c:v>
                </c:pt>
                <c:pt idx="9">
                  <c:v>1628.3442339734879</c:v>
                </c:pt>
                <c:pt idx="10">
                  <c:v>2099.0262478582822</c:v>
                </c:pt>
                <c:pt idx="11">
                  <c:v>2673.6410631060298</c:v>
                </c:pt>
                <c:pt idx="12">
                  <c:v>3367.0212223414378</c:v>
                </c:pt>
                <c:pt idx="13">
                  <c:v>4194.4843918599036</c:v>
                </c:pt>
                <c:pt idx="14">
                  <c:v>5171.5748686790412</c:v>
                </c:pt>
                <c:pt idx="15">
                  <c:v>6313.7831604294515</c:v>
                </c:pt>
                <c:pt idx="16">
                  <c:v>7636.2528427956513</c:v>
                </c:pt>
                <c:pt idx="17">
                  <c:v>9153.4843853731309</c:v>
                </c:pt>
                <c:pt idx="18">
                  <c:v>10879.045615228502</c:v>
                </c:pt>
                <c:pt idx="19">
                  <c:v>12825.297993025988</c:v>
                </c:pt>
                <c:pt idx="20">
                  <c:v>15003.146972385048</c:v>
                </c:pt>
                <c:pt idx="21">
                  <c:v>17421.823482310039</c:v>
                </c:pt>
                <c:pt idx="22">
                  <c:v>20088.702109739803</c:v>
                </c:pt>
                <c:pt idx="23">
                  <c:v>23009.159962461632</c:v>
                </c:pt>
                <c:pt idx="24">
                  <c:v>26186.478555921622</c:v>
                </c:pt>
                <c:pt idx="25">
                  <c:v>29621.789475383281</c:v>
                </c:pt>
                <c:pt idx="26">
                  <c:v>33314.063088385723</c:v>
                </c:pt>
                <c:pt idx="27">
                  <c:v>37260.138276520673</c:v>
                </c:pt>
                <c:pt idx="28">
                  <c:v>41454.7900583995</c:v>
                </c:pt>
                <c:pt idx="29">
                  <c:v>45890.831109218496</c:v>
                </c:pt>
                <c:pt idx="30">
                  <c:v>50559.242553609183</c:v>
                </c:pt>
                <c:pt idx="31">
                  <c:v>55449.329011838148</c:v>
                </c:pt>
                <c:pt idx="32">
                  <c:v>60548.89269908682</c:v>
                </c:pt>
                <c:pt idx="33">
                  <c:v>65844.421390175674</c:v>
                </c:pt>
                <c:pt idx="34">
                  <c:v>71321.285239458681</c:v>
                </c:pt>
                <c:pt idx="35">
                  <c:v>76963.937756875413</c:v>
                </c:pt>
                <c:pt idx="36">
                  <c:v>82756.116654924321</c:v>
                </c:pt>
                <c:pt idx="37">
                  <c:v>88681.040767291575</c:v>
                </c:pt>
                <c:pt idx="38">
                  <c:v>94721.599770013054</c:v>
                </c:pt>
                <c:pt idx="39">
                  <c:v>100860.53398549264</c:v>
                </c:pt>
                <c:pt idx="40">
                  <c:v>107080.60209723165</c:v>
                </c:pt>
                <c:pt idx="41">
                  <c:v>113364.73513140384</c:v>
                </c:pt>
                <c:pt idx="42">
                  <c:v>119696.17555693939</c:v>
                </c:pt>
                <c:pt idx="43">
                  <c:v>126058.60080871808</c:v>
                </c:pt>
                <c:pt idx="44">
                  <c:v>132436.23094227808</c:v>
                </c:pt>
                <c:pt idx="45">
                  <c:v>138813.9204795023</c:v>
                </c:pt>
                <c:pt idx="46">
                  <c:v>145177.23480187528</c:v>
                </c:pt>
                <c:pt idx="47">
                  <c:v>151512.51169193743</c:v>
                </c:pt>
                <c:pt idx="48">
                  <c:v>157806.9088168852</c:v>
                </c:pt>
                <c:pt idx="49">
                  <c:v>164048.43809440447</c:v>
                </c:pt>
                <c:pt idx="50">
                  <c:v>170225.98798409372</c:v>
                </c:pt>
                <c:pt idx="51">
                  <c:v>176329.33481301545</c:v>
                </c:pt>
                <c:pt idx="52">
                  <c:v>182349.14427600111</c:v>
                </c:pt>
                <c:pt idx="53">
                  <c:v>188276.96425531129</c:v>
                </c:pt>
                <c:pt idx="54">
                  <c:v>194105.21008494048</c:v>
                </c:pt>
                <c:pt idx="55">
                  <c:v>199827.14334678993</c:v>
                </c:pt>
                <c:pt idx="56">
                  <c:v>205436.84523327812</c:v>
                </c:pt>
                <c:pt idx="57">
                  <c:v>210929.18544746286</c:v>
                </c:pt>
                <c:pt idx="58">
                  <c:v>216299.78754071367</c:v>
                </c:pt>
                <c:pt idx="59">
                  <c:v>221544.99151225277</c:v>
                </c:pt>
                <c:pt idx="60">
                  <c:v>226661.81441689347</c:v>
                </c:pt>
                <c:pt idx="61">
                  <c:v>231647.90964905167</c:v>
                </c:pt>
                <c:pt idx="62">
                  <c:v>236501.52549420908</c:v>
                </c:pt>
                <c:pt idx="63">
                  <c:v>241221.46346474293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A-4A2B-A269-1602CEC56F63}"/>
            </c:ext>
          </c:extLst>
        </c:ser>
        <c:ser>
          <c:idx val="2"/>
          <c:order val="2"/>
          <c:tx>
            <c:strRef>
              <c:f>'Cumul_ confirmed - Gompertz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fit'!$F$7:$F$70</c:f>
              <c:numCache>
                <c:formatCode>0</c:formatCode>
                <c:ptCount val="64"/>
                <c:pt idx="0">
                  <c:v>4875.761386236114</c:v>
                </c:pt>
                <c:pt idx="1">
                  <c:v>4917.4501824291756</c:v>
                </c:pt>
                <c:pt idx="2">
                  <c:v>4975.655839997321</c:v>
                </c:pt>
                <c:pt idx="3">
                  <c:v>5055.4775658564822</c:v>
                </c:pt>
                <c:pt idx="4">
                  <c:v>5163.0875193928578</c:v>
                </c:pt>
                <c:pt idx="5">
                  <c:v>5305.8149506536838</c:v>
                </c:pt>
                <c:pt idx="6">
                  <c:v>5492.2030139356893</c:v>
                </c:pt>
                <c:pt idx="7">
                  <c:v>5732.0315251026605</c:v>
                </c:pt>
                <c:pt idx="8">
                  <c:v>6036.30017983167</c:v>
                </c:pt>
                <c:pt idx="9">
                  <c:v>6417.1684562525388</c:v>
                </c:pt>
                <c:pt idx="10">
                  <c:v>6887.8504701373331</c:v>
                </c:pt>
                <c:pt idx="11">
                  <c:v>7462.4652853850812</c:v>
                </c:pt>
                <c:pt idx="12">
                  <c:v>8155.8454446204887</c:v>
                </c:pt>
                <c:pt idx="13">
                  <c:v>8983.308614138954</c:v>
                </c:pt>
                <c:pt idx="14">
                  <c:v>9960.3990909580934</c:v>
                </c:pt>
                <c:pt idx="15">
                  <c:v>11102.607382708502</c:v>
                </c:pt>
                <c:pt idx="16">
                  <c:v>12425.077065074704</c:v>
                </c:pt>
                <c:pt idx="17">
                  <c:v>13942.308607652183</c:v>
                </c:pt>
                <c:pt idx="18">
                  <c:v>15667.869837507555</c:v>
                </c:pt>
                <c:pt idx="19">
                  <c:v>17614.12221530504</c:v>
                </c:pt>
                <c:pt idx="20">
                  <c:v>19791.9711946641</c:v>
                </c:pt>
                <c:pt idx="21">
                  <c:v>22210.64770458909</c:v>
                </c:pt>
                <c:pt idx="22">
                  <c:v>24877.526332018853</c:v>
                </c:pt>
                <c:pt idx="23">
                  <c:v>27797.984184740682</c:v>
                </c:pt>
                <c:pt idx="24">
                  <c:v>30975.302778200672</c:v>
                </c:pt>
                <c:pt idx="25">
                  <c:v>34410.613697662331</c:v>
                </c:pt>
                <c:pt idx="26">
                  <c:v>38102.887310664773</c:v>
                </c:pt>
                <c:pt idx="27">
                  <c:v>42048.962498799723</c:v>
                </c:pt>
                <c:pt idx="28">
                  <c:v>46243.61428067855</c:v>
                </c:pt>
                <c:pt idx="29">
                  <c:v>50679.655331497546</c:v>
                </c:pt>
                <c:pt idx="30">
                  <c:v>55348.066775888234</c:v>
                </c:pt>
                <c:pt idx="31">
                  <c:v>60238.153234117199</c:v>
                </c:pt>
                <c:pt idx="32">
                  <c:v>65337.716921365871</c:v>
                </c:pt>
                <c:pt idx="33">
                  <c:v>70633.245612454732</c:v>
                </c:pt>
                <c:pt idx="34">
                  <c:v>76110.109461737738</c:v>
                </c:pt>
                <c:pt idx="35">
                  <c:v>81752.761979154471</c:v>
                </c:pt>
                <c:pt idx="36">
                  <c:v>87544.940877203378</c:v>
                </c:pt>
                <c:pt idx="37">
                  <c:v>93469.864989570633</c:v>
                </c:pt>
                <c:pt idx="38">
                  <c:v>99510.423992292112</c:v>
                </c:pt>
                <c:pt idx="39">
                  <c:v>105649.3582077717</c:v>
                </c:pt>
                <c:pt idx="40">
                  <c:v>111869.42631951071</c:v>
                </c:pt>
                <c:pt idx="41">
                  <c:v>118153.5593536829</c:v>
                </c:pt>
                <c:pt idx="42">
                  <c:v>124484.99977921844</c:v>
                </c:pt>
                <c:pt idx="43">
                  <c:v>130847.42503099714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A-4A2B-A269-1602CEC56F63}"/>
            </c:ext>
          </c:extLst>
        </c:ser>
        <c:ser>
          <c:idx val="3"/>
          <c:order val="3"/>
          <c:tx>
            <c:strRef>
              <c:f>'Cumul_ confirmed - Gompertz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 confirmed - Gompertz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382.75064639998982</c:v>
                </c:pt>
                <c:pt idx="15">
                  <c:v>1524.9589381504002</c:v>
                </c:pt>
                <c:pt idx="16">
                  <c:v>2847.4286205165999</c:v>
                </c:pt>
                <c:pt idx="17">
                  <c:v>4364.6601630940795</c:v>
                </c:pt>
                <c:pt idx="18">
                  <c:v>6090.221392949451</c:v>
                </c:pt>
                <c:pt idx="19">
                  <c:v>8036.4737707469367</c:v>
                </c:pt>
                <c:pt idx="20">
                  <c:v>10214.322750105996</c:v>
                </c:pt>
                <c:pt idx="21">
                  <c:v>12632.999260030989</c:v>
                </c:pt>
                <c:pt idx="22">
                  <c:v>15299.877887460752</c:v>
                </c:pt>
                <c:pt idx="23">
                  <c:v>18220.335740182582</c:v>
                </c:pt>
                <c:pt idx="24">
                  <c:v>21397.654333642571</c:v>
                </c:pt>
                <c:pt idx="25">
                  <c:v>24832.96525310423</c:v>
                </c:pt>
                <c:pt idx="26">
                  <c:v>28525.238866106673</c:v>
                </c:pt>
                <c:pt idx="27">
                  <c:v>32471.314054241622</c:v>
                </c:pt>
                <c:pt idx="28">
                  <c:v>36665.965836120449</c:v>
                </c:pt>
                <c:pt idx="29">
                  <c:v>41102.006886939445</c:v>
                </c:pt>
                <c:pt idx="30">
                  <c:v>45770.418331330133</c:v>
                </c:pt>
                <c:pt idx="31">
                  <c:v>50660.504789559098</c:v>
                </c:pt>
                <c:pt idx="32">
                  <c:v>55760.06847680777</c:v>
                </c:pt>
                <c:pt idx="33">
                  <c:v>61055.597167896623</c:v>
                </c:pt>
                <c:pt idx="34">
                  <c:v>66532.461017179623</c:v>
                </c:pt>
                <c:pt idx="35">
                  <c:v>72175.113534596356</c:v>
                </c:pt>
                <c:pt idx="36">
                  <c:v>77967.292432645263</c:v>
                </c:pt>
                <c:pt idx="37">
                  <c:v>83892.216545012518</c:v>
                </c:pt>
                <c:pt idx="38">
                  <c:v>89932.775547733996</c:v>
                </c:pt>
                <c:pt idx="39">
                  <c:v>96071.709763213585</c:v>
                </c:pt>
                <c:pt idx="40">
                  <c:v>102291.77787495259</c:v>
                </c:pt>
                <c:pt idx="41">
                  <c:v>108575.91090912478</c:v>
                </c:pt>
                <c:pt idx="42">
                  <c:v>114907.35133466033</c:v>
                </c:pt>
                <c:pt idx="43">
                  <c:v>121269.77658643902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A-4A2B-A269-1602CEC56F63}"/>
            </c:ext>
          </c:extLst>
        </c:ser>
        <c:ser>
          <c:idx val="4"/>
          <c:order val="4"/>
          <c:tx>
            <c:strRef>
              <c:f>'Cumul_ confirmed - Gompertz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 confirmed - Gompertz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21</c:v>
                </c:pt>
                <c:pt idx="9">
                  <c:v>29</c:v>
                </c:pt>
                <c:pt idx="10">
                  <c:v>34</c:v>
                </c:pt>
                <c:pt idx="11">
                  <c:v>52</c:v>
                </c:pt>
                <c:pt idx="12">
                  <c:v>79</c:v>
                </c:pt>
                <c:pt idx="13">
                  <c:v>107</c:v>
                </c:pt>
                <c:pt idx="14">
                  <c:v>148</c:v>
                </c:pt>
                <c:pt idx="15">
                  <c:v>197</c:v>
                </c:pt>
                <c:pt idx="16">
                  <c:v>233</c:v>
                </c:pt>
                <c:pt idx="17">
                  <c:v>366</c:v>
                </c:pt>
                <c:pt idx="18">
                  <c:v>463</c:v>
                </c:pt>
                <c:pt idx="19">
                  <c:v>631</c:v>
                </c:pt>
                <c:pt idx="20">
                  <c:v>827</c:v>
                </c:pt>
                <c:pt idx="21">
                  <c:v>1016</c:v>
                </c:pt>
                <c:pt idx="22">
                  <c:v>1266</c:v>
                </c:pt>
                <c:pt idx="23">
                  <c:v>1441</c:v>
                </c:pt>
                <c:pt idx="24">
                  <c:v>1809</c:v>
                </c:pt>
                <c:pt idx="25">
                  <c:v>2158</c:v>
                </c:pt>
                <c:pt idx="26">
                  <c:v>2503</c:v>
                </c:pt>
                <c:pt idx="27">
                  <c:v>2978</c:v>
                </c:pt>
                <c:pt idx="28">
                  <c:v>3405</c:v>
                </c:pt>
                <c:pt idx="29">
                  <c:v>4032</c:v>
                </c:pt>
                <c:pt idx="30">
                  <c:v>4825</c:v>
                </c:pt>
                <c:pt idx="31">
                  <c:v>5476</c:v>
                </c:pt>
                <c:pt idx="32">
                  <c:v>6077</c:v>
                </c:pt>
                <c:pt idx="33">
                  <c:v>6820</c:v>
                </c:pt>
                <c:pt idx="34">
                  <c:v>7503</c:v>
                </c:pt>
                <c:pt idx="35">
                  <c:v>8165</c:v>
                </c:pt>
                <c:pt idx="36">
                  <c:v>9134</c:v>
                </c:pt>
                <c:pt idx="37">
                  <c:v>10023</c:v>
                </c:pt>
                <c:pt idx="38">
                  <c:v>10779</c:v>
                </c:pt>
                <c:pt idx="39">
                  <c:v>11591</c:v>
                </c:pt>
                <c:pt idx="40">
                  <c:v>12428</c:v>
                </c:pt>
                <c:pt idx="41">
                  <c:v>13155</c:v>
                </c:pt>
                <c:pt idx="42">
                  <c:v>13915</c:v>
                </c:pt>
                <c:pt idx="43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 confirmed - Gompertz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fit'!$I$7:$I$70</c:f>
              <c:numCache>
                <c:formatCode>0</c:formatCode>
                <c:ptCount val="64"/>
                <c:pt idx="0">
                  <c:v>0.11882705347942583</c:v>
                </c:pt>
                <c:pt idx="1">
                  <c:v>0.24965733431501524</c:v>
                </c:pt>
                <c:pt idx="2">
                  <c:v>0.50218498404388723</c:v>
                </c:pt>
                <c:pt idx="3">
                  <c:v>0.9695774520723458</c:v>
                </c:pt>
                <c:pt idx="4">
                  <c:v>1.8011282644881041</c:v>
                </c:pt>
                <c:pt idx="5">
                  <c:v>3.2265088347861099</c:v>
                </c:pt>
                <c:pt idx="6">
                  <c:v>5.5856311963770571</c:v>
                </c:pt>
                <c:pt idx="7">
                  <c:v>9.3634022442080429</c:v>
                </c:pt>
                <c:pt idx="8">
                  <c:v>15.227790765331269</c:v>
                </c:pt>
                <c:pt idx="9">
                  <c:v>24.06875416972149</c:v>
                </c:pt>
                <c:pt idx="10">
                  <c:v>37.03482082150034</c:v>
                </c:pt>
                <c:pt idx="11">
                  <c:v>55.563634157826336</c:v>
                </c:pt>
                <c:pt idx="12">
                  <c:v>81.40264652864559</c:v>
                </c:pt>
                <c:pt idx="13">
                  <c:v>116.61646353996667</c:v>
                </c:pt>
                <c:pt idx="14">
                  <c:v>163.57807985703343</c:v>
                </c:pt>
                <c:pt idx="15">
                  <c:v>224.942347262265</c:v>
                </c:pt>
                <c:pt idx="16">
                  <c:v>303.60135524106238</c:v>
                </c:pt>
                <c:pt idx="17">
                  <c:v>402.62283143830064</c:v>
                </c:pt>
                <c:pt idx="18">
                  <c:v>525.17402437061958</c:v>
                </c:pt>
                <c:pt idx="19">
                  <c:v>674.43467018605986</c:v>
                </c:pt>
                <c:pt idx="20">
                  <c:v>853.5034600464121</c:v>
                </c:pt>
                <c:pt idx="21">
                  <c:v>1065.3028516437168</c:v>
                </c:pt>
                <c:pt idx="22">
                  <c:v>1312.4870929625508</c:v>
                </c:pt>
                <c:pt idx="23">
                  <c:v>1597.3579786059868</c:v>
                </c:pt>
                <c:pt idx="24">
                  <c:v>1921.7922035511565</c:v>
                </c:pt>
                <c:pt idx="25">
                  <c:v>2287.1833030777561</c:v>
                </c:pt>
                <c:pt idx="26">
                  <c:v>2694.4001669679242</c:v>
                </c:pt>
                <c:pt idx="27">
                  <c:v>3143.7630844825539</c:v>
                </c:pt>
                <c:pt idx="28">
                  <c:v>3635.0372959521496</c:v>
                </c:pt>
                <c:pt idx="29">
                  <c:v>4167.4431613189699</c:v>
                </c:pt>
                <c:pt idx="30">
                  <c:v>4739.6813494779126</c:v>
                </c:pt>
                <c:pt idx="31">
                  <c:v>5349.9709282333988</c:v>
                </c:pt>
                <c:pt idx="32">
                  <c:v>5996.0978982378683</c:v>
                </c:pt>
                <c:pt idx="33">
                  <c:v>6675.4715555963439</c:v>
                </c:pt>
                <c:pt idx="34">
                  <c:v>7385.1860661992396</c:v>
                </c:pt>
                <c:pt idx="35">
                  <c:v>8122.0847627305793</c:v>
                </c:pt>
                <c:pt idx="36">
                  <c:v>8882.8249019842115</c:v>
                </c:pt>
                <c:pt idx="37">
                  <c:v>9663.9409147867536</c:v>
                </c:pt>
                <c:pt idx="38">
                  <c:v>10461.90451482883</c:v>
                </c:pt>
                <c:pt idx="39">
                  <c:v>11273.180381103906</c:v>
                </c:pt>
                <c:pt idx="40">
                  <c:v>12094.276471049992</c:v>
                </c:pt>
                <c:pt idx="41">
                  <c:v>12921.788342305588</c:v>
                </c:pt>
                <c:pt idx="42">
                  <c:v>13752.437149312029</c:v>
                </c:pt>
                <c:pt idx="43">
                  <c:v>14583.101230115217</c:v>
                </c:pt>
                <c:pt idx="44">
                  <c:v>15410.841405518837</c:v>
                </c:pt>
                <c:pt idx="45">
                  <c:v>16232.920276977147</c:v>
                </c:pt>
                <c:pt idx="46">
                  <c:v>17046.815933220798</c:v>
                </c:pt>
                <c:pt idx="47">
                  <c:v>17850.230562037133</c:v>
                </c:pt>
                <c:pt idx="48">
                  <c:v>18641.09451727771</c:v>
                </c:pt>
                <c:pt idx="49">
                  <c:v>19417.566416915586</c:v>
                </c:pt>
                <c:pt idx="50">
                  <c:v>20178.029850799539</c:v>
                </c:pt>
                <c:pt idx="51">
                  <c:v>20921.087261453315</c:v>
                </c:pt>
                <c:pt idx="52">
                  <c:v>21645.551532280679</c:v>
                </c:pt>
                <c:pt idx="53">
                  <c:v>22350.435778813484</c:v>
                </c:pt>
                <c:pt idx="54">
                  <c:v>23034.94179358723</c:v>
                </c:pt>
                <c:pt idx="55">
                  <c:v>23698.447546695621</c:v>
                </c:pt>
                <c:pt idx="56">
                  <c:v>24340.494094368954</c:v>
                </c:pt>
                <c:pt idx="57">
                  <c:v>24960.772198845185</c:v>
                </c:pt>
                <c:pt idx="58">
                  <c:v>25559.108915712513</c:v>
                </c:pt>
                <c:pt idx="59">
                  <c:v>26135.454360762658</c:v>
                </c:pt>
                <c:pt idx="60">
                  <c:v>26689.868827841598</c:v>
                </c:pt>
                <c:pt idx="61">
                  <c:v>27222.510392584612</c:v>
                </c:pt>
                <c:pt idx="62">
                  <c:v>27733.623104427363</c:v>
                </c:pt>
                <c:pt idx="63">
                  <c:v>28223.525840878738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4E-4EA2-A6D4-DC85486CE05D}"/>
            </c:ext>
          </c:extLst>
        </c:ser>
        <c:ser>
          <c:idx val="6"/>
          <c:order val="6"/>
          <c:tx>
            <c:strRef>
              <c:f>'Cumul_ confirmed - Gompertz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fit'!$J$7:$J$70</c:f>
              <c:numCache>
                <c:formatCode>0</c:formatCode>
                <c:ptCount val="64"/>
                <c:pt idx="0">
                  <c:v>294.24346068746428</c:v>
                </c:pt>
                <c:pt idx="1">
                  <c:v>294.37429096829987</c:v>
                </c:pt>
                <c:pt idx="2">
                  <c:v>294.62681861802872</c:v>
                </c:pt>
                <c:pt idx="3">
                  <c:v>295.09421108605721</c:v>
                </c:pt>
                <c:pt idx="4">
                  <c:v>295.92576189847296</c:v>
                </c:pt>
                <c:pt idx="5">
                  <c:v>297.35114246877095</c:v>
                </c:pt>
                <c:pt idx="6">
                  <c:v>299.71026483036189</c:v>
                </c:pt>
                <c:pt idx="7">
                  <c:v>303.48803587819287</c:v>
                </c:pt>
                <c:pt idx="8">
                  <c:v>309.35242439931613</c:v>
                </c:pt>
                <c:pt idx="9">
                  <c:v>318.19338780370634</c:v>
                </c:pt>
                <c:pt idx="10">
                  <c:v>331.15945445548516</c:v>
                </c:pt>
                <c:pt idx="11">
                  <c:v>349.6882677918112</c:v>
                </c:pt>
                <c:pt idx="12">
                  <c:v>375.5272801626304</c:v>
                </c:pt>
                <c:pt idx="13">
                  <c:v>410.74109717395152</c:v>
                </c:pt>
                <c:pt idx="14">
                  <c:v>457.70271349101824</c:v>
                </c:pt>
                <c:pt idx="15">
                  <c:v>519.06698089624979</c:v>
                </c:pt>
                <c:pt idx="16">
                  <c:v>597.72598887504728</c:v>
                </c:pt>
                <c:pt idx="17">
                  <c:v>696.74746507228542</c:v>
                </c:pt>
                <c:pt idx="18">
                  <c:v>819.29865800460448</c:v>
                </c:pt>
                <c:pt idx="19">
                  <c:v>968.55930382004476</c:v>
                </c:pt>
                <c:pt idx="20">
                  <c:v>1147.6280936803969</c:v>
                </c:pt>
                <c:pt idx="21">
                  <c:v>1359.4274852777016</c:v>
                </c:pt>
                <c:pt idx="22">
                  <c:v>1606.6117265965356</c:v>
                </c:pt>
                <c:pt idx="23">
                  <c:v>1891.4826122399716</c:v>
                </c:pt>
                <c:pt idx="24">
                  <c:v>2215.9168371851415</c:v>
                </c:pt>
                <c:pt idx="25">
                  <c:v>2581.3079367117411</c:v>
                </c:pt>
                <c:pt idx="26">
                  <c:v>2988.5248006019092</c:v>
                </c:pt>
                <c:pt idx="27">
                  <c:v>3437.887718116539</c:v>
                </c:pt>
                <c:pt idx="28">
                  <c:v>3929.1619295861346</c:v>
                </c:pt>
                <c:pt idx="29">
                  <c:v>4461.5677949529545</c:v>
                </c:pt>
                <c:pt idx="30">
                  <c:v>5033.8059831118971</c:v>
                </c:pt>
                <c:pt idx="31">
                  <c:v>5644.0955618673834</c:v>
                </c:pt>
                <c:pt idx="32">
                  <c:v>6290.2225318718529</c:v>
                </c:pt>
                <c:pt idx="33">
                  <c:v>6969.5961892303285</c:v>
                </c:pt>
                <c:pt idx="34">
                  <c:v>7679.3106998332241</c:v>
                </c:pt>
                <c:pt idx="35">
                  <c:v>8416.2093963645639</c:v>
                </c:pt>
                <c:pt idx="36">
                  <c:v>9176.949535618196</c:v>
                </c:pt>
                <c:pt idx="37">
                  <c:v>9958.0655484207382</c:v>
                </c:pt>
                <c:pt idx="38">
                  <c:v>10756.029148462814</c:v>
                </c:pt>
                <c:pt idx="39">
                  <c:v>11567.305014737891</c:v>
                </c:pt>
                <c:pt idx="40">
                  <c:v>12388.401104683977</c:v>
                </c:pt>
                <c:pt idx="41">
                  <c:v>13215.912975939573</c:v>
                </c:pt>
                <c:pt idx="42">
                  <c:v>14046.561782946013</c:v>
                </c:pt>
                <c:pt idx="43">
                  <c:v>14877.225863749201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4E-4EA2-A6D4-DC85486CE05D}"/>
            </c:ext>
          </c:extLst>
        </c:ser>
        <c:ser>
          <c:idx val="7"/>
          <c:order val="7"/>
          <c:tx>
            <c:strRef>
              <c:f>'Cumul_ confirmed - Gompertz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9.4767216070775362</c:v>
                </c:pt>
                <c:pt idx="17">
                  <c:v>108.49819780431579</c:v>
                </c:pt>
                <c:pt idx="18">
                  <c:v>231.04939073663473</c:v>
                </c:pt>
                <c:pt idx="19">
                  <c:v>380.31003655207502</c:v>
                </c:pt>
                <c:pt idx="20">
                  <c:v>559.37882641242732</c:v>
                </c:pt>
                <c:pt idx="21">
                  <c:v>771.17821800973206</c:v>
                </c:pt>
                <c:pt idx="22">
                  <c:v>1018.362459328566</c:v>
                </c:pt>
                <c:pt idx="23">
                  <c:v>1303.233344972002</c:v>
                </c:pt>
                <c:pt idx="24">
                  <c:v>1627.6675699171717</c:v>
                </c:pt>
                <c:pt idx="25">
                  <c:v>1993.0586694437714</c:v>
                </c:pt>
                <c:pt idx="26">
                  <c:v>2400.2755333339392</c:v>
                </c:pt>
                <c:pt idx="27">
                  <c:v>2849.6384508485689</c:v>
                </c:pt>
                <c:pt idx="28">
                  <c:v>3340.9126623181646</c:v>
                </c:pt>
                <c:pt idx="29">
                  <c:v>3873.3185276849849</c:v>
                </c:pt>
                <c:pt idx="30">
                  <c:v>4445.556715843928</c:v>
                </c:pt>
                <c:pt idx="31">
                  <c:v>5055.8462945994143</c:v>
                </c:pt>
                <c:pt idx="32">
                  <c:v>5701.9732646038838</c:v>
                </c:pt>
                <c:pt idx="33">
                  <c:v>6381.3469219623594</c:v>
                </c:pt>
                <c:pt idx="34">
                  <c:v>7091.061432565255</c:v>
                </c:pt>
                <c:pt idx="35">
                  <c:v>7827.9601290965948</c:v>
                </c:pt>
                <c:pt idx="36">
                  <c:v>8588.7002683502269</c:v>
                </c:pt>
                <c:pt idx="37">
                  <c:v>9369.8162811527691</c:v>
                </c:pt>
                <c:pt idx="38">
                  <c:v>10167.779881194845</c:v>
                </c:pt>
                <c:pt idx="39">
                  <c:v>10979.055747469922</c:v>
                </c:pt>
                <c:pt idx="40">
                  <c:v>11800.151837416008</c:v>
                </c:pt>
                <c:pt idx="41">
                  <c:v>12627.663708671604</c:v>
                </c:pt>
                <c:pt idx="42">
                  <c:v>13458.312515678044</c:v>
                </c:pt>
                <c:pt idx="43">
                  <c:v>14288.976596481232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4E-4EA2-A6D4-DC85486CE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</a:t>
            </a:r>
            <a:r>
              <a:rPr lang="it-IT" baseline="0"/>
              <a:t> C</a:t>
            </a:r>
            <a:r>
              <a:rPr lang="it-IT"/>
              <a:t>onfirmed Cases</a:t>
            </a:r>
          </a:p>
          <a:p>
            <a:pPr>
              <a:defRPr/>
            </a:pPr>
            <a:r>
              <a:rPr lang="it-IT" sz="1400" b="0" i="0" u="none" strike="noStrike" cap="none" baseline="0">
                <a:effectLst/>
              </a:rPr>
              <a:t>Daily New Cases and Deaths</a:t>
            </a:r>
            <a:r>
              <a:rPr lang="it-IT"/>
              <a:t> - Gompertz 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'New_ confirmed - Gompertz fit'!$H$6</c:f>
              <c:strCache>
                <c:ptCount val="1"/>
                <c:pt idx="0">
                  <c:v>Upper CI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fit'!$H$7:$H$70</c:f>
              <c:numCache>
                <c:formatCode>0</c:formatCode>
                <c:ptCount val="64"/>
                <c:pt idx="0">
                  <c:v>1550.543302389261</c:v>
                </c:pt>
                <c:pt idx="1">
                  <c:v>1656.4134925973524</c:v>
                </c:pt>
                <c:pt idx="2">
                  <c:v>1687.6274422878753</c:v>
                </c:pt>
                <c:pt idx="3">
                  <c:v>1725.7173335092425</c:v>
                </c:pt>
                <c:pt idx="4">
                  <c:v>1771.5831639985681</c:v>
                </c:pt>
                <c:pt idx="5">
                  <c:v>1826.1110452632236</c:v>
                </c:pt>
                <c:pt idx="6">
                  <c:v>1890.1460852237831</c:v>
                </c:pt>
                <c:pt idx="7">
                  <c:v>1964.4642932503125</c:v>
                </c:pt>
                <c:pt idx="8">
                  <c:v>2049.7447024847615</c:v>
                </c:pt>
                <c:pt idx="9">
                  <c:v>2146.5429222820853</c:v>
                </c:pt>
                <c:pt idx="10">
                  <c:v>2255.2672775962819</c:v>
                </c:pt>
                <c:pt idx="11">
                  <c:v>2376.158568677562</c:v>
                </c:pt>
                <c:pt idx="12">
                  <c:v>2509.2743048374623</c:v>
                </c:pt>
                <c:pt idx="13">
                  <c:v>2654.478044991989</c:v>
                </c:pt>
                <c:pt idx="14">
                  <c:v>2811.4342317721421</c:v>
                </c:pt>
                <c:pt idx="15">
                  <c:v>2979.6086520735807</c:v>
                </c:pt>
                <c:pt idx="16">
                  <c:v>3158.2744108275592</c:v>
                </c:pt>
                <c:pt idx="17">
                  <c:v>3346.523080200267</c:v>
                </c:pt>
                <c:pt idx="18">
                  <c:v>3543.2804941648819</c:v>
                </c:pt>
                <c:pt idx="19">
                  <c:v>3747.326505940252</c:v>
                </c:pt>
                <c:pt idx="20">
                  <c:v>3957.3179172868904</c:v>
                </c:pt>
                <c:pt idx="21">
                  <c:v>4171.8137250504724</c:v>
                </c:pt>
                <c:pt idx="22">
                  <c:v>4389.3018098353268</c:v>
                </c:pt>
                <c:pt idx="23">
                  <c:v>4608.2262102379382</c:v>
                </c:pt>
                <c:pt idx="24">
                  <c:v>4827.0141780153272</c:v>
                </c:pt>
                <c:pt idx="25">
                  <c:v>5044.1022882393399</c:v>
                </c:pt>
                <c:pt idx="26">
                  <c:v>5257.9609768012515</c:v>
                </c:pt>
                <c:pt idx="27">
                  <c:v>5467.1169885338522</c:v>
                </c:pt>
                <c:pt idx="28">
                  <c:v>5670.1733361332217</c:v>
                </c:pt>
                <c:pt idx="29">
                  <c:v>5865.8264871443089</c:v>
                </c:pt>
                <c:pt idx="30">
                  <c:v>6052.8806086287213</c:v>
                </c:pt>
                <c:pt idx="31">
                  <c:v>6230.2588028786768</c:v>
                </c:pt>
                <c:pt idx="32">
                  <c:v>6397.0113598556991</c:v>
                </c:pt>
                <c:pt idx="33">
                  <c:v>6552.3211310753313</c:v>
                </c:pt>
                <c:pt idx="34">
                  <c:v>6695.5061944946419</c:v>
                </c:pt>
                <c:pt idx="35">
                  <c:v>6826.0200304223754</c:v>
                </c:pt>
                <c:pt idx="36">
                  <c:v>6943.4494650280312</c:v>
                </c:pt>
                <c:pt idx="37">
                  <c:v>7047.5106616277835</c:v>
                </c:pt>
                <c:pt idx="38">
                  <c:v>7138.0434518727625</c:v>
                </c:pt>
                <c:pt idx="39">
                  <c:v>7215.0043007766863</c:v>
                </c:pt>
                <c:pt idx="40">
                  <c:v>7278.4581928230537</c:v>
                </c:pt>
                <c:pt idx="41">
                  <c:v>7328.569712837204</c:v>
                </c:pt>
                <c:pt idx="42">
                  <c:v>7365.593576479273</c:v>
                </c:pt>
                <c:pt idx="43">
                  <c:v>7389.8648425992933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69-4D76-86FB-8CBD3E1407F4}"/>
            </c:ext>
          </c:extLst>
        </c:ser>
        <c:ser>
          <c:idx val="3"/>
          <c:order val="3"/>
          <c:tx>
            <c:strRef>
              <c:f>'New_ confirmed - Gompertz fit'!$I$6</c:f>
              <c:strCache>
                <c:ptCount val="1"/>
                <c:pt idx="0">
                  <c:v>Lower CI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57.187806049037135</c:v>
                </c:pt>
                <c:pt idx="17">
                  <c:v>245.43647542174494</c:v>
                </c:pt>
                <c:pt idx="18">
                  <c:v>442.19388938635984</c:v>
                </c:pt>
                <c:pt idx="19">
                  <c:v>646.2399011617299</c:v>
                </c:pt>
                <c:pt idx="20">
                  <c:v>856.23131250836832</c:v>
                </c:pt>
                <c:pt idx="21">
                  <c:v>1070.7271202719503</c:v>
                </c:pt>
                <c:pt idx="22">
                  <c:v>1288.2152050568047</c:v>
                </c:pt>
                <c:pt idx="23">
                  <c:v>1507.1396054594161</c:v>
                </c:pt>
                <c:pt idx="24">
                  <c:v>1725.9275732368051</c:v>
                </c:pt>
                <c:pt idx="25">
                  <c:v>1943.0156834608179</c:v>
                </c:pt>
                <c:pt idx="26">
                  <c:v>2156.8743720227294</c:v>
                </c:pt>
                <c:pt idx="27">
                  <c:v>2366.0303837553301</c:v>
                </c:pt>
                <c:pt idx="28">
                  <c:v>2569.0867313546996</c:v>
                </c:pt>
                <c:pt idx="29">
                  <c:v>2764.7398823657868</c:v>
                </c:pt>
                <c:pt idx="30">
                  <c:v>2951.7940038501993</c:v>
                </c:pt>
                <c:pt idx="31">
                  <c:v>3129.1721981001547</c:v>
                </c:pt>
                <c:pt idx="32">
                  <c:v>3295.924755077177</c:v>
                </c:pt>
                <c:pt idx="33">
                  <c:v>3451.2345262968092</c:v>
                </c:pt>
                <c:pt idx="34">
                  <c:v>3594.4195897161198</c:v>
                </c:pt>
                <c:pt idx="35">
                  <c:v>3724.9334256438533</c:v>
                </c:pt>
                <c:pt idx="36">
                  <c:v>3842.3628602495091</c:v>
                </c:pt>
                <c:pt idx="37">
                  <c:v>3946.4240568492614</c:v>
                </c:pt>
                <c:pt idx="38">
                  <c:v>4036.9568470942404</c:v>
                </c:pt>
                <c:pt idx="39">
                  <c:v>4113.9176959981642</c:v>
                </c:pt>
                <c:pt idx="40">
                  <c:v>4177.3715880445316</c:v>
                </c:pt>
                <c:pt idx="41">
                  <c:v>4227.4831080586819</c:v>
                </c:pt>
                <c:pt idx="42">
                  <c:v>4264.5069717007509</c:v>
                </c:pt>
                <c:pt idx="43">
                  <c:v>4288.7782378207712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69-4D76-86FB-8CBD3E1407F4}"/>
            </c:ext>
          </c:extLst>
        </c:ser>
        <c:ser>
          <c:idx val="5"/>
          <c:order val="5"/>
          <c:tx>
            <c:strRef>
              <c:f>'New_ confirmed - Gompertz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fit'!$M$7:$M$70</c:f>
              <c:numCache>
                <c:formatCode>0</c:formatCode>
                <c:ptCount val="64"/>
                <c:pt idx="0">
                  <c:v>0</c:v>
                </c:pt>
                <c:pt idx="1">
                  <c:v>2.8145123641440412E-3</c:v>
                </c:pt>
                <c:pt idx="2">
                  <c:v>8.439645364386187E-3</c:v>
                </c:pt>
                <c:pt idx="3">
                  <c:v>2.3273295227643098E-2</c:v>
                </c:pt>
                <c:pt idx="4">
                  <c:v>5.9373097657203715E-2</c:v>
                </c:pt>
                <c:pt idx="5">
                  <c:v>0.14090393645818214</c:v>
                </c:pt>
                <c:pt idx="6">
                  <c:v>0.31267429310529404</c:v>
                </c:pt>
                <c:pt idx="7">
                  <c:v>0.6518884585800907</c:v>
                </c:pt>
                <c:pt idx="8">
                  <c:v>1.2826148708558633</c:v>
                </c:pt>
                <c:pt idx="9">
                  <c:v>2.3914125123897891</c:v>
                </c:pt>
                <c:pt idx="10">
                  <c:v>4.2414510575037569</c:v>
                </c:pt>
                <c:pt idx="11">
                  <c:v>7.1816563290138689</c:v>
                </c:pt>
                <c:pt idx="12">
                  <c:v>11.647257050659192</c:v>
                </c:pt>
                <c:pt idx="13">
                  <c:v>18.148811551841025</c:v>
                </c:pt>
                <c:pt idx="14">
                  <c:v>27.248330455223275</c:v>
                </c:pt>
                <c:pt idx="15">
                  <c:v>39.523210472560777</c:v>
                </c:pt>
                <c:pt idx="16">
                  <c:v>55.520905106165742</c:v>
                </c:pt>
                <c:pt idx="17">
                  <c:v>75.709084719312244</c:v>
                </c:pt>
                <c:pt idx="18">
                  <c:v>100.4270808456391</c:v>
                </c:pt>
                <c:pt idx="19">
                  <c:v>129.84446439749433</c:v>
                </c:pt>
                <c:pt idx="20">
                  <c:v>163.93170291754774</c:v>
                </c:pt>
                <c:pt idx="21">
                  <c:v>202.44620567549077</c:v>
                </c:pt>
                <c:pt idx="22">
                  <c:v>244.93504522469379</c:v>
                </c:pt>
                <c:pt idx="23">
                  <c:v>290.75361428044903</c:v>
                </c:pt>
                <c:pt idx="24">
                  <c:v>339.09775621551535</c:v>
                </c:pt>
                <c:pt idx="25">
                  <c:v>389.04570733939318</c:v>
                </c:pt>
                <c:pt idx="26">
                  <c:v>439.60559592909112</c:v>
                </c:pt>
                <c:pt idx="27">
                  <c:v>489.76423067643373</c:v>
                </c:pt>
                <c:pt idx="28">
                  <c:v>538.53337213855912</c:v>
                </c:pt>
                <c:pt idx="29">
                  <c:v>584.99046337472373</c:v>
                </c:pt>
                <c:pt idx="30">
                  <c:v>628.31173985640453</c:v>
                </c:pt>
                <c:pt idx="31">
                  <c:v>667.79660125589908</c:v>
                </c:pt>
                <c:pt idx="32">
                  <c:v>702.88299961404937</c:v>
                </c:pt>
                <c:pt idx="33">
                  <c:v>733.15430962826758</c:v>
                </c:pt>
                <c:pt idx="34">
                  <c:v>758.3386646207955</c:v>
                </c:pt>
                <c:pt idx="35">
                  <c:v>778.30206390425064</c:v>
                </c:pt>
                <c:pt idx="36">
                  <c:v>793.03670320474703</c:v>
                </c:pt>
                <c:pt idx="37">
                  <c:v>802.64598178234883</c:v>
                </c:pt>
                <c:pt idx="38">
                  <c:v>807.32753533724645</c:v>
                </c:pt>
                <c:pt idx="39">
                  <c:v>807.3554695873845</c:v>
                </c:pt>
                <c:pt idx="40">
                  <c:v>803.06275813319371</c:v>
                </c:pt>
                <c:pt idx="41">
                  <c:v>794.82454619453165</c:v>
                </c:pt>
                <c:pt idx="42">
                  <c:v>783.04288844526309</c:v>
                </c:pt>
                <c:pt idx="43">
                  <c:v>768.13325738577259</c:v>
                </c:pt>
                <c:pt idx="44">
                  <c:v>750.51299577489044</c:v>
                </c:pt>
                <c:pt idx="45">
                  <c:v>730.59175543554011</c:v>
                </c:pt>
                <c:pt idx="46">
                  <c:v>708.76386485222429</c:v>
                </c:pt>
                <c:pt idx="47">
                  <c:v>685.40249683630827</c:v>
                </c:pt>
                <c:pt idx="48">
                  <c:v>660.85546134522156</c:v>
                </c:pt>
                <c:pt idx="49">
                  <c:v>635.44242296128505</c:v>
                </c:pt>
                <c:pt idx="50">
                  <c:v>609.45333318760458</c:v>
                </c:pt>
                <c:pt idx="51">
                  <c:v>583.1478705227164</c:v>
                </c:pt>
                <c:pt idx="52">
                  <c:v>556.75569264660953</c:v>
                </c:pt>
                <c:pt idx="53">
                  <c:v>530.47732197820005</c:v>
                </c:pt>
                <c:pt idx="54">
                  <c:v>504.48550593463369</c:v>
                </c:pt>
                <c:pt idx="55">
                  <c:v>478.92691457525143</c:v>
                </c:pt>
                <c:pt idx="56">
                  <c:v>453.9240595830197</c:v>
                </c:pt>
                <c:pt idx="57">
                  <c:v>429.57733877582359</c:v>
                </c:pt>
                <c:pt idx="58">
                  <c:v>405.96712894081429</c:v>
                </c:pt>
                <c:pt idx="59">
                  <c:v>383.15586640386027</c:v>
                </c:pt>
                <c:pt idx="60">
                  <c:v>361.19006924010318</c:v>
                </c:pt>
                <c:pt idx="61">
                  <c:v>340.10226740082362</c:v>
                </c:pt>
                <c:pt idx="62">
                  <c:v>319.91281737506142</c:v>
                </c:pt>
                <c:pt idx="63">
                  <c:v>300.63158648148965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54-4F54-8540-3EA4BAD91994}"/>
            </c:ext>
          </c:extLst>
        </c:ser>
        <c:ser>
          <c:idx val="6"/>
          <c:order val="6"/>
          <c:tx>
            <c:strRef>
              <c:f>'New_ confirmed - Gompertz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fit'!$N$7:$N$70</c:f>
              <c:numCache>
                <c:formatCode>0</c:formatCode>
                <c:ptCount val="64"/>
                <c:pt idx="0">
                  <c:v>122.49516882629295</c:v>
                </c:pt>
                <c:pt idx="1">
                  <c:v>122.49798333865709</c:v>
                </c:pt>
                <c:pt idx="2">
                  <c:v>122.50360847165734</c:v>
                </c:pt>
                <c:pt idx="3">
                  <c:v>122.51844212152059</c:v>
                </c:pt>
                <c:pt idx="4">
                  <c:v>122.55454192395015</c:v>
                </c:pt>
                <c:pt idx="5">
                  <c:v>122.63607276275114</c:v>
                </c:pt>
                <c:pt idx="6">
                  <c:v>122.80784311939824</c:v>
                </c:pt>
                <c:pt idx="7">
                  <c:v>123.14705728487304</c:v>
                </c:pt>
                <c:pt idx="8">
                  <c:v>123.77778369714882</c:v>
                </c:pt>
                <c:pt idx="9">
                  <c:v>124.88658133868275</c:v>
                </c:pt>
                <c:pt idx="10">
                  <c:v>126.73661988379671</c:v>
                </c:pt>
                <c:pt idx="11">
                  <c:v>129.67682515530683</c:v>
                </c:pt>
                <c:pt idx="12">
                  <c:v>134.14242587695213</c:v>
                </c:pt>
                <c:pt idx="13">
                  <c:v>140.64398037813399</c:v>
                </c:pt>
                <c:pt idx="14">
                  <c:v>149.74349928151622</c:v>
                </c:pt>
                <c:pt idx="15">
                  <c:v>162.01837929885374</c:v>
                </c:pt>
                <c:pt idx="16">
                  <c:v>178.01607393245871</c:v>
                </c:pt>
                <c:pt idx="17">
                  <c:v>198.20425354560518</c:v>
                </c:pt>
                <c:pt idx="18">
                  <c:v>222.92224967193204</c:v>
                </c:pt>
                <c:pt idx="19">
                  <c:v>252.3396332237873</c:v>
                </c:pt>
                <c:pt idx="20">
                  <c:v>286.42687174384071</c:v>
                </c:pt>
                <c:pt idx="21">
                  <c:v>324.94137450178374</c:v>
                </c:pt>
                <c:pt idx="22">
                  <c:v>367.43021405098676</c:v>
                </c:pt>
                <c:pt idx="23">
                  <c:v>413.248783106742</c:v>
                </c:pt>
                <c:pt idx="24">
                  <c:v>461.59292504180831</c:v>
                </c:pt>
                <c:pt idx="25">
                  <c:v>511.54087616568614</c:v>
                </c:pt>
                <c:pt idx="26">
                  <c:v>562.10076475538403</c:v>
                </c:pt>
                <c:pt idx="27">
                  <c:v>612.25939950272664</c:v>
                </c:pt>
                <c:pt idx="28">
                  <c:v>661.02854096485203</c:v>
                </c:pt>
                <c:pt idx="29">
                  <c:v>707.48563220101664</c:v>
                </c:pt>
                <c:pt idx="30">
                  <c:v>750.80690868269744</c:v>
                </c:pt>
                <c:pt idx="31">
                  <c:v>790.29177008219199</c:v>
                </c:pt>
                <c:pt idx="32">
                  <c:v>825.37816844034228</c:v>
                </c:pt>
                <c:pt idx="33">
                  <c:v>855.64947845456049</c:v>
                </c:pt>
                <c:pt idx="34">
                  <c:v>880.83383344708841</c:v>
                </c:pt>
                <c:pt idx="35">
                  <c:v>900.79723273054356</c:v>
                </c:pt>
                <c:pt idx="36">
                  <c:v>915.53187203103994</c:v>
                </c:pt>
                <c:pt idx="37">
                  <c:v>925.14115060864174</c:v>
                </c:pt>
                <c:pt idx="38">
                  <c:v>929.82270416353936</c:v>
                </c:pt>
                <c:pt idx="39">
                  <c:v>929.85063841367742</c:v>
                </c:pt>
                <c:pt idx="40">
                  <c:v>925.55792695948662</c:v>
                </c:pt>
                <c:pt idx="41">
                  <c:v>917.31971502082456</c:v>
                </c:pt>
                <c:pt idx="42">
                  <c:v>905.538057271556</c:v>
                </c:pt>
                <c:pt idx="43">
                  <c:v>890.62842621206551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54-4F54-8540-3EA4BAD91994}"/>
            </c:ext>
          </c:extLst>
        </c:ser>
        <c:ser>
          <c:idx val="7"/>
          <c:order val="7"/>
          <c:tx>
            <c:strRef>
              <c:f>'New_ confirmed - Gompertz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 confirmed - Gompertz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7.349295571201381</c:v>
                </c:pt>
                <c:pt idx="20">
                  <c:v>41.436534091254785</c:v>
                </c:pt>
                <c:pt idx="21">
                  <c:v>79.95103684919782</c:v>
                </c:pt>
                <c:pt idx="22">
                  <c:v>122.43987639840084</c:v>
                </c:pt>
                <c:pt idx="23">
                  <c:v>168.25844545415606</c:v>
                </c:pt>
                <c:pt idx="24">
                  <c:v>216.60258738922238</c:v>
                </c:pt>
                <c:pt idx="25">
                  <c:v>266.55053851310021</c:v>
                </c:pt>
                <c:pt idx="26">
                  <c:v>317.11042710279816</c:v>
                </c:pt>
                <c:pt idx="27">
                  <c:v>367.26906185014076</c:v>
                </c:pt>
                <c:pt idx="28">
                  <c:v>416.03820331226615</c:v>
                </c:pt>
                <c:pt idx="29">
                  <c:v>462.49529454843076</c:v>
                </c:pt>
                <c:pt idx="30">
                  <c:v>505.81657103011156</c:v>
                </c:pt>
                <c:pt idx="31">
                  <c:v>545.30143242960617</c:v>
                </c:pt>
                <c:pt idx="32">
                  <c:v>580.38783078775646</c:v>
                </c:pt>
                <c:pt idx="33">
                  <c:v>610.65914080197467</c:v>
                </c:pt>
                <c:pt idx="34">
                  <c:v>635.84349579450259</c:v>
                </c:pt>
                <c:pt idx="35">
                  <c:v>655.80689507795773</c:v>
                </c:pt>
                <c:pt idx="36">
                  <c:v>670.54153437845412</c:v>
                </c:pt>
                <c:pt idx="37">
                  <c:v>680.15081295605592</c:v>
                </c:pt>
                <c:pt idx="38">
                  <c:v>684.83236651095353</c:v>
                </c:pt>
                <c:pt idx="39">
                  <c:v>684.86030076109159</c:v>
                </c:pt>
                <c:pt idx="40">
                  <c:v>680.5675893069008</c:v>
                </c:pt>
                <c:pt idx="41">
                  <c:v>672.32937736823874</c:v>
                </c:pt>
                <c:pt idx="42">
                  <c:v>660.54771961897018</c:v>
                </c:pt>
                <c:pt idx="43">
                  <c:v>645.63808855947968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lineMarker"/>
        <c:varyColors val="0"/>
        <c:ser>
          <c:idx val="0"/>
          <c:order val="0"/>
          <c:tx>
            <c:strRef>
              <c:f>'New_ confirmed - Gompertz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'New_ confirmed - Gompertz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 confirmed - Gompertz fit'!$E$7:$E$70</c:f>
              <c:numCache>
                <c:formatCode>General</c:formatCode>
                <c:ptCount val="64"/>
                <c:pt idx="0" formatCode="0">
                  <c:v>0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  <c:pt idx="43">
                  <c:v>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9-4D76-86FB-8CBD3E1407F4}"/>
            </c:ext>
          </c:extLst>
        </c:ser>
        <c:ser>
          <c:idx val="1"/>
          <c:order val="1"/>
          <c:tx>
            <c:strRef>
              <c:f>'New_ confirmed - Gompertz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 confirmed - Gompertz fit'!$C$7:$C$130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'New_ confirmed - Gompertz fit'!$G$7:$G$130</c:f>
              <c:numCache>
                <c:formatCode>0</c:formatCode>
                <c:ptCount val="124"/>
                <c:pt idx="0">
                  <c:v>0</c:v>
                </c:pt>
                <c:pt idx="1">
                  <c:v>105.87019020809134</c:v>
                </c:pt>
                <c:pt idx="2">
                  <c:v>137.0841398986143</c:v>
                </c:pt>
                <c:pt idx="3">
                  <c:v>175.17403111998158</c:v>
                </c:pt>
                <c:pt idx="4">
                  <c:v>221.03986160930697</c:v>
                </c:pt>
                <c:pt idx="5">
                  <c:v>275.56774287396252</c:v>
                </c:pt>
                <c:pt idx="6">
                  <c:v>339.60278283452203</c:v>
                </c:pt>
                <c:pt idx="7">
                  <c:v>413.92099086105145</c:v>
                </c:pt>
                <c:pt idx="8">
                  <c:v>499.20140009550028</c:v>
                </c:pt>
                <c:pt idx="9">
                  <c:v>595.99961989282428</c:v>
                </c:pt>
                <c:pt idx="10">
                  <c:v>704.72397520702089</c:v>
                </c:pt>
                <c:pt idx="11">
                  <c:v>825.61526628830097</c:v>
                </c:pt>
                <c:pt idx="12">
                  <c:v>958.73100244820125</c:v>
                </c:pt>
                <c:pt idx="13">
                  <c:v>1103.934742602728</c:v>
                </c:pt>
                <c:pt idx="14">
                  <c:v>1260.890929382881</c:v>
                </c:pt>
                <c:pt idx="15">
                  <c:v>1429.0653496843197</c:v>
                </c:pt>
                <c:pt idx="16">
                  <c:v>1607.7311084382982</c:v>
                </c:pt>
                <c:pt idx="17">
                  <c:v>1795.979777811006</c:v>
                </c:pt>
                <c:pt idx="18">
                  <c:v>1992.7371917756209</c:v>
                </c:pt>
                <c:pt idx="19">
                  <c:v>2196.7832035509909</c:v>
                </c:pt>
                <c:pt idx="20">
                  <c:v>2406.7746148976294</c:v>
                </c:pt>
                <c:pt idx="21">
                  <c:v>2621.2704226612113</c:v>
                </c:pt>
                <c:pt idx="22">
                  <c:v>2838.7585074460658</c:v>
                </c:pt>
                <c:pt idx="23">
                  <c:v>3057.6829078486771</c:v>
                </c:pt>
                <c:pt idx="24">
                  <c:v>3276.4708756260661</c:v>
                </c:pt>
                <c:pt idx="25">
                  <c:v>3493.5589858500789</c:v>
                </c:pt>
                <c:pt idx="26">
                  <c:v>3707.4176744119904</c:v>
                </c:pt>
                <c:pt idx="27">
                  <c:v>3916.5736861445912</c:v>
                </c:pt>
                <c:pt idx="28">
                  <c:v>4119.6300337439607</c:v>
                </c:pt>
                <c:pt idx="29">
                  <c:v>4315.2831847550478</c:v>
                </c:pt>
                <c:pt idx="30">
                  <c:v>4502.3373062394603</c:v>
                </c:pt>
                <c:pt idx="31">
                  <c:v>4679.7155004894157</c:v>
                </c:pt>
                <c:pt idx="32">
                  <c:v>4846.468057466438</c:v>
                </c:pt>
                <c:pt idx="33">
                  <c:v>5001.7778286860703</c:v>
                </c:pt>
                <c:pt idx="34">
                  <c:v>5144.9628921053809</c:v>
                </c:pt>
                <c:pt idx="35">
                  <c:v>5275.4767280331143</c:v>
                </c:pt>
                <c:pt idx="36">
                  <c:v>5392.9061626387702</c:v>
                </c:pt>
                <c:pt idx="37">
                  <c:v>5496.9673592385225</c:v>
                </c:pt>
                <c:pt idx="38">
                  <c:v>5587.5001494835014</c:v>
                </c:pt>
                <c:pt idx="39">
                  <c:v>5664.4609983874252</c:v>
                </c:pt>
                <c:pt idx="40">
                  <c:v>5727.9148904337926</c:v>
                </c:pt>
                <c:pt idx="41">
                  <c:v>5778.0264104479429</c:v>
                </c:pt>
                <c:pt idx="42">
                  <c:v>5815.050274090012</c:v>
                </c:pt>
                <c:pt idx="43">
                  <c:v>5839.3215402100323</c:v>
                </c:pt>
                <c:pt idx="44">
                  <c:v>5851.2457122377964</c:v>
                </c:pt>
                <c:pt idx="45">
                  <c:v>5851.2889094224374</c:v>
                </c:pt>
                <c:pt idx="46">
                  <c:v>5839.9682620808308</c:v>
                </c:pt>
                <c:pt idx="47">
                  <c:v>5817.8426588673319</c:v>
                </c:pt>
                <c:pt idx="48">
                  <c:v>5785.5039490722702</c:v>
                </c:pt>
                <c:pt idx="49">
                  <c:v>5743.5686795778747</c:v>
                </c:pt>
                <c:pt idx="50">
                  <c:v>5692.670424676151</c:v>
                </c:pt>
                <c:pt idx="51">
                  <c:v>5633.4527476988442</c:v>
                </c:pt>
                <c:pt idx="52">
                  <c:v>5566.5628164263908</c:v>
                </c:pt>
                <c:pt idx="53">
                  <c:v>5492.6456795544073</c:v>
                </c:pt>
                <c:pt idx="54">
                  <c:v>5412.3391990454111</c:v>
                </c:pt>
                <c:pt idx="55">
                  <c:v>5326.2696228843706</c:v>
                </c:pt>
                <c:pt idx="56">
                  <c:v>5235.0477744392701</c:v>
                </c:pt>
                <c:pt idx="57">
                  <c:v>5139.2658281452022</c:v>
                </c:pt>
                <c:pt idx="58">
                  <c:v>5039.4946363859344</c:v>
                </c:pt>
                <c:pt idx="59">
                  <c:v>4936.2815690659336</c:v>
                </c:pt>
                <c:pt idx="60">
                  <c:v>4830.1488252439303</c:v>
                </c:pt>
                <c:pt idx="61">
                  <c:v>4721.5921751683054</c:v>
                </c:pt>
                <c:pt idx="62">
                  <c:v>4611.0800909237587</c:v>
                </c:pt>
                <c:pt idx="63">
                  <c:v>4499.0532245232607</c:v>
                </c:pt>
                <c:pt idx="64">
                  <c:v>4385.9241934964084</c:v>
                </c:pt>
                <c:pt idx="65">
                  <c:v>4272.0776357154828</c:v>
                </c:pt>
                <c:pt idx="66">
                  <c:v>4157.8704972340784</c:v>
                </c:pt>
                <c:pt idx="67">
                  <c:v>4043.632519202627</c:v>
                </c:pt>
                <c:pt idx="68">
                  <c:v>3929.6668923653779</c:v>
                </c:pt>
                <c:pt idx="69">
                  <c:v>3816.2510501791548</c:v>
                </c:pt>
                <c:pt idx="70">
                  <c:v>3703.6375741494121</c:v>
                </c:pt>
                <c:pt idx="71">
                  <c:v>3592.0551875111414</c:v>
                </c:pt>
                <c:pt idx="72">
                  <c:v>3481.7098158505396</c:v>
                </c:pt>
                <c:pt idx="73">
                  <c:v>3372.7856956360629</c:v>
                </c:pt>
                <c:pt idx="74">
                  <c:v>3265.4465138808009</c:v>
                </c:pt>
                <c:pt idx="75">
                  <c:v>3159.8365642806166</c:v>
                </c:pt>
                <c:pt idx="76">
                  <c:v>3056.0819071449805</c:v>
                </c:pt>
                <c:pt idx="77">
                  <c:v>2954.2915222654701</c:v>
                </c:pt>
                <c:pt idx="78">
                  <c:v>2854.558445535833</c:v>
                </c:pt>
                <c:pt idx="79">
                  <c:v>2756.9608816606924</c:v>
                </c:pt>
                <c:pt idx="80">
                  <c:v>2661.5632866622764</c:v>
                </c:pt>
                <c:pt idx="81">
                  <c:v>2568.4174151238403</c:v>
                </c:pt>
                <c:pt idx="82">
                  <c:v>2477.5633282078197</c:v>
                </c:pt>
                <c:pt idx="83">
                  <c:v>2389.0303594477009</c:v>
                </c:pt>
                <c:pt idx="84">
                  <c:v>2302.8380361709278</c:v>
                </c:pt>
                <c:pt idx="85">
                  <c:v>2218.9969551393879</c:v>
                </c:pt>
                <c:pt idx="86">
                  <c:v>2137.5096116387285</c:v>
                </c:pt>
                <c:pt idx="87">
                  <c:v>2058.3711817906005</c:v>
                </c:pt>
                <c:pt idx="88">
                  <c:v>1981.5702583224047</c:v>
                </c:pt>
                <c:pt idx="89">
                  <c:v>1907.0895404184121</c:v>
                </c:pt>
                <c:pt idx="90">
                  <c:v>1834.9064785931841</c:v>
                </c:pt>
                <c:pt idx="91">
                  <c:v>1764.9938757885247</c:v>
                </c:pt>
                <c:pt idx="92">
                  <c:v>1697.3204461003188</c:v>
                </c:pt>
                <c:pt idx="93">
                  <c:v>1631.8513327031396</c:v>
                </c:pt>
                <c:pt idx="94">
                  <c:v>1568.5485866583185</c:v>
                </c:pt>
                <c:pt idx="95">
                  <c:v>1507.3716083748732</c:v>
                </c:pt>
                <c:pt idx="96">
                  <c:v>1448.2775535483379</c:v>
                </c:pt>
                <c:pt idx="97">
                  <c:v>1391.22170542815</c:v>
                </c:pt>
                <c:pt idx="98">
                  <c:v>1336.1578152720467</c:v>
                </c:pt>
                <c:pt idx="99">
                  <c:v>1283.0384128329461</c:v>
                </c:pt>
                <c:pt idx="100">
                  <c:v>1231.815088696545</c:v>
                </c:pt>
                <c:pt idx="101">
                  <c:v>1182.4387502484606</c:v>
                </c:pt>
                <c:pt idx="102">
                  <c:v>1134.8598529989249</c:v>
                </c:pt>
                <c:pt idx="103">
                  <c:v>1089.0286089383881</c:v>
                </c:pt>
                <c:pt idx="104">
                  <c:v>1044.8951735306764</c:v>
                </c:pt>
                <c:pt idx="105">
                  <c:v>1002.4098128856858</c:v>
                </c:pt>
                <c:pt idx="106">
                  <c:v>961.52305258030538</c:v>
                </c:pt>
                <c:pt idx="107">
                  <c:v>922.18580952746561</c:v>
                </c:pt>
                <c:pt idx="108">
                  <c:v>884.3495082166628</c:v>
                </c:pt>
                <c:pt idx="109">
                  <c:v>847.9661825778312</c:v>
                </c:pt>
                <c:pt idx="110">
                  <c:v>812.98856464884011</c:v>
                </c:pt>
                <c:pt idx="111">
                  <c:v>779.37016115448205</c:v>
                </c:pt>
                <c:pt idx="112">
                  <c:v>747.06531903601717</c:v>
                </c:pt>
                <c:pt idx="113">
                  <c:v>716.02928090351634</c:v>
                </c:pt>
                <c:pt idx="114">
                  <c:v>686.21823131822748</c:v>
                </c:pt>
                <c:pt idx="115">
                  <c:v>657.58933474996593</c:v>
                </c:pt>
                <c:pt idx="116">
                  <c:v>630.10076599329477</c:v>
                </c:pt>
                <c:pt idx="117">
                  <c:v>603.71173377445666</c:v>
                </c:pt>
                <c:pt idx="118">
                  <c:v>578.38249821972568</c:v>
                </c:pt>
                <c:pt idx="119">
                  <c:v>554.07438281207578</c:v>
                </c:pt>
                <c:pt idx="120">
                  <c:v>530.74978140980238</c:v>
                </c:pt>
                <c:pt idx="121">
                  <c:v>508.37216085824184</c:v>
                </c:pt>
                <c:pt idx="122">
                  <c:v>486.90605968079763</c:v>
                </c:pt>
                <c:pt idx="123">
                  <c:v>466.31708329904359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9-4D76-86FB-8CBD3E1407F4}"/>
            </c:ext>
          </c:extLst>
        </c:ser>
        <c:ser>
          <c:idx val="4"/>
          <c:order val="4"/>
          <c:tx>
            <c:strRef>
              <c:f>'New_ confirmed - Gompertz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yVal>
            <c:numRef>
              <c:f>'New_ confirmed - Gompertz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  <c:pt idx="43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54-4F54-8540-3EA4BAD91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19E7E45-A785-4B17-B7DE-4514CBB84548}"/>
                </a:ext>
              </a:extLst>
            </xdr:cNvPr>
            <xdr:cNvSpPr txBox="1"/>
          </xdr:nvSpPr>
          <xdr:spPr>
            <a:xfrm>
              <a:off x="5021580" y="647700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7620</xdr:rowOff>
    </xdr:from>
    <xdr:to>
      <xdr:col>25</xdr:col>
      <xdr:colOff>99060</xdr:colOff>
      <xdr:row>37</xdr:row>
      <xdr:rowOff>152399</xdr:rowOff>
    </xdr:to>
    <xdr:grpSp>
      <xdr:nvGrpSpPr>
        <xdr:cNvPr id="6" name="Gruppo 5">
          <a:extLst>
            <a:ext uri="{FF2B5EF4-FFF2-40B4-BE49-F238E27FC236}">
              <a16:creationId xmlns:a16="http://schemas.microsoft.com/office/drawing/2014/main" id="{75E20206-2CE6-4BED-8789-9127B2392E0A}"/>
            </a:ext>
          </a:extLst>
        </xdr:cNvPr>
        <xdr:cNvGrpSpPr/>
      </xdr:nvGrpSpPr>
      <xdr:grpSpPr>
        <a:xfrm>
          <a:off x="8509363" y="1303020"/>
          <a:ext cx="6938554" cy="6349636"/>
          <a:chOff x="6629400" y="1295400"/>
          <a:chExt cx="6941820" cy="53035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95400"/>
          <a:ext cx="6941820" cy="53035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BF968D8D-7EE4-4780-B1DD-52C6CEAB18AE}"/>
                  </a:ext>
                </a:extLst>
              </xdr:cNvPr>
              <xdr:cNvSpPr txBox="1"/>
            </xdr:nvSpPr>
            <xdr:spPr>
              <a:xfrm>
                <a:off x="9829800" y="2598420"/>
                <a:ext cx="135636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5" name="CasellaDiTesto 4">
            <a:extLst>
              <a:ext uri="{FF2B5EF4-FFF2-40B4-BE49-F238E27FC236}">
                <a16:creationId xmlns:a16="http://schemas.microsoft.com/office/drawing/2014/main" id="{2366D626-FC51-41E1-8627-7475466C9F30}"/>
              </a:ext>
            </a:extLst>
          </xdr:cNvPr>
          <xdr:cNvSpPr txBox="1"/>
        </xdr:nvSpPr>
        <xdr:spPr>
          <a:xfrm>
            <a:off x="8168640" y="3291186"/>
            <a:ext cx="1828800" cy="11783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359999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45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20.767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0.9968</a:t>
            </a:r>
          </a:p>
          <a:p>
            <a:r>
              <a:rPr lang="it-IT" sz="1100" b="1" i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CI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4424</a:t>
            </a:r>
            <a:endParaRPr lang="it-IT" b="1">
              <a:solidFill>
                <a:srgbClr val="0070C0"/>
              </a:solidFill>
              <a:effectLst/>
            </a:endParaRPr>
          </a:p>
          <a:p>
            <a:pPr eaLnBrk="1" fontAlgn="auto" latinLnBrk="0" hangingPunct="1"/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0.68935</cdr:x>
      <cdr:y>0.46965</cdr:y>
    </cdr:from>
    <cdr:to>
      <cdr:x>0.9528</cdr:x>
      <cdr:y>0.69111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4783092" y="2879858"/>
          <a:ext cx="1827962" cy="135795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37382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16.548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0.9988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297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69669</xdr:colOff>
      <xdr:row>2</xdr:row>
      <xdr:rowOff>68580</xdr:rowOff>
    </xdr:from>
    <xdr:ext cx="1310640" cy="44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 </m:t>
                            </m:r>
                            <m:box>
                              <m:box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boxPr>
                              <m:e>
                                <m:argPr>
                                  <m:argSz m:val="-1"/>
                                </m:argPr>
                                <m:f>
                                  <m:fPr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𝑡</m:t>
                                    </m:r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400" b="0" i="1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den>
                                </m:f>
                              </m:e>
                            </m:box>
                          </m:sup>
                        </m:sSup>
                      </m:sup>
                    </m:sSup>
                  </m:oMath>
                </m:oMathPara>
              </a14:m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CFA8BD5C-3C07-44DC-A842-DA2098C6699E}"/>
                </a:ext>
              </a:extLst>
            </xdr:cNvPr>
            <xdr:cNvSpPr txBox="1"/>
          </xdr:nvSpPr>
          <xdr:spPr>
            <a:xfrm>
              <a:off x="5708469" y="645523"/>
              <a:ext cx="1310640" cy="44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𝐾∙𝑒^(−𝑒^(− □(64&amp;(𝑡−𝑡_0)/𝑤)) )</a:t>
              </a:r>
              <a:endParaRPr lang="it-IT" sz="14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20</xdr:col>
      <xdr:colOff>137160</xdr:colOff>
      <xdr:row>18</xdr:row>
      <xdr:rowOff>15240</xdr:rowOff>
    </xdr:from>
    <xdr:ext cx="65" cy="172227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2D42E899-4196-4B9B-8AB7-590BACDD6DA0}"/>
            </a:ext>
          </a:extLst>
        </xdr:cNvPr>
        <xdr:cNvSpPr txBox="1"/>
      </xdr:nvSpPr>
      <xdr:spPr>
        <a:xfrm>
          <a:off x="10195560" y="29870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18</xdr:col>
      <xdr:colOff>7620</xdr:colOff>
      <xdr:row>5</xdr:row>
      <xdr:rowOff>7620</xdr:rowOff>
    </xdr:from>
    <xdr:to>
      <xdr:col>29</xdr:col>
      <xdr:colOff>99060</xdr:colOff>
      <xdr:row>37</xdr:row>
      <xdr:rowOff>152400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40C6C291-EC82-44BE-93C5-7967E3816F27}"/>
            </a:ext>
          </a:extLst>
        </xdr:cNvPr>
        <xdr:cNvGrpSpPr/>
      </xdr:nvGrpSpPr>
      <xdr:grpSpPr>
        <a:xfrm>
          <a:off x="10871563" y="1303020"/>
          <a:ext cx="6938554" cy="6349637"/>
          <a:chOff x="8846820" y="1295399"/>
          <a:chExt cx="6941820" cy="530351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5E16BE54-62FA-499A-B2CC-9239B9EDEDE2}"/>
              </a:ext>
            </a:extLst>
          </xdr:cNvPr>
          <xdr:cNvGraphicFramePr>
            <a:graphicFrameLocks/>
          </xdr:cNvGraphicFramePr>
        </xdr:nvGraphicFramePr>
        <xdr:xfrm>
          <a:off x="8846820" y="1295399"/>
          <a:ext cx="6941820" cy="530351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𝐺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𝐾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∙</m:t>
                      </m:r>
                      <m:sSup>
                        <m:sSup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p>
                            <m:sSupPr>
                              <m:ctrlP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4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4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𝑡</m:t>
                                      </m:r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4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num>
                                    <m:den>
                                      <m:r>
                                        <a:rPr lang="it-IT" sz="14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𝑤</m:t>
                                      </m:r>
                                    </m:den>
                                  </m:f>
                                </m:e>
                              </m:box>
                            </m:sup>
                          </m:sSup>
                        </m:sup>
                      </m:sSup>
                    </m:oMath>
                  </m:oMathPara>
                </a14:m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E553BD23-4D85-433C-B3D5-20698BF71D14}"/>
                  </a:ext>
                </a:extLst>
              </xdr:cNvPr>
              <xdr:cNvSpPr txBox="1"/>
            </xdr:nvSpPr>
            <xdr:spPr>
              <a:xfrm>
                <a:off x="12232364" y="2381873"/>
                <a:ext cx="2933700" cy="4419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𝐺(𝑡)=</a:t>
                </a:r>
                <a:r>
                  <a:rPr lang="it-IT" sz="14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𝐾∙𝑒^(−𝑒^(− □(64&amp;(𝑡−𝑡_0)/𝑤)) )</a:t>
                </a:r>
                <a:endParaRPr lang="it-IT" sz="14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0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=0,  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𝑡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+1)=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+1</m:t>
                          </m:r>
                        </m:e>
                      </m:d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𝐺</m:t>
                      </m:r>
                      <m:d>
                        <m:dPr>
                          <m:ctrlP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dPr>
                        <m:e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𝑡</m:t>
                          </m:r>
                        </m:e>
                      </m:d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Choice>
        <mc:Fallback xmlns=""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D52C3AA2-9470-4CDC-941C-FE8502C58FC2}"/>
                  </a:ext>
                </a:extLst>
              </xdr:cNvPr>
              <xdr:cNvSpPr txBox="1"/>
            </xdr:nvSpPr>
            <xdr:spPr>
              <a:xfrm>
                <a:off x="12096104" y="1889337"/>
                <a:ext cx="3249534" cy="474053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 algn="l"/>
                <a:endParaRPr lang="it-IT" sz="1100" b="0" i="1">
                  <a:latin typeface="Cambria Math" panose="02040503050406030204" pitchFamily="18" charset="0"/>
                </a:endParaRPr>
              </a:p>
              <a:p>
                <a:pPr marL="0" indent="0" algn="l"/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𝑦(0)=0,  𝑦(𝑡+1)=𝐺(𝑡+1)−𝐺(𝑡)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1173D55D-DEC2-4B98-9577-8873827CA26A}"/>
              </a:ext>
            </a:extLst>
          </xdr:cNvPr>
          <xdr:cNvCxnSpPr/>
        </xdr:nvCxnSpPr>
        <xdr:spPr>
          <a:xfrm>
            <a:off x="9296400" y="2857490"/>
            <a:ext cx="237744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type m:val="skw"/>
                          <m:ctrlP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𝐾</m:t>
                          </m:r>
                        </m:num>
                        <m:den>
                          <m:r>
                            <a:rPr lang="it-IT" sz="1400" b="0" i="1">
                              <a:solidFill>
                                <a:srgbClr val="0070C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𝑒𝑤</m:t>
                          </m:r>
                        </m:den>
                      </m:f>
                    </m:oMath>
                  </m:oMathPara>
                </a14:m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5" name="CasellaDiTesto 14">
                <a:extLst>
                  <a:ext uri="{FF2B5EF4-FFF2-40B4-BE49-F238E27FC236}">
                    <a16:creationId xmlns:a16="http://schemas.microsoft.com/office/drawing/2014/main" id="{4E44B879-0DBE-4044-BC9F-5BB9C6A0545B}"/>
                  </a:ext>
                </a:extLst>
              </xdr:cNvPr>
              <xdr:cNvSpPr txBox="1"/>
            </xdr:nvSpPr>
            <xdr:spPr>
              <a:xfrm>
                <a:off x="9584129" y="2525887"/>
                <a:ext cx="467720" cy="2112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400" b="0" i="0">
                    <a:solidFill>
                      <a:srgbClr val="0070C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𝐾⁄𝑒𝑤</a:t>
                </a:r>
                <a:endParaRPr lang="it-IT" sz="1400" b="0" i="1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23</xdr:col>
      <xdr:colOff>337458</xdr:colOff>
      <xdr:row>24</xdr:row>
      <xdr:rowOff>32657</xdr:rowOff>
    </xdr:from>
    <xdr:to>
      <xdr:col>26</xdr:col>
      <xdr:colOff>336551</xdr:colOff>
      <xdr:row>31</xdr:row>
      <xdr:rowOff>99648</xdr:rowOff>
    </xdr:to>
    <xdr:sp macro="" textlink="">
      <xdr:nvSpPr>
        <xdr:cNvPr id="13" name="CasellaDiTesto 4">
          <a:extLst>
            <a:ext uri="{FF2B5EF4-FFF2-40B4-BE49-F238E27FC236}">
              <a16:creationId xmlns:a16="http://schemas.microsoft.com/office/drawing/2014/main" id="{64E97727-E9BD-4F4B-B9DF-5C95FB8B23DA}"/>
            </a:ext>
          </a:extLst>
        </xdr:cNvPr>
        <xdr:cNvSpPr txBox="1"/>
      </xdr:nvSpPr>
      <xdr:spPr>
        <a:xfrm>
          <a:off x="14390915" y="4898571"/>
          <a:ext cx="1827893" cy="1362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 new deaths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808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39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13.401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0.9681</a:t>
          </a:r>
        </a:p>
        <a:p>
          <a:r>
            <a:rPr lang="it-IT" sz="1100" b="1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122</a:t>
          </a:r>
          <a:endParaRPr lang="it-IT" b="1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0.50466</cdr:x>
      <cdr:y>0.28167</cdr:y>
    </cdr:from>
    <cdr:to>
      <cdr:x>0.7681</cdr:x>
      <cdr:y>0.50385</cdr:y>
    </cdr:to>
    <cdr:sp macro="" textlink="">
      <cdr:nvSpPr>
        <cdr:cNvPr id="2" name="CasellaDiTesto 4">
          <a:extLst xmlns:a="http://schemas.openxmlformats.org/drawingml/2006/main">
            <a:ext uri="{FF2B5EF4-FFF2-40B4-BE49-F238E27FC236}">
              <a16:creationId xmlns:a16="http://schemas.microsoft.com/office/drawing/2014/main" id="{2366D626-FC51-41E1-8627-7475466C9F30}"/>
            </a:ext>
          </a:extLst>
        </cdr:cNvPr>
        <cdr:cNvSpPr txBox="1"/>
      </cdr:nvSpPr>
      <cdr:spPr>
        <a:xfrm xmlns:a="http://schemas.openxmlformats.org/drawingml/2006/main">
          <a:off x="3501593" y="1727186"/>
          <a:ext cx="1827893" cy="13623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Peak value=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5853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22.430</a:t>
          </a:r>
          <a:r>
            <a:rPr lang="it-IT" b="1">
              <a:solidFill>
                <a:srgbClr val="0070C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it-IT" sz="1100" b="1" i="1" baseline="30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0.8897</a:t>
          </a:r>
        </a:p>
        <a:p xmlns:a="http://schemas.openxmlformats.org/drawingml/2006/main">
          <a:r>
            <a:rPr lang="it-IT" sz="1100" b="1" i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CI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 1551</a:t>
          </a:r>
          <a:endParaRPr lang="it-IT" b="1">
            <a:solidFill>
              <a:srgbClr val="0070C0"/>
            </a:solidFill>
            <a:effectLst/>
          </a:endParaRPr>
        </a:p>
        <a:p xmlns:a="http://schemas.openxmlformats.org/drawingml/2006/main">
          <a:pPr eaLnBrk="1" fontAlgn="auto" latinLnBrk="0" hangingPunct="1"/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</cdr:txBody>
    </cdr:sp>
  </cdr:relSizeAnchor>
  <cdr:relSizeAnchor xmlns:cdr="http://schemas.openxmlformats.org/drawingml/2006/chartDrawing">
    <cdr:from>
      <cdr:x>0.06449</cdr:x>
      <cdr:y>0.74066</cdr:y>
    </cdr:from>
    <cdr:to>
      <cdr:x>0.40697</cdr:x>
      <cdr:y>0.74066</cdr:y>
    </cdr:to>
    <cdr:cxnSp macro="">
      <cdr:nvCxnSpPr>
        <cdr:cNvPr id="3" name="Connettore diritto 2">
          <a:extLst xmlns:a="http://schemas.openxmlformats.org/drawingml/2006/main">
            <a:ext uri="{FF2B5EF4-FFF2-40B4-BE49-F238E27FC236}">
              <a16:creationId xmlns:a16="http://schemas.microsoft.com/office/drawing/2014/main" id="{1173D55D-DEC2-4B98-9577-8873827CA26A}"/>
            </a:ext>
          </a:extLst>
        </cdr:cNvPr>
        <cdr:cNvCxnSpPr/>
      </cdr:nvCxnSpPr>
      <cdr:spPr>
        <a:xfrm xmlns:a="http://schemas.openxmlformats.org/drawingml/2006/main">
          <a:off x="447467" y="4702936"/>
          <a:ext cx="2376316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6B746D70-F039-4BD3-A8E2-CFBE3CA77AEB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5752BB5A-86CD-499A-9399-71093D9E2521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1C0BD-0543-4FCB-89C9-A3035C211C82}" name="dpc_covid19_ita_andamento_nazionale__9" displayName="dpc_covid19_ita_andamento_nazionale__9" ref="A1:O41" tableType="queryTable" totalsRowShown="0">
  <autoFilter ref="A1:O41" xr:uid="{9EB70A45-6BB7-4493-BE34-D2E588E230B9}"/>
  <tableColumns count="15">
    <tableColumn id="1" xr3:uid="{149115E2-B5B2-4730-A035-390C865B2CC4}" uniqueName="1" name="data" queryTableFieldId="1" dataDxfId="3"/>
    <tableColumn id="2" xr3:uid="{FECF19DC-43A3-46C3-B8D7-3DC923310E79}" uniqueName="2" name="stato" queryTableFieldId="2" dataDxfId="2"/>
    <tableColumn id="3" xr3:uid="{85F31668-9CF9-4621-A714-B3AFA333CBD0}" uniqueName="3" name="ricoverati_con_sintomi" queryTableFieldId="3"/>
    <tableColumn id="4" xr3:uid="{2108A999-7F81-4E66-8AF2-E9043871EDAE}" uniqueName="4" name="terapia_intensiva" queryTableFieldId="4"/>
    <tableColumn id="5" xr3:uid="{19B92816-677B-459F-8345-515819513CA3}" uniqueName="5" name="totale_ospedalizzati" queryTableFieldId="5"/>
    <tableColumn id="6" xr3:uid="{160A0F0E-B84B-47DA-BE3A-8A8347AACFC5}" uniqueName="6" name="isolamento_domiciliare" queryTableFieldId="6"/>
    <tableColumn id="7" xr3:uid="{8420EF34-31BE-44FA-8553-689EC4E54567}" uniqueName="7" name="totale_positivi" queryTableFieldId="7"/>
    <tableColumn id="8" xr3:uid="{59FA9595-F4FB-489E-87C0-18EB91DC4037}" uniqueName="8" name="variazione_totale_positivi" queryTableFieldId="8"/>
    <tableColumn id="9" xr3:uid="{AA11A0B8-0A56-4965-A591-4FC3E82A703C}" uniqueName="9" name="nuovi_positivi" queryTableFieldId="9"/>
    <tableColumn id="10" xr3:uid="{73A84D9F-6C19-4967-BB9C-85237EFC834F}" uniqueName="10" name="dimessi_guariti" queryTableFieldId="10"/>
    <tableColumn id="11" xr3:uid="{FDEDEE72-5362-406D-86A9-7AC9C6562F43}" uniqueName="11" name="deceduti" queryTableFieldId="11"/>
    <tableColumn id="12" xr3:uid="{1D16D4E7-C761-4B7B-9493-5790840FEE47}" uniqueName="12" name="totale_casi" queryTableFieldId="12"/>
    <tableColumn id="13" xr3:uid="{6F5814D7-CB1E-468F-AF5D-6602D625C6DA}" uniqueName="13" name="tamponi" queryTableFieldId="13"/>
    <tableColumn id="14" xr3:uid="{634FAC36-D32F-4654-9F48-877572B01CE3}" uniqueName="14" name="note_it" queryTableFieldId="14" dataDxfId="1"/>
    <tableColumn id="15" xr3:uid="{361F9462-91CE-43A3-B879-6AA5D54F6002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64E3EB96-87C7-4B9C-BD54-C3277E98F305}">
    <text>Worldometer data</text>
  </threadedComment>
  <threadedComment ref="B11" dT="2020-03-21T22:11:56.31" personId="{6B746D70-F039-4BD3-A8E2-CFBE3CA77AEB}" id="{A8254C99-F8D0-4594-8DF9-BAFD3FB1F24C}">
    <text>red zone</text>
  </threadedComment>
  <threadedComment ref="B17" dT="2020-03-21T22:12:51.46" personId="{6B746D70-F039-4BD3-A8E2-CFBE3CA77AEB}" id="{68C9FCAD-9B4E-4A36-9FFD-6E42EF7BAB2E}">
    <text>partial lockdown (north)</text>
  </threadedComment>
  <threadedComment ref="B21" dT="2020-03-21T22:13:52.19" personId="{6B746D70-F039-4BD3-A8E2-CFBE3CA77AEB}" id="{2996D8DF-A90C-4837-A522-D1B05D838A82}">
    <text>school closure (Italy)</text>
  </threadedComment>
  <threadedComment ref="B24" dT="2020-03-21T22:14:24.84" personId="{6B746D70-F039-4BD3-A8E2-CFBE3CA77AEB}" id="{882C4A53-2ECA-4C73-9AA1-B5A8E73D3E81}">
    <text>lockdown (north)</text>
  </threadedComment>
  <threadedComment ref="B26" dT="2020-03-21T22:14:52.14" personId="{6B746D70-F039-4BD3-A8E2-CFBE3CA77AEB}" id="{6447A7C0-2273-4DFF-A091-BC96FA683C9A}">
    <text>partial lockdown (Italy)</text>
  </threadedComment>
  <threadedComment ref="B28" dT="2020-03-21T22:15:16.77" personId="{6B746D70-F039-4BD3-A8E2-CFBE3CA77AEB}" id="{15FBF8B4-9604-4298-88C0-A397053E9646}">
    <text>lockdown (Italy)</text>
  </threadedComment>
  <threadedComment ref="B39" dT="2020-03-23T22:01:18.08" personId="{6B746D70-F039-4BD3-A8E2-CFBE3CA77AEB}" id="{7D93C683-3CC9-4CA5-88A7-CE381226F7E8}">
    <text>reinforced lockdown (Itay)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" dT="2020-03-30T22:47:17.14" personId="{6B746D70-F039-4BD3-A8E2-CFBE3CA77AEB}" id="{0526C815-FBB1-40DE-857A-780B07E348C3}">
    <text>Worldometer data</text>
  </threadedComment>
  <threadedComment ref="B11" dT="2020-03-21T22:11:56.31" personId="{6B746D70-F039-4BD3-A8E2-CFBE3CA77AEB}" id="{E55EDF91-B929-427F-974C-7C4BA6A2256F}">
    <text>red zone</text>
  </threadedComment>
  <threadedComment ref="B17" dT="2020-03-21T22:12:51.46" personId="{6B746D70-F039-4BD3-A8E2-CFBE3CA77AEB}" id="{E68D444F-F44E-4F7B-A08B-3E97C8F77EB8}">
    <text>partial lockdown (north)</text>
  </threadedComment>
  <threadedComment ref="B21" dT="2020-03-21T22:13:52.19" personId="{6B746D70-F039-4BD3-A8E2-CFBE3CA77AEB}" id="{5FA73663-8ACB-4C87-9ACE-833B3E2F4F52}">
    <text>school closure (Italy)</text>
  </threadedComment>
  <threadedComment ref="B24" dT="2020-03-21T22:14:24.84" personId="{6B746D70-F039-4BD3-A8E2-CFBE3CA77AEB}" id="{C84EE756-EBBF-4242-B72B-A7663F6ADECE}">
    <text>lockdown (north)</text>
  </threadedComment>
  <threadedComment ref="B26" dT="2020-03-21T22:14:52.14" personId="{6B746D70-F039-4BD3-A8E2-CFBE3CA77AEB}" id="{B367DBCB-7C6A-4BA4-9A30-B8A2E8E7290F}">
    <text>partial lockdown (Italy)</text>
  </threadedComment>
  <threadedComment ref="B28" dT="2020-03-21T22:15:16.77" personId="{6B746D70-F039-4BD3-A8E2-CFBE3CA77AEB}" id="{926C33C6-F39A-4524-91C9-0CF38C04972A}">
    <text>lockdown (Italy)</text>
  </threadedComment>
  <threadedComment ref="B39" dT="2020-03-23T22:01:18.08" personId="{6B746D70-F039-4BD3-A8E2-CFBE3CA77AEB}" id="{5CCFFE3B-C34B-4578-99E2-92A322494188}">
    <text>reinforced lockdown (Itay)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798-5C84-40AD-9A9A-8A8BDF7164C5}">
  <dimension ref="A1:O41"/>
  <sheetViews>
    <sheetView topLeftCell="A19" workbookViewId="0"/>
  </sheetViews>
  <sheetFormatPr defaultRowHeight="14.4" x14ac:dyDescent="0.3"/>
  <cols>
    <col min="1" max="1" width="15.6640625" style="2" bestFit="1" customWidth="1"/>
    <col min="2" max="2" width="7.44140625" style="2" bestFit="1" customWidth="1"/>
    <col min="3" max="3" width="22.6640625" style="2" bestFit="1" customWidth="1"/>
    <col min="4" max="4" width="17.77734375" style="2" bestFit="1" customWidth="1"/>
    <col min="5" max="5" width="20" style="2" bestFit="1" customWidth="1"/>
    <col min="6" max="6" width="23" style="2" bestFit="1" customWidth="1"/>
    <col min="7" max="7" width="15.109375" style="2" bestFit="1" customWidth="1"/>
    <col min="8" max="8" width="25" style="2" bestFit="1" customWidth="1"/>
    <col min="9" max="9" width="15" style="2" bestFit="1" customWidth="1"/>
    <col min="10" max="10" width="15.88671875" style="2" bestFit="1" customWidth="1"/>
    <col min="11" max="11" width="10.5546875" style="2" bestFit="1" customWidth="1"/>
    <col min="12" max="12" width="12.21875" style="2" bestFit="1" customWidth="1"/>
    <col min="13" max="13" width="10.33203125" style="2" bestFit="1" customWidth="1"/>
    <col min="14" max="14" width="19.5546875" style="2" bestFit="1" customWidth="1"/>
    <col min="15" max="15" width="21.109375" style="2" bestFit="1" customWidth="1"/>
    <col min="16" max="16384" width="8.88671875" style="2"/>
  </cols>
  <sheetData>
    <row r="1" spans="1:15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69</v>
      </c>
      <c r="H1" s="2" t="s">
        <v>70</v>
      </c>
      <c r="I1" s="2" t="s">
        <v>71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30</v>
      </c>
      <c r="O1" s="2" t="s">
        <v>31</v>
      </c>
    </row>
    <row r="2" spans="1:15" x14ac:dyDescent="0.3">
      <c r="A2" s="15">
        <v>43885.75</v>
      </c>
      <c r="B2" s="16" t="s">
        <v>25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6" t="s">
        <v>32</v>
      </c>
      <c r="O2" s="16" t="s">
        <v>32</v>
      </c>
    </row>
    <row r="3" spans="1:15" x14ac:dyDescent="0.3">
      <c r="A3" s="15">
        <v>43886.75</v>
      </c>
      <c r="B3" s="16" t="s">
        <v>25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6" t="s">
        <v>32</v>
      </c>
      <c r="O3" s="16" t="s">
        <v>32</v>
      </c>
    </row>
    <row r="4" spans="1:15" x14ac:dyDescent="0.3">
      <c r="A4" s="15">
        <v>43887.75</v>
      </c>
      <c r="B4" s="16" t="s">
        <v>25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6" t="s">
        <v>32</v>
      </c>
      <c r="O4" s="16" t="s">
        <v>32</v>
      </c>
    </row>
    <row r="5" spans="1:15" x14ac:dyDescent="0.3">
      <c r="A5" s="15">
        <v>43888.75</v>
      </c>
      <c r="B5" s="16" t="s">
        <v>25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6" t="s">
        <v>32</v>
      </c>
      <c r="O5" s="16" t="s">
        <v>32</v>
      </c>
    </row>
    <row r="6" spans="1:15" x14ac:dyDescent="0.3">
      <c r="A6" s="15">
        <v>43889.75</v>
      </c>
      <c r="B6" s="16" t="s">
        <v>25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6" t="s">
        <v>32</v>
      </c>
      <c r="O6" s="16" t="s">
        <v>32</v>
      </c>
    </row>
    <row r="7" spans="1:15" x14ac:dyDescent="0.3">
      <c r="A7" s="15">
        <v>43890.75</v>
      </c>
      <c r="B7" s="16" t="s">
        <v>25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6" t="s">
        <v>32</v>
      </c>
      <c r="O7" s="16" t="s">
        <v>32</v>
      </c>
    </row>
    <row r="8" spans="1:15" x14ac:dyDescent="0.3">
      <c r="A8" s="15">
        <v>43891.75</v>
      </c>
      <c r="B8" s="16" t="s">
        <v>25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6" t="s">
        <v>32</v>
      </c>
      <c r="O8" s="16" t="s">
        <v>32</v>
      </c>
    </row>
    <row r="9" spans="1:15" x14ac:dyDescent="0.3">
      <c r="A9" s="15">
        <v>43892.75</v>
      </c>
      <c r="B9" s="16" t="s">
        <v>25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6" t="s">
        <v>32</v>
      </c>
      <c r="O9" s="16" t="s">
        <v>32</v>
      </c>
    </row>
    <row r="10" spans="1:15" x14ac:dyDescent="0.3">
      <c r="A10" s="15">
        <v>43893.75</v>
      </c>
      <c r="B10" s="16" t="s">
        <v>25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6" t="s">
        <v>32</v>
      </c>
      <c r="O10" s="16" t="s">
        <v>32</v>
      </c>
    </row>
    <row r="11" spans="1:15" x14ac:dyDescent="0.3">
      <c r="A11" s="15">
        <v>43894.75</v>
      </c>
      <c r="B11" s="16" t="s">
        <v>25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6" t="s">
        <v>32</v>
      </c>
      <c r="O11" s="16" t="s">
        <v>32</v>
      </c>
    </row>
    <row r="12" spans="1:15" x14ac:dyDescent="0.3">
      <c r="A12" s="15">
        <v>43895.75</v>
      </c>
      <c r="B12" s="16" t="s">
        <v>25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6" t="s">
        <v>32</v>
      </c>
      <c r="O12" s="16" t="s">
        <v>32</v>
      </c>
    </row>
    <row r="13" spans="1:15" x14ac:dyDescent="0.3">
      <c r="A13" s="15">
        <v>43896.75</v>
      </c>
      <c r="B13" s="16" t="s">
        <v>25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6" t="s">
        <v>32</v>
      </c>
      <c r="O13" s="16" t="s">
        <v>32</v>
      </c>
    </row>
    <row r="14" spans="1:15" x14ac:dyDescent="0.3">
      <c r="A14" s="15">
        <v>43897.75</v>
      </c>
      <c r="B14" s="16" t="s">
        <v>25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6" t="s">
        <v>33</v>
      </c>
      <c r="O14" s="16" t="s">
        <v>34</v>
      </c>
    </row>
    <row r="15" spans="1:15" x14ac:dyDescent="0.3">
      <c r="A15" s="15">
        <v>43898.75</v>
      </c>
      <c r="B15" s="16" t="s">
        <v>25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6" t="s">
        <v>32</v>
      </c>
      <c r="O15" s="16" t="s">
        <v>32</v>
      </c>
    </row>
    <row r="16" spans="1:15" x14ac:dyDescent="0.3">
      <c r="A16" s="15">
        <v>43899.75</v>
      </c>
      <c r="B16" s="16" t="s">
        <v>25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6" t="s">
        <v>32</v>
      </c>
      <c r="O16" s="16" t="s">
        <v>32</v>
      </c>
    </row>
    <row r="17" spans="1:15" x14ac:dyDescent="0.3">
      <c r="A17" s="15">
        <v>43900.75</v>
      </c>
      <c r="B17" s="16" t="s">
        <v>25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6" t="s">
        <v>35</v>
      </c>
      <c r="O17" s="16" t="s">
        <v>36</v>
      </c>
    </row>
    <row r="18" spans="1:15" x14ac:dyDescent="0.3">
      <c r="A18" s="15">
        <v>43901.708333333336</v>
      </c>
      <c r="B18" s="16" t="s">
        <v>25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6" t="s">
        <v>37</v>
      </c>
      <c r="O18" s="16" t="s">
        <v>38</v>
      </c>
    </row>
    <row r="19" spans="1:15" x14ac:dyDescent="0.3">
      <c r="A19" s="15">
        <v>43902.708333333336</v>
      </c>
      <c r="B19" s="16" t="s">
        <v>25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6" t="s">
        <v>32</v>
      </c>
      <c r="O19" s="16" t="s">
        <v>32</v>
      </c>
    </row>
    <row r="20" spans="1:15" x14ac:dyDescent="0.3">
      <c r="A20" s="15">
        <v>43903.708333333336</v>
      </c>
      <c r="B20" s="16" t="s">
        <v>25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6" t="s">
        <v>32</v>
      </c>
      <c r="O20" s="16" t="s">
        <v>32</v>
      </c>
    </row>
    <row r="21" spans="1:15" x14ac:dyDescent="0.3">
      <c r="A21" s="15">
        <v>43904.708333333336</v>
      </c>
      <c r="B21" s="16" t="s">
        <v>25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6" t="s">
        <v>32</v>
      </c>
      <c r="O21" s="16" t="s">
        <v>32</v>
      </c>
    </row>
    <row r="22" spans="1:15" x14ac:dyDescent="0.3">
      <c r="A22" s="15">
        <v>43905.708333333336</v>
      </c>
      <c r="B22" s="16" t="s">
        <v>25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6" t="s">
        <v>32</v>
      </c>
      <c r="O22" s="16" t="s">
        <v>32</v>
      </c>
    </row>
    <row r="23" spans="1:15" x14ac:dyDescent="0.3">
      <c r="A23" s="15">
        <v>43906.708333333336</v>
      </c>
      <c r="B23" s="16" t="s">
        <v>25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6" t="s">
        <v>39</v>
      </c>
      <c r="O23" s="16" t="s">
        <v>40</v>
      </c>
    </row>
    <row r="24" spans="1:15" x14ac:dyDescent="0.3">
      <c r="A24" s="15">
        <v>43907.708333333336</v>
      </c>
      <c r="B24" s="16" t="s">
        <v>25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6" t="s">
        <v>41</v>
      </c>
      <c r="O24" s="16" t="s">
        <v>42</v>
      </c>
    </row>
    <row r="25" spans="1:15" x14ac:dyDescent="0.3">
      <c r="A25" s="15">
        <v>43908.708333333336</v>
      </c>
      <c r="B25" s="16" t="s">
        <v>25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6" t="s">
        <v>43</v>
      </c>
      <c r="O25" s="16" t="s">
        <v>44</v>
      </c>
    </row>
    <row r="26" spans="1:15" x14ac:dyDescent="0.3">
      <c r="A26" s="15">
        <v>43909.708333333336</v>
      </c>
      <c r="B26" s="16" t="s">
        <v>25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6" t="s">
        <v>32</v>
      </c>
      <c r="O26" s="16" t="s">
        <v>32</v>
      </c>
    </row>
    <row r="27" spans="1:15" x14ac:dyDescent="0.3">
      <c r="A27" s="15">
        <v>43910.708333333336</v>
      </c>
      <c r="B27" s="16" t="s">
        <v>25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6" t="s">
        <v>32</v>
      </c>
      <c r="O27" s="16" t="s">
        <v>32</v>
      </c>
    </row>
    <row r="28" spans="1:15" x14ac:dyDescent="0.3">
      <c r="A28" s="15">
        <v>43911.708333333336</v>
      </c>
      <c r="B28" s="16" t="s">
        <v>25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6" t="s">
        <v>32</v>
      </c>
      <c r="O28" s="16" t="s">
        <v>32</v>
      </c>
    </row>
    <row r="29" spans="1:15" x14ac:dyDescent="0.3">
      <c r="A29" s="15">
        <v>43912.708333333336</v>
      </c>
      <c r="B29" s="16" t="s">
        <v>25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6" t="s">
        <v>32</v>
      </c>
      <c r="O29" s="16" t="s">
        <v>32</v>
      </c>
    </row>
    <row r="30" spans="1:15" x14ac:dyDescent="0.3">
      <c r="A30" s="15">
        <v>43913.708333333336</v>
      </c>
      <c r="B30" s="16" t="s">
        <v>25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6" t="s">
        <v>32</v>
      </c>
      <c r="O30" s="16" t="s">
        <v>32</v>
      </c>
    </row>
    <row r="31" spans="1:15" x14ac:dyDescent="0.3">
      <c r="A31" s="15">
        <v>43914.708333333336</v>
      </c>
      <c r="B31" s="16" t="s">
        <v>25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6" t="s">
        <v>32</v>
      </c>
      <c r="O31" s="16" t="s">
        <v>32</v>
      </c>
    </row>
    <row r="32" spans="1:15" x14ac:dyDescent="0.3">
      <c r="A32" s="15">
        <v>43915.708333333336</v>
      </c>
      <c r="B32" s="16" t="s">
        <v>25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6" t="s">
        <v>32</v>
      </c>
      <c r="O32" s="16" t="s">
        <v>32</v>
      </c>
    </row>
    <row r="33" spans="1:15" x14ac:dyDescent="0.3">
      <c r="A33" s="15">
        <v>43916.708333333336</v>
      </c>
      <c r="B33" s="16" t="s">
        <v>25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6" t="s">
        <v>45</v>
      </c>
      <c r="O33" s="16" t="s">
        <v>46</v>
      </c>
    </row>
    <row r="34" spans="1:15" x14ac:dyDescent="0.3">
      <c r="A34" s="15">
        <v>43917.708333333336</v>
      </c>
      <c r="B34" s="16" t="s">
        <v>25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6" t="s">
        <v>32</v>
      </c>
      <c r="O34" s="16" t="s">
        <v>32</v>
      </c>
    </row>
    <row r="35" spans="1:15" x14ac:dyDescent="0.3">
      <c r="A35" s="15">
        <v>43918.708333333336</v>
      </c>
      <c r="B35" s="16" t="s">
        <v>25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6" t="s">
        <v>32</v>
      </c>
      <c r="O35" s="16" t="s">
        <v>32</v>
      </c>
    </row>
    <row r="36" spans="1:15" x14ac:dyDescent="0.3">
      <c r="A36" s="15">
        <v>43919.708333333336</v>
      </c>
      <c r="B36" s="16" t="s">
        <v>25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6" t="s">
        <v>51</v>
      </c>
      <c r="O36" s="16" t="s">
        <v>52</v>
      </c>
    </row>
    <row r="37" spans="1:15" x14ac:dyDescent="0.3">
      <c r="A37" s="15">
        <v>43920.708333333336</v>
      </c>
      <c r="B37" s="16" t="s">
        <v>25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6" t="s">
        <v>32</v>
      </c>
      <c r="O37" s="16" t="s">
        <v>32</v>
      </c>
    </row>
    <row r="38" spans="1:15" x14ac:dyDescent="0.3">
      <c r="A38" s="15">
        <v>43921.708333333336</v>
      </c>
      <c r="B38" s="16" t="s">
        <v>25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6" t="s">
        <v>32</v>
      </c>
      <c r="O38" s="16" t="s">
        <v>32</v>
      </c>
    </row>
    <row r="39" spans="1:15" x14ac:dyDescent="0.3">
      <c r="A39" s="15">
        <v>43922.708333333336</v>
      </c>
      <c r="B39" s="16" t="s">
        <v>25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6" t="s">
        <v>32</v>
      </c>
      <c r="O39" s="16" t="s">
        <v>32</v>
      </c>
    </row>
    <row r="40" spans="1:15" x14ac:dyDescent="0.3">
      <c r="A40" s="15">
        <v>43923.708333333336</v>
      </c>
      <c r="B40" s="16" t="s">
        <v>25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6" t="s">
        <v>32</v>
      </c>
      <c r="O40" s="16" t="s">
        <v>32</v>
      </c>
    </row>
    <row r="41" spans="1:15" x14ac:dyDescent="0.3">
      <c r="A41" s="15">
        <v>43924.708333333336</v>
      </c>
      <c r="B41" s="16" t="s">
        <v>25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6" t="s">
        <v>32</v>
      </c>
      <c r="O41" s="1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B70"/>
  <sheetViews>
    <sheetView zoomScale="70" zoomScaleNormal="70" workbookViewId="0">
      <selection activeCell="AF8" activeCellId="1" sqref="AB6:AB22 AF8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5546875" style="2" bestFit="1" customWidth="1"/>
    <col min="5" max="5" width="11.77734375" style="2" bestFit="1" customWidth="1"/>
    <col min="6" max="6" width="10.21875" style="2" bestFit="1" customWidth="1"/>
    <col min="7" max="7" width="10.33203125" style="2" bestFit="1" customWidth="1"/>
    <col min="8" max="8" width="6.6640625" style="2" bestFit="1" customWidth="1"/>
    <col min="9" max="9" width="8.88671875" style="2" bestFit="1" customWidth="1"/>
    <col min="10" max="10" width="10.33203125" style="2" bestFit="1" customWidth="1"/>
    <col min="11" max="11" width="10.44140625" style="2" bestFit="1" customWidth="1"/>
    <col min="12" max="12" width="1.77734375" style="2" customWidth="1"/>
    <col min="13" max="13" width="11.777343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28" ht="31.2" x14ac:dyDescent="0.6">
      <c r="B2" s="12" t="s">
        <v>13</v>
      </c>
    </row>
    <row r="3" spans="2:28" ht="17.399999999999999" customHeight="1" x14ac:dyDescent="0.6">
      <c r="B3" s="12"/>
      <c r="O3" s="18" t="s">
        <v>0</v>
      </c>
      <c r="P3" s="17" t="s">
        <v>54</v>
      </c>
      <c r="Q3" s="23"/>
      <c r="R3" s="23"/>
    </row>
    <row r="4" spans="2:28" ht="20.399999999999999" x14ac:dyDescent="0.35">
      <c r="B4" s="13" t="s">
        <v>14</v>
      </c>
      <c r="C4" s="14"/>
      <c r="O4" s="18" t="s">
        <v>26</v>
      </c>
      <c r="P4" s="17" t="s">
        <v>55</v>
      </c>
      <c r="Q4" s="23"/>
      <c r="R4" s="23"/>
    </row>
    <row r="5" spans="2:28" ht="18.600000000000001" thickBot="1" x14ac:dyDescent="0.4">
      <c r="B5" s="13" t="s">
        <v>53</v>
      </c>
      <c r="O5" s="18" t="s">
        <v>1</v>
      </c>
      <c r="P5" s="17" t="s">
        <v>56</v>
      </c>
      <c r="Q5" s="23"/>
      <c r="R5" s="23"/>
    </row>
    <row r="6" spans="2:28" ht="28.8" x14ac:dyDescent="0.3">
      <c r="B6" s="4" t="s">
        <v>10</v>
      </c>
      <c r="C6" s="4" t="s">
        <v>11</v>
      </c>
      <c r="D6" s="4" t="s">
        <v>12</v>
      </c>
      <c r="E6" s="9" t="s">
        <v>47</v>
      </c>
      <c r="F6" s="9" t="s">
        <v>48</v>
      </c>
      <c r="G6" s="9" t="s">
        <v>49</v>
      </c>
      <c r="H6" s="4" t="s">
        <v>57</v>
      </c>
      <c r="I6" s="9" t="s">
        <v>58</v>
      </c>
      <c r="J6" s="9" t="s">
        <v>59</v>
      </c>
      <c r="K6" s="9" t="s">
        <v>60</v>
      </c>
      <c r="L6" s="9"/>
      <c r="M6" s="31" t="s">
        <v>50</v>
      </c>
      <c r="N6" s="3"/>
      <c r="O6" s="3"/>
      <c r="AB6" s="32" t="s">
        <v>73</v>
      </c>
    </row>
    <row r="7" spans="2:28" x14ac:dyDescent="0.3">
      <c r="B7" s="24">
        <v>43881</v>
      </c>
      <c r="C7" s="25">
        <v>1</v>
      </c>
      <c r="D7" s="26">
        <v>3</v>
      </c>
      <c r="E7" s="11">
        <f>K*EXP(-EXP(-($C7-t0)/w))</f>
        <v>86.93716395706241</v>
      </c>
      <c r="F7" s="11">
        <f>E7+CI</f>
        <v>4875.761386236114</v>
      </c>
      <c r="G7" s="11">
        <f>MAX(E7-CI,0)</f>
        <v>0</v>
      </c>
      <c r="H7" s="25">
        <v>0</v>
      </c>
      <c r="I7" s="11">
        <f>Kh*EXP(-EXP(-($C7-t0h)/wh))</f>
        <v>0.11882705347942583</v>
      </c>
      <c r="J7" s="11">
        <f>I7+CIh</f>
        <v>294.24346068746428</v>
      </c>
      <c r="K7" s="11">
        <f>MAX(I7-CIh,0)</f>
        <v>0</v>
      </c>
      <c r="L7" s="9"/>
      <c r="M7" s="19" t="s">
        <v>0</v>
      </c>
      <c r="N7" s="5">
        <v>359999</v>
      </c>
      <c r="O7" s="3"/>
      <c r="AB7" s="33">
        <f>MAX($N$13)</f>
        <v>0.99661127951998241</v>
      </c>
    </row>
    <row r="8" spans="2:28" ht="15.6" x14ac:dyDescent="0.35">
      <c r="B8" s="24">
        <v>43882</v>
      </c>
      <c r="C8" s="25">
        <v>2</v>
      </c>
      <c r="D8" s="26">
        <v>20</v>
      </c>
      <c r="E8" s="11">
        <f>K*EXP(-EXP(-($C8-t0)/w))</f>
        <v>128.62596015012463</v>
      </c>
      <c r="F8" s="11">
        <f>E8+CI</f>
        <v>4917.4501824291756</v>
      </c>
      <c r="G8" s="11">
        <f>MAX(E8-CI,0)</f>
        <v>0</v>
      </c>
      <c r="H8" s="25">
        <v>1</v>
      </c>
      <c r="I8" s="11">
        <f>Kh*EXP(-EXP(-($C8-t0h)/wh))</f>
        <v>0.24965733431501524</v>
      </c>
      <c r="J8" s="11">
        <f>I8+CIh</f>
        <v>294.37429096829987</v>
      </c>
      <c r="K8" s="11">
        <f>MAX(I8-CIh,0)</f>
        <v>0</v>
      </c>
      <c r="L8" s="9"/>
      <c r="M8" s="19" t="s">
        <v>27</v>
      </c>
      <c r="N8" s="5">
        <v>45</v>
      </c>
      <c r="O8" s="3"/>
      <c r="AB8" s="34">
        <f>COUNT($N$7,$N$8,$N$9)</f>
        <v>3</v>
      </c>
    </row>
    <row r="9" spans="2:28" x14ac:dyDescent="0.3">
      <c r="B9" s="24">
        <v>43883</v>
      </c>
      <c r="C9" s="25">
        <v>3</v>
      </c>
      <c r="D9" s="26">
        <v>62</v>
      </c>
      <c r="E9" s="11">
        <f>K*EXP(-EXP(-($C9-t0)/w))</f>
        <v>186.83161771826988</v>
      </c>
      <c r="F9" s="11">
        <f>E9+CI</f>
        <v>4975.655839997321</v>
      </c>
      <c r="G9" s="11">
        <f>MAX(E9-CI,0)</f>
        <v>0</v>
      </c>
      <c r="H9" s="25">
        <v>2</v>
      </c>
      <c r="I9" s="11">
        <f>Kh*EXP(-EXP(-($C9-t0h)/wh))</f>
        <v>0.50218498404388723</v>
      </c>
      <c r="J9" s="11">
        <f>I9+CIh</f>
        <v>294.62681861802872</v>
      </c>
      <c r="K9" s="11">
        <f>MAX(I9-CIh,0)</f>
        <v>0</v>
      </c>
      <c r="L9" s="9"/>
      <c r="M9" s="19" t="s">
        <v>1</v>
      </c>
      <c r="N9" s="22">
        <v>20.757616281352906</v>
      </c>
      <c r="O9" s="3"/>
      <c r="AB9" s="34" t="b">
        <f>$N$7=INT($N$7)</f>
        <v>1</v>
      </c>
    </row>
    <row r="10" spans="2:28" x14ac:dyDescent="0.3">
      <c r="B10" s="24">
        <v>43884</v>
      </c>
      <c r="C10" s="25">
        <v>4</v>
      </c>
      <c r="D10" s="26">
        <v>155</v>
      </c>
      <c r="E10" s="11">
        <f>K*EXP(-EXP(-($C10-t0)/w))</f>
        <v>266.65334357743063</v>
      </c>
      <c r="F10" s="11">
        <f>E10+CI</f>
        <v>5055.4775658564822</v>
      </c>
      <c r="G10" s="11">
        <f>MAX(E10-CI,0)</f>
        <v>0</v>
      </c>
      <c r="H10" s="25">
        <v>3</v>
      </c>
      <c r="I10" s="11">
        <f>Kh*EXP(-EXP(-($C10-t0h)/wh))</f>
        <v>0.9695774520723458</v>
      </c>
      <c r="J10" s="11">
        <f>I10+CIh</f>
        <v>295.09421108605721</v>
      </c>
      <c r="K10" s="11">
        <f>MAX(I10-CIh,0)</f>
        <v>0</v>
      </c>
      <c r="L10" s="9"/>
      <c r="M10" s="6" t="s">
        <v>2</v>
      </c>
      <c r="N10" s="1">
        <f>AVERAGE(D7:D70)</f>
        <v>35436.86363636364</v>
      </c>
      <c r="O10" s="3"/>
      <c r="AB10" s="34" t="b">
        <f>$N$8=INT($N$8)</f>
        <v>1</v>
      </c>
    </row>
    <row r="11" spans="2:28" x14ac:dyDescent="0.3">
      <c r="B11" s="20">
        <v>43885</v>
      </c>
      <c r="C11" s="4">
        <v>5</v>
      </c>
      <c r="D11" s="4">
        <f>'dpc-covid-19-ita-andamento-naz'!L2</f>
        <v>229</v>
      </c>
      <c r="E11" s="11">
        <f t="shared" ref="E11:E42" si="0">K*EXP(-EXP(-($C11-t0)/w))</f>
        <v>374.26329711380623</v>
      </c>
      <c r="F11" s="11">
        <f t="shared" ref="F11:F33" si="1">E11+CI</f>
        <v>5163.0875193928578</v>
      </c>
      <c r="G11" s="11">
        <f t="shared" ref="G11:G37" si="2">MAX(E11-CI,0)</f>
        <v>0</v>
      </c>
      <c r="H11" s="4">
        <f>'dpc-covid-19-ita-andamento-naz'!K2</f>
        <v>7</v>
      </c>
      <c r="I11" s="11">
        <f t="shared" ref="I11:I42" si="3">Kh*EXP(-EXP(-($C11-t0h)/wh))</f>
        <v>1.8011282644881041</v>
      </c>
      <c r="J11" s="11">
        <f t="shared" ref="J11:J44" si="4">I11+CIh</f>
        <v>295.92576189847296</v>
      </c>
      <c r="K11" s="11">
        <f t="shared" ref="K11:K44" si="5">MAX(I11-CIh,0)</f>
        <v>0</v>
      </c>
      <c r="L11" s="1"/>
      <c r="M11" s="6" t="s">
        <v>3</v>
      </c>
      <c r="N11" s="1">
        <f>COUNT(D7:D70)-COUNT(N7:N9)</f>
        <v>41</v>
      </c>
      <c r="AB11" s="34">
        <f>{32767;32767;0.000001;0;FALSE;FALSE;FALSE;1;2;1;0.0001;TRUE}</f>
        <v>32767</v>
      </c>
    </row>
    <row r="12" spans="2:28" x14ac:dyDescent="0.3">
      <c r="B12" s="10">
        <v>43886</v>
      </c>
      <c r="C12" s="4">
        <v>6</v>
      </c>
      <c r="D12" s="4">
        <f>'dpc-covid-19-ita-andamento-naz'!L3</f>
        <v>322</v>
      </c>
      <c r="E12" s="11">
        <f t="shared" si="0"/>
        <v>516.99072837463268</v>
      </c>
      <c r="F12" s="11">
        <f t="shared" si="1"/>
        <v>5305.8149506536838</v>
      </c>
      <c r="G12" s="11">
        <f t="shared" si="2"/>
        <v>0</v>
      </c>
      <c r="H12" s="4">
        <f>'dpc-covid-19-ita-andamento-naz'!K3</f>
        <v>10</v>
      </c>
      <c r="I12" s="11">
        <f t="shared" si="3"/>
        <v>3.2265088347861099</v>
      </c>
      <c r="J12" s="11">
        <f t="shared" si="4"/>
        <v>297.35114246877095</v>
      </c>
      <c r="K12" s="11">
        <f t="shared" si="5"/>
        <v>0</v>
      </c>
      <c r="L12" s="1"/>
      <c r="M12" s="6" t="s">
        <v>4</v>
      </c>
      <c r="N12" s="7" cm="1">
        <f t="array" ref="N12">SQRT(SUM((D7:D50-E7:E50)^2)/df)</f>
        <v>2371.243907585811</v>
      </c>
      <c r="AB12" s="35">
        <f>{0;0;1;100;0;FALSE;FALSE;0.075;0;0;FALSE;30}</f>
        <v>0</v>
      </c>
    </row>
    <row r="13" spans="2:28" ht="16.2" x14ac:dyDescent="0.3">
      <c r="B13" s="10">
        <v>43887</v>
      </c>
      <c r="C13" s="4">
        <v>7</v>
      </c>
      <c r="D13" s="4">
        <f>'dpc-covid-19-ita-andamento-naz'!L4</f>
        <v>400</v>
      </c>
      <c r="E13" s="11">
        <f t="shared" si="0"/>
        <v>703.37879165663821</v>
      </c>
      <c r="F13" s="11">
        <f t="shared" si="1"/>
        <v>5492.2030139356893</v>
      </c>
      <c r="G13" s="11">
        <f t="shared" si="2"/>
        <v>0</v>
      </c>
      <c r="H13" s="4">
        <f>'dpc-covid-19-ita-andamento-naz'!K4</f>
        <v>12</v>
      </c>
      <c r="I13" s="11">
        <f t="shared" si="3"/>
        <v>5.5856311963770571</v>
      </c>
      <c r="J13" s="11">
        <f t="shared" si="4"/>
        <v>299.71026483036189</v>
      </c>
      <c r="K13" s="11">
        <f t="shared" si="5"/>
        <v>0</v>
      </c>
      <c r="L13" s="1"/>
      <c r="M13" s="6" t="s">
        <v>5</v>
      </c>
      <c r="N13" s="8" cm="1">
        <f t="array" ref="N13">1-SUM((D7:D50-E7:E50)^2)/SUM((D7:D50-Mean_of_y)^2)</f>
        <v>0.99661127951998241</v>
      </c>
      <c r="AB13" s="36"/>
    </row>
    <row r="14" spans="2:28" x14ac:dyDescent="0.3">
      <c r="B14" s="10">
        <v>43888</v>
      </c>
      <c r="C14" s="4">
        <v>8</v>
      </c>
      <c r="D14" s="4">
        <f>'dpc-covid-19-ita-andamento-naz'!L5</f>
        <v>650</v>
      </c>
      <c r="E14" s="11">
        <f t="shared" si="0"/>
        <v>943.2073028236091</v>
      </c>
      <c r="F14" s="11">
        <f t="shared" si="1"/>
        <v>5732.0315251026605</v>
      </c>
      <c r="G14" s="11">
        <f t="shared" si="2"/>
        <v>0</v>
      </c>
      <c r="H14" s="4">
        <f>'dpc-covid-19-ita-andamento-naz'!K5</f>
        <v>17</v>
      </c>
      <c r="I14" s="11">
        <f t="shared" si="3"/>
        <v>9.3634022442080429</v>
      </c>
      <c r="J14" s="11">
        <f t="shared" si="4"/>
        <v>303.48803587819287</v>
      </c>
      <c r="K14" s="11">
        <f t="shared" si="5"/>
        <v>0</v>
      </c>
      <c r="L14" s="1"/>
      <c r="M14" s="6" t="s">
        <v>6</v>
      </c>
      <c r="N14" s="8">
        <f>TINV(0.05,df)</f>
        <v>2.0195409704413767</v>
      </c>
      <c r="AB14" s="37"/>
    </row>
    <row r="15" spans="2:28" x14ac:dyDescent="0.3">
      <c r="B15" s="10">
        <v>43889</v>
      </c>
      <c r="C15" s="4">
        <v>9</v>
      </c>
      <c r="D15" s="4">
        <f>'dpc-covid-19-ita-andamento-naz'!L6</f>
        <v>888</v>
      </c>
      <c r="E15" s="11">
        <f t="shared" si="0"/>
        <v>1247.4759575526189</v>
      </c>
      <c r="F15" s="11">
        <f t="shared" si="1"/>
        <v>6036.30017983167</v>
      </c>
      <c r="G15" s="11">
        <f t="shared" si="2"/>
        <v>0</v>
      </c>
      <c r="H15" s="4">
        <f>'dpc-covid-19-ita-andamento-naz'!K6</f>
        <v>21</v>
      </c>
      <c r="I15" s="11">
        <f t="shared" si="3"/>
        <v>15.227790765331269</v>
      </c>
      <c r="J15" s="11">
        <f t="shared" si="4"/>
        <v>309.35242439931613</v>
      </c>
      <c r="K15" s="11">
        <f t="shared" si="5"/>
        <v>0</v>
      </c>
      <c r="L15" s="1"/>
      <c r="M15" s="6" t="s">
        <v>7</v>
      </c>
      <c r="N15" s="1">
        <f>Critical_t*SE_of_y</f>
        <v>4788.8242222790514</v>
      </c>
      <c r="AB15" s="37"/>
    </row>
    <row r="16" spans="2:28" ht="15" thickBot="1" x14ac:dyDescent="0.35">
      <c r="B16" s="10">
        <v>43890</v>
      </c>
      <c r="C16" s="4">
        <v>10</v>
      </c>
      <c r="D16" s="4">
        <f>'dpc-covid-19-ita-andamento-naz'!L7</f>
        <v>1128</v>
      </c>
      <c r="E16" s="11">
        <f t="shared" si="0"/>
        <v>1628.3442339734879</v>
      </c>
      <c r="F16" s="11">
        <f t="shared" si="1"/>
        <v>6417.1684562525388</v>
      </c>
      <c r="G16" s="11">
        <f t="shared" si="2"/>
        <v>0</v>
      </c>
      <c r="H16" s="4">
        <f>'dpc-covid-19-ita-andamento-naz'!K7</f>
        <v>29</v>
      </c>
      <c r="I16" s="11">
        <f t="shared" si="3"/>
        <v>24.06875416972149</v>
      </c>
      <c r="J16" s="11">
        <f t="shared" si="4"/>
        <v>318.19338780370634</v>
      </c>
      <c r="K16" s="11">
        <f t="shared" si="5"/>
        <v>0</v>
      </c>
      <c r="L16" s="1"/>
      <c r="M16" s="6"/>
      <c r="AB16" s="38"/>
    </row>
    <row r="17" spans="2:28" ht="15" thickTop="1" x14ac:dyDescent="0.3">
      <c r="B17" s="20">
        <v>43891</v>
      </c>
      <c r="C17" s="4">
        <v>11</v>
      </c>
      <c r="D17" s="4">
        <f>'dpc-covid-19-ita-andamento-naz'!L8</f>
        <v>1694</v>
      </c>
      <c r="E17" s="11">
        <f t="shared" si="0"/>
        <v>2099.0262478582822</v>
      </c>
      <c r="F17" s="11">
        <f t="shared" si="1"/>
        <v>6887.8504701373331</v>
      </c>
      <c r="G17" s="11">
        <f t="shared" si="2"/>
        <v>0</v>
      </c>
      <c r="H17" s="4">
        <f>'dpc-covid-19-ita-andamento-naz'!K8</f>
        <v>34</v>
      </c>
      <c r="I17" s="11">
        <f t="shared" si="3"/>
        <v>37.03482082150034</v>
      </c>
      <c r="J17" s="11">
        <f t="shared" si="4"/>
        <v>331.15945445548516</v>
      </c>
      <c r="K17" s="11">
        <f t="shared" si="5"/>
        <v>0</v>
      </c>
      <c r="L17" s="1"/>
      <c r="M17" s="21" t="s">
        <v>57</v>
      </c>
      <c r="N17" s="3"/>
      <c r="AB17" s="39">
        <f>MAX($N$24)</f>
        <v>0.99905224845519558</v>
      </c>
    </row>
    <row r="18" spans="2:28" x14ac:dyDescent="0.3">
      <c r="B18" s="10">
        <v>43892</v>
      </c>
      <c r="C18" s="4">
        <v>12</v>
      </c>
      <c r="D18" s="4">
        <f>'dpc-covid-19-ita-andamento-naz'!L9</f>
        <v>2036</v>
      </c>
      <c r="E18" s="11">
        <f t="shared" si="0"/>
        <v>2673.6410631060298</v>
      </c>
      <c r="F18" s="11">
        <f t="shared" si="1"/>
        <v>7462.4652853850812</v>
      </c>
      <c r="G18" s="11">
        <f t="shared" si="2"/>
        <v>0</v>
      </c>
      <c r="H18" s="4">
        <f>'dpc-covid-19-ita-andamento-naz'!K9</f>
        <v>52</v>
      </c>
      <c r="I18" s="11">
        <f t="shared" si="3"/>
        <v>55.563634157826336</v>
      </c>
      <c r="J18" s="11">
        <f t="shared" si="4"/>
        <v>349.6882677918112</v>
      </c>
      <c r="K18" s="11">
        <f t="shared" si="5"/>
        <v>0</v>
      </c>
      <c r="L18" s="1"/>
      <c r="M18" s="19" t="s">
        <v>0</v>
      </c>
      <c r="N18" s="5">
        <v>37383</v>
      </c>
      <c r="AB18" s="40">
        <f>COUNT($N$18,$N$19,$N$20)</f>
        <v>3</v>
      </c>
    </row>
    <row r="19" spans="2:28" ht="15.6" x14ac:dyDescent="0.35">
      <c r="B19" s="10">
        <v>43893</v>
      </c>
      <c r="C19" s="4">
        <v>13</v>
      </c>
      <c r="D19" s="4">
        <f>'dpc-covid-19-ita-andamento-naz'!L10</f>
        <v>2502</v>
      </c>
      <c r="E19" s="11">
        <f t="shared" si="0"/>
        <v>3367.0212223414378</v>
      </c>
      <c r="F19" s="11">
        <f t="shared" si="1"/>
        <v>8155.8454446204887</v>
      </c>
      <c r="G19" s="11">
        <f t="shared" si="2"/>
        <v>0</v>
      </c>
      <c r="H19" s="4">
        <f>'dpc-covid-19-ita-andamento-naz'!K10</f>
        <v>79</v>
      </c>
      <c r="I19" s="11">
        <f t="shared" si="3"/>
        <v>81.40264652864559</v>
      </c>
      <c r="J19" s="11">
        <f t="shared" si="4"/>
        <v>375.5272801626304</v>
      </c>
      <c r="K19" s="11">
        <f t="shared" si="5"/>
        <v>0</v>
      </c>
      <c r="L19" s="1"/>
      <c r="M19" s="19" t="s">
        <v>27</v>
      </c>
      <c r="N19" s="5">
        <v>43</v>
      </c>
      <c r="AB19" s="40" t="b">
        <f>$N$18=INT($N$18)</f>
        <v>1</v>
      </c>
    </row>
    <row r="20" spans="2:28" x14ac:dyDescent="0.3">
      <c r="B20" s="10">
        <v>43894</v>
      </c>
      <c r="C20" s="4">
        <v>14</v>
      </c>
      <c r="D20" s="4">
        <f>'dpc-covid-19-ita-andamento-naz'!L11</f>
        <v>3089</v>
      </c>
      <c r="E20" s="11">
        <f t="shared" si="0"/>
        <v>4194.4843918599036</v>
      </c>
      <c r="F20" s="11">
        <f t="shared" si="1"/>
        <v>8983.308614138954</v>
      </c>
      <c r="G20" s="11">
        <f t="shared" si="2"/>
        <v>0</v>
      </c>
      <c r="H20" s="4">
        <f>'dpc-covid-19-ita-andamento-naz'!K11</f>
        <v>107</v>
      </c>
      <c r="I20" s="11">
        <f t="shared" si="3"/>
        <v>116.61646353996667</v>
      </c>
      <c r="J20" s="11">
        <f t="shared" si="4"/>
        <v>410.74109717395152</v>
      </c>
      <c r="K20" s="11">
        <f t="shared" si="5"/>
        <v>0</v>
      </c>
      <c r="L20" s="1"/>
      <c r="M20" s="19" t="s">
        <v>1</v>
      </c>
      <c r="N20" s="22">
        <v>16.546031861959616</v>
      </c>
      <c r="AB20" s="40" t="b">
        <f>$N$19=INT($N$19)</f>
        <v>1</v>
      </c>
    </row>
    <row r="21" spans="2:28" x14ac:dyDescent="0.3">
      <c r="B21" s="20">
        <v>43895</v>
      </c>
      <c r="C21" s="4">
        <v>15</v>
      </c>
      <c r="D21" s="4">
        <f>'dpc-covid-19-ita-andamento-naz'!L12</f>
        <v>3858</v>
      </c>
      <c r="E21" s="11">
        <f t="shared" si="0"/>
        <v>5171.5748686790412</v>
      </c>
      <c r="F21" s="11">
        <f t="shared" si="1"/>
        <v>9960.3990909580934</v>
      </c>
      <c r="G21" s="11">
        <f t="shared" si="2"/>
        <v>382.75064639998982</v>
      </c>
      <c r="H21" s="4">
        <f>'dpc-covid-19-ita-andamento-naz'!K12</f>
        <v>148</v>
      </c>
      <c r="I21" s="11">
        <f t="shared" si="3"/>
        <v>163.57807985703343</v>
      </c>
      <c r="J21" s="11">
        <f t="shared" si="4"/>
        <v>457.70271349101824</v>
      </c>
      <c r="K21" s="11">
        <f t="shared" si="5"/>
        <v>0</v>
      </c>
      <c r="L21" s="1"/>
      <c r="M21" s="6" t="s">
        <v>2</v>
      </c>
      <c r="N21" s="1">
        <f>AVERAGE(H7:H70)</f>
        <v>3600.431818181818</v>
      </c>
      <c r="AB21" s="40">
        <f>{32767;32767;0.000001;0;FALSE;FALSE;FALSE;1;2;1;0.0001;TRUE}</f>
        <v>32767</v>
      </c>
    </row>
    <row r="22" spans="2:28" ht="15" thickBot="1" x14ac:dyDescent="0.35">
      <c r="B22" s="10">
        <v>43896</v>
      </c>
      <c r="C22" s="4">
        <v>16</v>
      </c>
      <c r="D22" s="4">
        <f>'dpc-covid-19-ita-andamento-naz'!L13</f>
        <v>4636</v>
      </c>
      <c r="E22" s="11">
        <f t="shared" si="0"/>
        <v>6313.7831604294515</v>
      </c>
      <c r="F22" s="11">
        <f t="shared" si="1"/>
        <v>11102.607382708502</v>
      </c>
      <c r="G22" s="11">
        <f t="shared" si="2"/>
        <v>1524.9589381504002</v>
      </c>
      <c r="H22" s="4">
        <f>'dpc-covid-19-ita-andamento-naz'!K13</f>
        <v>197</v>
      </c>
      <c r="I22" s="11">
        <f t="shared" si="3"/>
        <v>224.942347262265</v>
      </c>
      <c r="J22" s="11">
        <f t="shared" si="4"/>
        <v>519.06698089624979</v>
      </c>
      <c r="K22" s="11">
        <f t="shared" si="5"/>
        <v>0</v>
      </c>
      <c r="L22" s="1"/>
      <c r="M22" s="6" t="s">
        <v>3</v>
      </c>
      <c r="N22" s="1">
        <f>COUNT(H7:H70)-COUNT(N18:N20)</f>
        <v>41</v>
      </c>
      <c r="AB22" s="41">
        <f>{0;0;1;100;0;FALSE;FALSE;0.075;0;0;FALSE;30}</f>
        <v>0</v>
      </c>
    </row>
    <row r="23" spans="2:28" x14ac:dyDescent="0.3">
      <c r="B23" s="10">
        <v>43897</v>
      </c>
      <c r="C23" s="4">
        <v>17</v>
      </c>
      <c r="D23" s="4">
        <f>'dpc-covid-19-ita-andamento-naz'!L14</f>
        <v>5883</v>
      </c>
      <c r="E23" s="11">
        <f t="shared" si="0"/>
        <v>7636.2528427956513</v>
      </c>
      <c r="F23" s="11">
        <f t="shared" si="1"/>
        <v>12425.077065074704</v>
      </c>
      <c r="G23" s="11">
        <f t="shared" si="2"/>
        <v>2847.4286205165999</v>
      </c>
      <c r="H23" s="4">
        <f>'dpc-covid-19-ita-andamento-naz'!K14</f>
        <v>233</v>
      </c>
      <c r="I23" s="11">
        <f t="shared" si="3"/>
        <v>303.60135524106238</v>
      </c>
      <c r="J23" s="11">
        <f t="shared" si="4"/>
        <v>597.72598887504728</v>
      </c>
      <c r="K23" s="11">
        <f t="shared" si="5"/>
        <v>9.4767216070775362</v>
      </c>
      <c r="L23" s="1"/>
      <c r="M23" s="6" t="s">
        <v>4</v>
      </c>
      <c r="N23" s="7" cm="1">
        <f t="array" ref="N23">SQRT(SUM((H7:H50-I7:I50)^2)/dfh)</f>
        <v>145.63934970316697</v>
      </c>
    </row>
    <row r="24" spans="2:28" ht="16.2" x14ac:dyDescent="0.3">
      <c r="B24" s="20">
        <v>43898</v>
      </c>
      <c r="C24" s="4">
        <v>18</v>
      </c>
      <c r="D24" s="4">
        <f>'dpc-covid-19-ita-andamento-naz'!L15</f>
        <v>7375</v>
      </c>
      <c r="E24" s="11">
        <f t="shared" si="0"/>
        <v>9153.4843853731309</v>
      </c>
      <c r="F24" s="11">
        <f t="shared" si="1"/>
        <v>13942.308607652183</v>
      </c>
      <c r="G24" s="11">
        <f t="shared" si="2"/>
        <v>4364.6601630940795</v>
      </c>
      <c r="H24" s="4">
        <f>'dpc-covid-19-ita-andamento-naz'!K15</f>
        <v>366</v>
      </c>
      <c r="I24" s="11">
        <f t="shared" si="3"/>
        <v>402.62283143830064</v>
      </c>
      <c r="J24" s="11">
        <f t="shared" si="4"/>
        <v>696.74746507228542</v>
      </c>
      <c r="K24" s="11">
        <f t="shared" si="5"/>
        <v>108.49819780431579</v>
      </c>
      <c r="L24" s="1"/>
      <c r="M24" s="6" t="s">
        <v>5</v>
      </c>
      <c r="N24" s="8" cm="1">
        <f t="array" ref="N24">1-SUM((H7:H50-I7:I50)^2)/SUM((H7:H50-Mean_of_yh)^2)</f>
        <v>0.99905224845519558</v>
      </c>
    </row>
    <row r="25" spans="2:28" x14ac:dyDescent="0.3">
      <c r="B25" s="10">
        <v>43899</v>
      </c>
      <c r="C25" s="4">
        <v>19</v>
      </c>
      <c r="D25" s="4">
        <f>'dpc-covid-19-ita-andamento-naz'!L16</f>
        <v>9172</v>
      </c>
      <c r="E25" s="11">
        <f t="shared" si="0"/>
        <v>10879.045615228502</v>
      </c>
      <c r="F25" s="11">
        <f t="shared" si="1"/>
        <v>15667.869837507555</v>
      </c>
      <c r="G25" s="11">
        <f t="shared" si="2"/>
        <v>6090.221392949451</v>
      </c>
      <c r="H25" s="4">
        <f>'dpc-covid-19-ita-andamento-naz'!K16</f>
        <v>463</v>
      </c>
      <c r="I25" s="11">
        <f t="shared" si="3"/>
        <v>525.17402437061958</v>
      </c>
      <c r="J25" s="11">
        <f t="shared" si="4"/>
        <v>819.29865800460448</v>
      </c>
      <c r="K25" s="11">
        <f t="shared" si="5"/>
        <v>231.04939073663473</v>
      </c>
      <c r="L25" s="1"/>
      <c r="M25" s="6" t="s">
        <v>6</v>
      </c>
      <c r="N25" s="8">
        <f>TINV(0.05,dfh)</f>
        <v>2.0195409704413767</v>
      </c>
    </row>
    <row r="26" spans="2:28" x14ac:dyDescent="0.3">
      <c r="B26" s="20">
        <v>43900</v>
      </c>
      <c r="C26" s="4">
        <v>20</v>
      </c>
      <c r="D26" s="4">
        <f>'dpc-covid-19-ita-andamento-naz'!L17</f>
        <v>10149</v>
      </c>
      <c r="E26" s="11">
        <f t="shared" si="0"/>
        <v>12825.297993025988</v>
      </c>
      <c r="F26" s="11">
        <f t="shared" si="1"/>
        <v>17614.12221530504</v>
      </c>
      <c r="G26" s="11">
        <f t="shared" si="2"/>
        <v>8036.4737707469367</v>
      </c>
      <c r="H26" s="4">
        <f>'dpc-covid-19-ita-andamento-naz'!K17</f>
        <v>631</v>
      </c>
      <c r="I26" s="11">
        <f t="shared" si="3"/>
        <v>674.43467018605986</v>
      </c>
      <c r="J26" s="11">
        <f t="shared" si="4"/>
        <v>968.55930382004476</v>
      </c>
      <c r="K26" s="11">
        <f t="shared" si="5"/>
        <v>380.31003655207502</v>
      </c>
      <c r="L26" s="1"/>
      <c r="M26" s="6" t="s">
        <v>7</v>
      </c>
      <c r="N26" s="1">
        <f>Critical_th*SE_of_yh</f>
        <v>294.12463363398484</v>
      </c>
    </row>
    <row r="27" spans="2:28" x14ac:dyDescent="0.3">
      <c r="B27" s="10">
        <v>43901</v>
      </c>
      <c r="C27" s="4">
        <v>21</v>
      </c>
      <c r="D27" s="4">
        <f>'dpc-covid-19-ita-andamento-naz'!L18</f>
        <v>12462</v>
      </c>
      <c r="E27" s="11">
        <f t="shared" si="0"/>
        <v>15003.146972385048</v>
      </c>
      <c r="F27" s="11">
        <f t="shared" si="1"/>
        <v>19791.9711946641</v>
      </c>
      <c r="G27" s="11">
        <f t="shared" si="2"/>
        <v>10214.322750105996</v>
      </c>
      <c r="H27" s="4">
        <f>'dpc-covid-19-ita-andamento-naz'!K18</f>
        <v>827</v>
      </c>
      <c r="I27" s="11">
        <f t="shared" si="3"/>
        <v>853.5034600464121</v>
      </c>
      <c r="J27" s="11">
        <f t="shared" si="4"/>
        <v>1147.6280936803969</v>
      </c>
      <c r="K27" s="11">
        <f t="shared" si="5"/>
        <v>559.37882641242732</v>
      </c>
      <c r="L27" s="1"/>
      <c r="M27" s="6"/>
    </row>
    <row r="28" spans="2:28" x14ac:dyDescent="0.3">
      <c r="B28" s="20">
        <v>43902</v>
      </c>
      <c r="C28" s="4">
        <v>22</v>
      </c>
      <c r="D28" s="4">
        <f>'dpc-covid-19-ita-andamento-naz'!L19</f>
        <v>15113</v>
      </c>
      <c r="E28" s="11">
        <f t="shared" si="0"/>
        <v>17421.823482310039</v>
      </c>
      <c r="F28" s="11">
        <f t="shared" si="1"/>
        <v>22210.64770458909</v>
      </c>
      <c r="G28" s="11">
        <f t="shared" si="2"/>
        <v>12632.999260030989</v>
      </c>
      <c r="H28" s="4">
        <f>'dpc-covid-19-ita-andamento-naz'!K19</f>
        <v>1016</v>
      </c>
      <c r="I28" s="11">
        <f t="shared" si="3"/>
        <v>1065.3028516437168</v>
      </c>
      <c r="J28" s="11">
        <f t="shared" si="4"/>
        <v>1359.4274852777016</v>
      </c>
      <c r="K28" s="11">
        <f t="shared" si="5"/>
        <v>771.17821800973206</v>
      </c>
      <c r="L28" s="1"/>
      <c r="M28" s="6"/>
    </row>
    <row r="29" spans="2:28" x14ac:dyDescent="0.3">
      <c r="B29" s="10">
        <v>43903</v>
      </c>
      <c r="C29" s="4">
        <v>23</v>
      </c>
      <c r="D29" s="4">
        <f>'dpc-covid-19-ita-andamento-naz'!L20</f>
        <v>17660</v>
      </c>
      <c r="E29" s="11">
        <f t="shared" si="0"/>
        <v>20088.702109739803</v>
      </c>
      <c r="F29" s="11">
        <f t="shared" si="1"/>
        <v>24877.526332018853</v>
      </c>
      <c r="G29" s="11">
        <f t="shared" si="2"/>
        <v>15299.877887460752</v>
      </c>
      <c r="H29" s="4">
        <f>'dpc-covid-19-ita-andamento-naz'!K20</f>
        <v>1266</v>
      </c>
      <c r="I29" s="11">
        <f t="shared" si="3"/>
        <v>1312.4870929625508</v>
      </c>
      <c r="J29" s="11">
        <f t="shared" si="4"/>
        <v>1606.6117265965356</v>
      </c>
      <c r="K29" s="11">
        <f t="shared" si="5"/>
        <v>1018.362459328566</v>
      </c>
      <c r="L29" s="1"/>
    </row>
    <row r="30" spans="2:28" x14ac:dyDescent="0.3">
      <c r="B30" s="10">
        <v>43904</v>
      </c>
      <c r="C30" s="4">
        <v>24</v>
      </c>
      <c r="D30" s="4">
        <f>'dpc-covid-19-ita-andamento-naz'!L21</f>
        <v>21157</v>
      </c>
      <c r="E30" s="11">
        <f t="shared" si="0"/>
        <v>23009.159962461632</v>
      </c>
      <c r="F30" s="11">
        <f t="shared" si="1"/>
        <v>27797.984184740682</v>
      </c>
      <c r="G30" s="11">
        <f t="shared" si="2"/>
        <v>18220.335740182582</v>
      </c>
      <c r="H30" s="4">
        <f>'dpc-covid-19-ita-andamento-naz'!K21</f>
        <v>1441</v>
      </c>
      <c r="I30" s="11">
        <f t="shared" si="3"/>
        <v>1597.3579786059868</v>
      </c>
      <c r="J30" s="11">
        <f t="shared" si="4"/>
        <v>1891.4826122399716</v>
      </c>
      <c r="K30" s="11">
        <f t="shared" si="5"/>
        <v>1303.233344972002</v>
      </c>
      <c r="L30" s="1"/>
    </row>
    <row r="31" spans="2:28" x14ac:dyDescent="0.3">
      <c r="B31" s="10">
        <v>43905</v>
      </c>
      <c r="C31" s="4">
        <v>25</v>
      </c>
      <c r="D31" s="4">
        <f>'dpc-covid-19-ita-andamento-naz'!L22</f>
        <v>24747</v>
      </c>
      <c r="E31" s="11">
        <f t="shared" si="0"/>
        <v>26186.478555921622</v>
      </c>
      <c r="F31" s="11">
        <f t="shared" si="1"/>
        <v>30975.302778200672</v>
      </c>
      <c r="G31" s="11">
        <f t="shared" si="2"/>
        <v>21397.654333642571</v>
      </c>
      <c r="H31" s="4">
        <f>'dpc-covid-19-ita-andamento-naz'!K22</f>
        <v>1809</v>
      </c>
      <c r="I31" s="11">
        <f t="shared" si="3"/>
        <v>1921.7922035511565</v>
      </c>
      <c r="J31" s="11">
        <f t="shared" si="4"/>
        <v>2215.9168371851415</v>
      </c>
      <c r="K31" s="11">
        <f t="shared" si="5"/>
        <v>1627.6675699171717</v>
      </c>
      <c r="L31" s="1"/>
    </row>
    <row r="32" spans="2:28" x14ac:dyDescent="0.3">
      <c r="B32" s="10">
        <v>43906</v>
      </c>
      <c r="C32" s="4">
        <v>26</v>
      </c>
      <c r="D32" s="4">
        <f>'dpc-covid-19-ita-andamento-naz'!L23</f>
        <v>27980</v>
      </c>
      <c r="E32" s="11">
        <f t="shared" si="0"/>
        <v>29621.789475383281</v>
      </c>
      <c r="F32" s="11">
        <f t="shared" si="1"/>
        <v>34410.613697662331</v>
      </c>
      <c r="G32" s="11">
        <f t="shared" si="2"/>
        <v>24832.96525310423</v>
      </c>
      <c r="H32" s="4">
        <f>'dpc-covid-19-ita-andamento-naz'!K23</f>
        <v>2158</v>
      </c>
      <c r="I32" s="11">
        <f t="shared" si="3"/>
        <v>2287.1833030777561</v>
      </c>
      <c r="J32" s="11">
        <f t="shared" si="4"/>
        <v>2581.3079367117411</v>
      </c>
      <c r="K32" s="11">
        <f t="shared" si="5"/>
        <v>1993.0586694437714</v>
      </c>
      <c r="L32" s="1"/>
    </row>
    <row r="33" spans="2:17" x14ac:dyDescent="0.3">
      <c r="B33" s="10">
        <v>43907</v>
      </c>
      <c r="C33" s="4">
        <v>27</v>
      </c>
      <c r="D33" s="4">
        <f>'dpc-covid-19-ita-andamento-naz'!L24</f>
        <v>31506</v>
      </c>
      <c r="E33" s="11">
        <f t="shared" si="0"/>
        <v>33314.063088385723</v>
      </c>
      <c r="F33" s="11">
        <f t="shared" si="1"/>
        <v>38102.887310664773</v>
      </c>
      <c r="G33" s="11">
        <f t="shared" si="2"/>
        <v>28525.238866106673</v>
      </c>
      <c r="H33" s="4">
        <f>'dpc-covid-19-ita-andamento-naz'!K24</f>
        <v>2503</v>
      </c>
      <c r="I33" s="11">
        <f t="shared" si="3"/>
        <v>2694.4001669679242</v>
      </c>
      <c r="J33" s="11">
        <f t="shared" si="4"/>
        <v>2988.5248006019092</v>
      </c>
      <c r="K33" s="11">
        <f t="shared" si="5"/>
        <v>2400.2755333339392</v>
      </c>
      <c r="L33" s="1"/>
    </row>
    <row r="34" spans="2:17" x14ac:dyDescent="0.3">
      <c r="B34" s="10">
        <v>43908</v>
      </c>
      <c r="C34" s="4">
        <v>28</v>
      </c>
      <c r="D34" s="4">
        <f>'dpc-covid-19-ita-andamento-naz'!L25</f>
        <v>35713</v>
      </c>
      <c r="E34" s="11">
        <f t="shared" si="0"/>
        <v>37260.138276520673</v>
      </c>
      <c r="F34" s="11">
        <f t="shared" ref="F34:F49" si="6">E34+CI</f>
        <v>42048.962498799723</v>
      </c>
      <c r="G34" s="11">
        <f t="shared" si="2"/>
        <v>32471.314054241622</v>
      </c>
      <c r="H34" s="4">
        <f>'dpc-covid-19-ita-andamento-naz'!K25</f>
        <v>2978</v>
      </c>
      <c r="I34" s="11">
        <f t="shared" si="3"/>
        <v>3143.7630844825539</v>
      </c>
      <c r="J34" s="11">
        <f t="shared" si="4"/>
        <v>3437.887718116539</v>
      </c>
      <c r="K34" s="11">
        <f t="shared" si="5"/>
        <v>2849.6384508485689</v>
      </c>
      <c r="Q34" s="1"/>
    </row>
    <row r="35" spans="2:17" x14ac:dyDescent="0.3">
      <c r="B35" s="10">
        <v>43909</v>
      </c>
      <c r="C35" s="4">
        <v>29</v>
      </c>
      <c r="D35" s="4">
        <f>'dpc-covid-19-ita-andamento-naz'!L26</f>
        <v>41035</v>
      </c>
      <c r="E35" s="11">
        <f t="shared" si="0"/>
        <v>41454.7900583995</v>
      </c>
      <c r="F35" s="11">
        <f t="shared" si="6"/>
        <v>46243.61428067855</v>
      </c>
      <c r="G35" s="11">
        <f t="shared" si="2"/>
        <v>36665.965836120449</v>
      </c>
      <c r="H35" s="4">
        <f>'dpc-covid-19-ita-andamento-naz'!K26</f>
        <v>3405</v>
      </c>
      <c r="I35" s="11">
        <f t="shared" si="3"/>
        <v>3635.0372959521496</v>
      </c>
      <c r="J35" s="11">
        <f t="shared" si="4"/>
        <v>3929.1619295861346</v>
      </c>
      <c r="K35" s="11">
        <f t="shared" si="5"/>
        <v>3340.9126623181646</v>
      </c>
    </row>
    <row r="36" spans="2:17" x14ac:dyDescent="0.3">
      <c r="B36" s="10">
        <v>43910</v>
      </c>
      <c r="C36" s="4">
        <v>30</v>
      </c>
      <c r="D36" s="4">
        <f>'dpc-covid-19-ita-andamento-naz'!L27</f>
        <v>47021</v>
      </c>
      <c r="E36" s="11">
        <f t="shared" si="0"/>
        <v>45890.831109218496</v>
      </c>
      <c r="F36" s="11">
        <f t="shared" si="6"/>
        <v>50679.655331497546</v>
      </c>
      <c r="G36" s="11">
        <f t="shared" si="2"/>
        <v>41102.006886939445</v>
      </c>
      <c r="H36" s="4">
        <f>'dpc-covid-19-ita-andamento-naz'!K27</f>
        <v>4032</v>
      </c>
      <c r="I36" s="11">
        <f t="shared" si="3"/>
        <v>4167.4431613189699</v>
      </c>
      <c r="J36" s="11">
        <f t="shared" si="4"/>
        <v>4461.5677949529545</v>
      </c>
      <c r="K36" s="11">
        <f t="shared" si="5"/>
        <v>3873.3185276849849</v>
      </c>
    </row>
    <row r="37" spans="2:17" x14ac:dyDescent="0.3">
      <c r="B37" s="10">
        <v>43911</v>
      </c>
      <c r="C37" s="4">
        <v>31</v>
      </c>
      <c r="D37" s="4">
        <f>'dpc-covid-19-ita-andamento-naz'!L28</f>
        <v>53578</v>
      </c>
      <c r="E37" s="11">
        <f t="shared" si="0"/>
        <v>50559.242553609183</v>
      </c>
      <c r="F37" s="11">
        <f t="shared" si="6"/>
        <v>55348.066775888234</v>
      </c>
      <c r="G37" s="11">
        <f t="shared" si="2"/>
        <v>45770.418331330133</v>
      </c>
      <c r="H37" s="4">
        <f>'dpc-covid-19-ita-andamento-naz'!K28</f>
        <v>4825</v>
      </c>
      <c r="I37" s="11">
        <f t="shared" si="3"/>
        <v>4739.6813494779126</v>
      </c>
      <c r="J37" s="11">
        <f t="shared" si="4"/>
        <v>5033.8059831118971</v>
      </c>
      <c r="K37" s="11">
        <f t="shared" si="5"/>
        <v>4445.556715843928</v>
      </c>
    </row>
    <row r="38" spans="2:17" x14ac:dyDescent="0.3">
      <c r="B38" s="10">
        <v>43912</v>
      </c>
      <c r="C38" s="4">
        <v>32</v>
      </c>
      <c r="D38" s="4">
        <f>'dpc-covid-19-ita-andamento-naz'!L29</f>
        <v>59138</v>
      </c>
      <c r="E38" s="11">
        <f t="shared" si="0"/>
        <v>55449.329011838148</v>
      </c>
      <c r="F38" s="11">
        <f t="shared" si="6"/>
        <v>60238.153234117199</v>
      </c>
      <c r="G38" s="11">
        <f t="shared" ref="G38:G48" si="7">MAX(E38-CI,0)</f>
        <v>50660.504789559098</v>
      </c>
      <c r="H38" s="4">
        <f>'dpc-covid-19-ita-andamento-naz'!K29</f>
        <v>5476</v>
      </c>
      <c r="I38" s="11">
        <f t="shared" si="3"/>
        <v>5349.9709282333988</v>
      </c>
      <c r="J38" s="11">
        <f t="shared" si="4"/>
        <v>5644.0955618673834</v>
      </c>
      <c r="K38" s="11">
        <f t="shared" si="5"/>
        <v>5055.8462945994143</v>
      </c>
    </row>
    <row r="39" spans="2:17" x14ac:dyDescent="0.3">
      <c r="B39" s="20">
        <v>43913</v>
      </c>
      <c r="C39" s="4">
        <v>33</v>
      </c>
      <c r="D39" s="4">
        <f>'dpc-covid-19-ita-andamento-naz'!L30</f>
        <v>63927</v>
      </c>
      <c r="E39" s="11">
        <f t="shared" si="0"/>
        <v>60548.89269908682</v>
      </c>
      <c r="F39" s="11">
        <f t="shared" si="6"/>
        <v>65337.716921365871</v>
      </c>
      <c r="G39" s="11">
        <f t="shared" si="7"/>
        <v>55760.06847680777</v>
      </c>
      <c r="H39" s="4">
        <f>'dpc-covid-19-ita-andamento-naz'!K30</f>
        <v>6077</v>
      </c>
      <c r="I39" s="11">
        <f t="shared" si="3"/>
        <v>5996.0978982378683</v>
      </c>
      <c r="J39" s="11">
        <f t="shared" si="4"/>
        <v>6290.2225318718529</v>
      </c>
      <c r="K39" s="11">
        <f t="shared" si="5"/>
        <v>5701.9732646038838</v>
      </c>
    </row>
    <row r="40" spans="2:17" x14ac:dyDescent="0.3">
      <c r="B40" s="10">
        <v>43914</v>
      </c>
      <c r="C40" s="4">
        <v>34</v>
      </c>
      <c r="D40" s="4">
        <f>'dpc-covid-19-ita-andamento-naz'!L31</f>
        <v>69176</v>
      </c>
      <c r="E40" s="11">
        <f t="shared" si="0"/>
        <v>65844.421390175674</v>
      </c>
      <c r="F40" s="11">
        <f t="shared" si="6"/>
        <v>70633.245612454732</v>
      </c>
      <c r="G40" s="11">
        <f t="shared" si="7"/>
        <v>61055.597167896623</v>
      </c>
      <c r="H40" s="4">
        <f>'dpc-covid-19-ita-andamento-naz'!K31</f>
        <v>6820</v>
      </c>
      <c r="I40" s="11">
        <f t="shared" si="3"/>
        <v>6675.4715555963439</v>
      </c>
      <c r="J40" s="11">
        <f t="shared" si="4"/>
        <v>6969.5961892303285</v>
      </c>
      <c r="K40" s="11">
        <f t="shared" si="5"/>
        <v>6381.3469219623594</v>
      </c>
    </row>
    <row r="41" spans="2:17" x14ac:dyDescent="0.3">
      <c r="B41" s="10">
        <v>43915</v>
      </c>
      <c r="C41" s="4">
        <v>35</v>
      </c>
      <c r="D41" s="4">
        <f>'dpc-covid-19-ita-andamento-naz'!L32</f>
        <v>74386</v>
      </c>
      <c r="E41" s="11">
        <f t="shared" si="0"/>
        <v>71321.285239458681</v>
      </c>
      <c r="F41" s="11">
        <f t="shared" si="6"/>
        <v>76110.109461737738</v>
      </c>
      <c r="G41" s="11">
        <f t="shared" si="7"/>
        <v>66532.461017179623</v>
      </c>
      <c r="H41" s="4">
        <f>'dpc-covid-19-ita-andamento-naz'!K32</f>
        <v>7503</v>
      </c>
      <c r="I41" s="11">
        <f t="shared" si="3"/>
        <v>7385.1860661992396</v>
      </c>
      <c r="J41" s="11">
        <f t="shared" si="4"/>
        <v>7679.3106998332241</v>
      </c>
      <c r="K41" s="11">
        <f t="shared" si="5"/>
        <v>7091.061432565255</v>
      </c>
    </row>
    <row r="42" spans="2:17" x14ac:dyDescent="0.3">
      <c r="B42" s="10">
        <v>43916</v>
      </c>
      <c r="C42" s="4">
        <v>36</v>
      </c>
      <c r="D42" s="4">
        <f>'dpc-covid-19-ita-andamento-naz'!L33</f>
        <v>80539</v>
      </c>
      <c r="E42" s="11">
        <f t="shared" si="0"/>
        <v>76963.937756875413</v>
      </c>
      <c r="F42" s="11">
        <f t="shared" si="6"/>
        <v>81752.761979154471</v>
      </c>
      <c r="G42" s="11">
        <f t="shared" si="7"/>
        <v>72175.113534596356</v>
      </c>
      <c r="H42" s="4">
        <f>'dpc-covid-19-ita-andamento-naz'!K33</f>
        <v>8165</v>
      </c>
      <c r="I42" s="11">
        <f t="shared" si="3"/>
        <v>8122.0847627305793</v>
      </c>
      <c r="J42" s="11">
        <f t="shared" si="4"/>
        <v>8416.2093963645639</v>
      </c>
      <c r="K42" s="11">
        <f t="shared" si="5"/>
        <v>7827.9601290965948</v>
      </c>
    </row>
    <row r="43" spans="2:17" x14ac:dyDescent="0.3">
      <c r="B43" s="10">
        <v>43917</v>
      </c>
      <c r="C43" s="4">
        <v>37</v>
      </c>
      <c r="D43" s="4">
        <f>'dpc-covid-19-ita-andamento-naz'!L34</f>
        <v>86498</v>
      </c>
      <c r="E43" s="11">
        <f t="shared" ref="E43:E70" si="8">K*EXP(-EXP(-($C43-t0)/w))</f>
        <v>82756.116654924321</v>
      </c>
      <c r="F43" s="11">
        <f t="shared" si="6"/>
        <v>87544.940877203378</v>
      </c>
      <c r="G43" s="11">
        <f t="shared" si="7"/>
        <v>77967.292432645263</v>
      </c>
      <c r="H43" s="4">
        <f>'dpc-covid-19-ita-andamento-naz'!K34</f>
        <v>9134</v>
      </c>
      <c r="I43" s="11">
        <f t="shared" ref="I43:I70" si="9">Kh*EXP(-EXP(-($C43-t0h)/wh))</f>
        <v>8882.8249019842115</v>
      </c>
      <c r="J43" s="11">
        <f t="shared" si="4"/>
        <v>9176.949535618196</v>
      </c>
      <c r="K43" s="11">
        <f t="shared" si="5"/>
        <v>8588.7002683502269</v>
      </c>
    </row>
    <row r="44" spans="2:17" x14ac:dyDescent="0.3">
      <c r="B44" s="10">
        <v>43918</v>
      </c>
      <c r="C44" s="4">
        <v>38</v>
      </c>
      <c r="D44" s="4">
        <f>'dpc-covid-19-ita-andamento-naz'!L35</f>
        <v>92472</v>
      </c>
      <c r="E44" s="11">
        <f t="shared" si="8"/>
        <v>88681.040767291575</v>
      </c>
      <c r="F44" s="11">
        <f t="shared" si="6"/>
        <v>93469.864989570633</v>
      </c>
      <c r="G44" s="11">
        <f t="shared" si="7"/>
        <v>83892.216545012518</v>
      </c>
      <c r="H44" s="4">
        <f>'dpc-covid-19-ita-andamento-naz'!K35</f>
        <v>10023</v>
      </c>
      <c r="I44" s="11">
        <f t="shared" si="9"/>
        <v>9663.9409147867536</v>
      </c>
      <c r="J44" s="11">
        <f t="shared" si="4"/>
        <v>9958.0655484207382</v>
      </c>
      <c r="K44" s="11">
        <f t="shared" si="5"/>
        <v>9369.8162811527691</v>
      </c>
    </row>
    <row r="45" spans="2:17" x14ac:dyDescent="0.3">
      <c r="B45" s="10">
        <v>43919</v>
      </c>
      <c r="C45" s="4">
        <v>39</v>
      </c>
      <c r="D45" s="4">
        <f>'dpc-covid-19-ita-andamento-naz'!L36</f>
        <v>97689</v>
      </c>
      <c r="E45" s="11">
        <f t="shared" si="8"/>
        <v>94721.599770013054</v>
      </c>
      <c r="F45" s="11">
        <f t="shared" si="6"/>
        <v>99510.423992292112</v>
      </c>
      <c r="G45" s="11">
        <f t="shared" si="7"/>
        <v>89932.775547733996</v>
      </c>
      <c r="H45" s="4">
        <f>'dpc-covid-19-ita-andamento-naz'!K36</f>
        <v>10779</v>
      </c>
      <c r="I45" s="11">
        <f t="shared" si="9"/>
        <v>10461.90451482883</v>
      </c>
      <c r="J45" s="11">
        <f>I45+CIh</f>
        <v>10756.029148462814</v>
      </c>
      <c r="K45" s="11">
        <f>MAX(I45-CIh,0)</f>
        <v>10167.779881194845</v>
      </c>
    </row>
    <row r="46" spans="2:17" x14ac:dyDescent="0.3">
      <c r="B46" s="10">
        <v>43920</v>
      </c>
      <c r="C46" s="4">
        <v>40</v>
      </c>
      <c r="D46" s="4">
        <f>'dpc-covid-19-ita-andamento-naz'!L37</f>
        <v>101739</v>
      </c>
      <c r="E46" s="11">
        <f t="shared" si="8"/>
        <v>100860.53398549264</v>
      </c>
      <c r="F46" s="11">
        <f t="shared" si="6"/>
        <v>105649.3582077717</v>
      </c>
      <c r="G46" s="11">
        <f t="shared" si="7"/>
        <v>96071.709763213585</v>
      </c>
      <c r="H46" s="4">
        <f>'dpc-covid-19-ita-andamento-naz'!K37</f>
        <v>11591</v>
      </c>
      <c r="I46" s="11">
        <f t="shared" si="9"/>
        <v>11273.180381103906</v>
      </c>
      <c r="J46" s="11">
        <f>I46+CIh</f>
        <v>11567.305014737891</v>
      </c>
      <c r="K46" s="11">
        <f>MAX(I46-CIh,0)</f>
        <v>10979.055747469922</v>
      </c>
    </row>
    <row r="47" spans="2:17" x14ac:dyDescent="0.3">
      <c r="B47" s="10">
        <v>43921</v>
      </c>
      <c r="C47" s="4">
        <v>41</v>
      </c>
      <c r="D47" s="4">
        <f>'dpc-covid-19-ita-andamento-naz'!L38</f>
        <v>105792</v>
      </c>
      <c r="E47" s="11">
        <f t="shared" si="8"/>
        <v>107080.60209723165</v>
      </c>
      <c r="F47" s="11">
        <f t="shared" si="6"/>
        <v>111869.42631951071</v>
      </c>
      <c r="G47" s="11">
        <f t="shared" si="7"/>
        <v>102291.77787495259</v>
      </c>
      <c r="H47" s="4">
        <f>'dpc-covid-19-ita-andamento-naz'!K38</f>
        <v>12428</v>
      </c>
      <c r="I47" s="11">
        <f t="shared" si="9"/>
        <v>12094.276471049992</v>
      </c>
      <c r="J47" s="11">
        <f>I47+CIh</f>
        <v>12388.401104683977</v>
      </c>
      <c r="K47" s="11">
        <f>MAX(I47-CIh,0)</f>
        <v>11800.151837416008</v>
      </c>
    </row>
    <row r="48" spans="2:17" x14ac:dyDescent="0.3">
      <c r="B48" s="10">
        <v>43922</v>
      </c>
      <c r="C48" s="4">
        <v>42</v>
      </c>
      <c r="D48" s="4">
        <f>'dpc-covid-19-ita-andamento-naz'!L39</f>
        <v>110574</v>
      </c>
      <c r="E48" s="11">
        <f t="shared" si="8"/>
        <v>113364.73513140384</v>
      </c>
      <c r="F48" s="11">
        <f t="shared" si="6"/>
        <v>118153.5593536829</v>
      </c>
      <c r="G48" s="11">
        <f t="shared" si="7"/>
        <v>108575.91090912478</v>
      </c>
      <c r="H48" s="4">
        <f>'dpc-covid-19-ita-andamento-naz'!K39</f>
        <v>13155</v>
      </c>
      <c r="I48" s="11">
        <f t="shared" si="9"/>
        <v>12921.788342305588</v>
      </c>
      <c r="J48" s="11">
        <f>I48+CIh</f>
        <v>13215.912975939573</v>
      </c>
      <c r="K48" s="11">
        <f>MAX(I48-CIh,0)</f>
        <v>12627.663708671604</v>
      </c>
    </row>
    <row r="49" spans="2:11" x14ac:dyDescent="0.3">
      <c r="B49" s="10">
        <v>43923</v>
      </c>
      <c r="C49" s="4">
        <v>43</v>
      </c>
      <c r="D49" s="4">
        <f>'dpc-covid-19-ita-andamento-naz'!L40</f>
        <v>115242</v>
      </c>
      <c r="E49" s="11">
        <f t="shared" si="8"/>
        <v>119696.17555693939</v>
      </c>
      <c r="F49" s="11">
        <f t="shared" si="6"/>
        <v>124484.99977921844</v>
      </c>
      <c r="G49" s="11">
        <f t="shared" ref="G49" si="10">MAX(E49-CI,0)</f>
        <v>114907.35133466033</v>
      </c>
      <c r="H49" s="4">
        <f>'dpc-covid-19-ita-andamento-naz'!K40</f>
        <v>13915</v>
      </c>
      <c r="I49" s="11">
        <f t="shared" si="9"/>
        <v>13752.437149312029</v>
      </c>
      <c r="J49" s="11">
        <f>I49+CIh</f>
        <v>14046.561782946013</v>
      </c>
      <c r="K49" s="11">
        <f>MAX(I49-CIh,0)</f>
        <v>13458.312515678044</v>
      </c>
    </row>
    <row r="50" spans="2:11" x14ac:dyDescent="0.3">
      <c r="B50" s="10">
        <v>43924</v>
      </c>
      <c r="C50" s="4">
        <v>44</v>
      </c>
      <c r="D50" s="4">
        <f>'dpc-covid-19-ita-andamento-naz'!L41</f>
        <v>119827</v>
      </c>
      <c r="E50" s="11">
        <f t="shared" si="8"/>
        <v>126058.60080871808</v>
      </c>
      <c r="F50" s="11">
        <f t="shared" ref="F50" si="11">E50+CI</f>
        <v>130847.42503099714</v>
      </c>
      <c r="G50" s="11">
        <f t="shared" ref="G50" si="12">MAX(E50-CI,0)</f>
        <v>121269.77658643902</v>
      </c>
      <c r="H50" s="4">
        <f>'dpc-covid-19-ita-andamento-naz'!K41</f>
        <v>14681</v>
      </c>
      <c r="I50" s="11">
        <f t="shared" si="9"/>
        <v>14583.101230115217</v>
      </c>
      <c r="J50" s="11">
        <f>I50+CIh</f>
        <v>14877.225863749201</v>
      </c>
      <c r="K50" s="11">
        <f>MAX(I50-CIh,0)</f>
        <v>14288.976596481232</v>
      </c>
    </row>
    <row r="51" spans="2:11" x14ac:dyDescent="0.3">
      <c r="B51" s="10">
        <v>43925</v>
      </c>
      <c r="C51" s="4">
        <v>45</v>
      </c>
      <c r="E51" s="11">
        <f t="shared" si="8"/>
        <v>132436.23094227808</v>
      </c>
      <c r="F51" s="11"/>
      <c r="G51" s="11"/>
      <c r="H51" s="4"/>
      <c r="I51" s="11">
        <f t="shared" si="9"/>
        <v>15410.841405518837</v>
      </c>
      <c r="J51" s="11"/>
      <c r="K51" s="11"/>
    </row>
    <row r="52" spans="2:11" x14ac:dyDescent="0.3">
      <c r="B52" s="10">
        <v>43926</v>
      </c>
      <c r="C52" s="4">
        <v>46</v>
      </c>
      <c r="E52" s="11">
        <f t="shared" si="8"/>
        <v>138813.9204795023</v>
      </c>
      <c r="F52" s="11"/>
      <c r="G52" s="11"/>
      <c r="H52" s="4"/>
      <c r="I52" s="11">
        <f t="shared" si="9"/>
        <v>16232.920276977147</v>
      </c>
      <c r="J52" s="11"/>
      <c r="K52" s="11"/>
    </row>
    <row r="53" spans="2:11" x14ac:dyDescent="0.3">
      <c r="B53" s="10">
        <v>43927</v>
      </c>
      <c r="C53" s="4">
        <v>47</v>
      </c>
      <c r="E53" s="11">
        <f t="shared" si="8"/>
        <v>145177.23480187528</v>
      </c>
      <c r="F53" s="11"/>
      <c r="G53" s="11"/>
      <c r="H53" s="4"/>
      <c r="I53" s="11">
        <f t="shared" si="9"/>
        <v>17046.815933220798</v>
      </c>
      <c r="J53" s="11"/>
      <c r="K53" s="11"/>
    </row>
    <row r="54" spans="2:11" x14ac:dyDescent="0.3">
      <c r="B54" s="10">
        <v>43928</v>
      </c>
      <c r="C54" s="4">
        <v>48</v>
      </c>
      <c r="E54" s="11">
        <f t="shared" si="8"/>
        <v>151512.51169193743</v>
      </c>
      <c r="F54" s="11"/>
      <c r="G54" s="11"/>
      <c r="H54" s="4"/>
      <c r="I54" s="11">
        <f t="shared" si="9"/>
        <v>17850.230562037133</v>
      </c>
      <c r="J54" s="11"/>
      <c r="K54" s="11"/>
    </row>
    <row r="55" spans="2:11" x14ac:dyDescent="0.3">
      <c r="B55" s="10">
        <v>43929</v>
      </c>
      <c r="C55" s="4">
        <v>49</v>
      </c>
      <c r="E55" s="11">
        <f t="shared" si="8"/>
        <v>157806.9088168852</v>
      </c>
      <c r="F55" s="11"/>
      <c r="G55" s="11"/>
      <c r="H55" s="4"/>
      <c r="I55" s="11">
        <f t="shared" si="9"/>
        <v>18641.09451727771</v>
      </c>
      <c r="J55" s="11"/>
      <c r="K55" s="11"/>
    </row>
    <row r="56" spans="2:11" x14ac:dyDescent="0.3">
      <c r="B56" s="10">
        <v>43930</v>
      </c>
      <c r="C56" s="4">
        <v>50</v>
      </c>
      <c r="E56" s="11">
        <f t="shared" si="8"/>
        <v>164048.43809440447</v>
      </c>
      <c r="F56" s="11"/>
      <c r="G56" s="11"/>
      <c r="H56" s="4"/>
      <c r="I56" s="11">
        <f t="shared" si="9"/>
        <v>19417.566416915586</v>
      </c>
      <c r="J56" s="11"/>
      <c r="K56" s="11"/>
    </row>
    <row r="57" spans="2:11" x14ac:dyDescent="0.3">
      <c r="B57" s="10">
        <v>43931</v>
      </c>
      <c r="C57" s="4">
        <v>51</v>
      </c>
      <c r="E57" s="11">
        <f t="shared" si="8"/>
        <v>170225.98798409372</v>
      </c>
      <c r="F57" s="11"/>
      <c r="G57" s="11"/>
      <c r="H57" s="4"/>
      <c r="I57" s="11">
        <f t="shared" si="9"/>
        <v>20178.029850799539</v>
      </c>
      <c r="J57" s="11"/>
      <c r="K57" s="11"/>
    </row>
    <row r="58" spans="2:11" x14ac:dyDescent="0.3">
      <c r="B58" s="10">
        <v>43932</v>
      </c>
      <c r="C58" s="4">
        <v>52</v>
      </c>
      <c r="E58" s="11">
        <f t="shared" si="8"/>
        <v>176329.33481301545</v>
      </c>
      <c r="F58" s="11"/>
      <c r="G58" s="11"/>
      <c r="H58" s="4"/>
      <c r="I58" s="11">
        <f t="shared" si="9"/>
        <v>20921.087261453315</v>
      </c>
      <c r="J58" s="11"/>
      <c r="K58" s="11"/>
    </row>
    <row r="59" spans="2:11" x14ac:dyDescent="0.3">
      <c r="B59" s="10">
        <v>43933</v>
      </c>
      <c r="C59" s="4">
        <v>53</v>
      </c>
      <c r="E59" s="11">
        <f t="shared" si="8"/>
        <v>182349.14427600111</v>
      </c>
      <c r="F59" s="11"/>
      <c r="G59" s="11"/>
      <c r="H59" s="4"/>
      <c r="I59" s="11">
        <f t="shared" si="9"/>
        <v>21645.551532280679</v>
      </c>
      <c r="J59" s="11"/>
      <c r="K59" s="11"/>
    </row>
    <row r="60" spans="2:11" x14ac:dyDescent="0.3">
      <c r="B60" s="10">
        <v>43934</v>
      </c>
      <c r="C60" s="4">
        <v>54</v>
      </c>
      <c r="E60" s="11">
        <f t="shared" si="8"/>
        <v>188276.96425531129</v>
      </c>
      <c r="F60" s="11"/>
      <c r="G60" s="11"/>
      <c r="H60" s="4"/>
      <c r="I60" s="11">
        <f t="shared" si="9"/>
        <v>22350.435778813484</v>
      </c>
      <c r="J60" s="11"/>
      <c r="K60" s="11"/>
    </row>
    <row r="61" spans="2:11" x14ac:dyDescent="0.3">
      <c r="B61" s="10">
        <v>43935</v>
      </c>
      <c r="C61" s="4">
        <v>55</v>
      </c>
      <c r="E61" s="11">
        <f t="shared" si="8"/>
        <v>194105.21008494048</v>
      </c>
      <c r="F61" s="11"/>
      <c r="G61" s="11"/>
      <c r="H61" s="4"/>
      <c r="I61" s="11">
        <f t="shared" si="9"/>
        <v>23034.94179358723</v>
      </c>
      <c r="J61" s="11"/>
      <c r="K61" s="11"/>
    </row>
    <row r="62" spans="2:11" x14ac:dyDescent="0.3">
      <c r="B62" s="10">
        <v>43936</v>
      </c>
      <c r="C62" s="4">
        <v>56</v>
      </c>
      <c r="E62" s="11">
        <f t="shared" si="8"/>
        <v>199827.14334678993</v>
      </c>
      <c r="F62" s="11"/>
      <c r="G62" s="11"/>
      <c r="H62" s="4"/>
      <c r="I62" s="11">
        <f t="shared" si="9"/>
        <v>23698.447546695621</v>
      </c>
      <c r="J62" s="11"/>
      <c r="K62" s="11"/>
    </row>
    <row r="63" spans="2:11" x14ac:dyDescent="0.3">
      <c r="B63" s="10">
        <v>43937</v>
      </c>
      <c r="C63" s="4">
        <v>57</v>
      </c>
      <c r="E63" s="11">
        <f t="shared" si="8"/>
        <v>205436.84523327812</v>
      </c>
      <c r="F63" s="11"/>
      <c r="G63" s="11"/>
      <c r="H63" s="4"/>
      <c r="I63" s="11">
        <f t="shared" si="9"/>
        <v>24340.494094368954</v>
      </c>
      <c r="J63" s="11"/>
      <c r="K63" s="11"/>
    </row>
    <row r="64" spans="2:11" x14ac:dyDescent="0.3">
      <c r="B64" s="10">
        <v>43938</v>
      </c>
      <c r="C64" s="4">
        <v>58</v>
      </c>
      <c r="E64" s="11">
        <f t="shared" si="8"/>
        <v>210929.18544746286</v>
      </c>
      <c r="F64" s="11"/>
      <c r="G64" s="11"/>
      <c r="H64" s="4"/>
      <c r="I64" s="11">
        <f t="shared" si="9"/>
        <v>24960.772198845185</v>
      </c>
      <c r="J64" s="11"/>
      <c r="K64" s="11"/>
    </row>
    <row r="65" spans="2:11" x14ac:dyDescent="0.3">
      <c r="B65" s="10">
        <v>43939</v>
      </c>
      <c r="C65" s="4">
        <v>59</v>
      </c>
      <c r="E65" s="11">
        <f t="shared" si="8"/>
        <v>216299.78754071367</v>
      </c>
      <c r="F65" s="11"/>
      <c r="G65" s="11"/>
      <c r="H65" s="4"/>
      <c r="I65" s="11">
        <f t="shared" si="9"/>
        <v>25559.108915712513</v>
      </c>
      <c r="J65" s="11"/>
      <c r="K65" s="11"/>
    </row>
    <row r="66" spans="2:11" x14ac:dyDescent="0.3">
      <c r="B66" s="10">
        <v>43940</v>
      </c>
      <c r="C66" s="4">
        <v>60</v>
      </c>
      <c r="E66" s="11">
        <f t="shared" si="8"/>
        <v>221544.99151225277</v>
      </c>
      <c r="F66" s="11"/>
      <c r="G66" s="11"/>
      <c r="H66" s="4"/>
      <c r="I66" s="11">
        <f t="shared" si="9"/>
        <v>26135.454360762658</v>
      </c>
      <c r="J66" s="11"/>
      <c r="K66" s="11"/>
    </row>
    <row r="67" spans="2:11" x14ac:dyDescent="0.3">
      <c r="B67" s="10">
        <v>43941</v>
      </c>
      <c r="C67" s="4">
        <v>61</v>
      </c>
      <c r="E67" s="11">
        <f t="shared" si="8"/>
        <v>226661.81441689347</v>
      </c>
      <c r="F67" s="11"/>
      <c r="G67" s="11"/>
      <c r="H67" s="4"/>
      <c r="I67" s="11">
        <f t="shared" si="9"/>
        <v>26689.868827841598</v>
      </c>
      <c r="J67" s="11"/>
      <c r="K67" s="11"/>
    </row>
    <row r="68" spans="2:11" x14ac:dyDescent="0.3">
      <c r="B68" s="10">
        <v>43942</v>
      </c>
      <c r="C68" s="4">
        <v>62</v>
      </c>
      <c r="E68" s="11">
        <f t="shared" si="8"/>
        <v>231647.90964905167</v>
      </c>
      <c r="F68" s="11"/>
      <c r="G68" s="11"/>
      <c r="H68" s="4"/>
      <c r="I68" s="11">
        <f t="shared" si="9"/>
        <v>27222.510392584612</v>
      </c>
      <c r="J68" s="11"/>
      <c r="K68" s="11"/>
    </row>
    <row r="69" spans="2:11" x14ac:dyDescent="0.3">
      <c r="B69" s="10">
        <v>43943</v>
      </c>
      <c r="C69" s="4">
        <v>63</v>
      </c>
      <c r="E69" s="11">
        <f t="shared" si="8"/>
        <v>236501.52549420908</v>
      </c>
      <c r="F69" s="11"/>
      <c r="G69" s="11"/>
      <c r="H69" s="4"/>
      <c r="I69" s="11">
        <f t="shared" si="9"/>
        <v>27733.623104427363</v>
      </c>
      <c r="J69" s="11"/>
      <c r="K69" s="11"/>
    </row>
    <row r="70" spans="2:11" x14ac:dyDescent="0.3">
      <c r="B70" s="10">
        <v>43944</v>
      </c>
      <c r="C70" s="4">
        <v>64</v>
      </c>
      <c r="E70" s="11">
        <f t="shared" si="8"/>
        <v>241221.46346474293</v>
      </c>
      <c r="F70" s="11"/>
      <c r="G70" s="11"/>
      <c r="H70" s="4"/>
      <c r="I70" s="11">
        <f t="shared" si="9"/>
        <v>28223.525840878738</v>
      </c>
      <c r="J70" s="11"/>
      <c r="K70" s="1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5632-B437-4470-A0F8-C1DBA4CDFA9C}">
  <dimension ref="B2:AF130"/>
  <sheetViews>
    <sheetView tabSelected="1" zoomScale="70" zoomScaleNormal="70" workbookViewId="0">
      <selection activeCell="AF6" sqref="AF6"/>
    </sheetView>
  </sheetViews>
  <sheetFormatPr defaultRowHeight="14.4" x14ac:dyDescent="0.3"/>
  <cols>
    <col min="1" max="1" width="2.77734375" style="2" customWidth="1"/>
    <col min="2" max="2" width="8.88671875" style="2"/>
    <col min="3" max="3" width="4.109375" style="2" bestFit="1" customWidth="1"/>
    <col min="4" max="4" width="14.109375" style="2" bestFit="1" customWidth="1"/>
    <col min="5" max="5" width="9.6640625" style="2" bestFit="1" customWidth="1"/>
    <col min="6" max="6" width="7.44140625" style="2" bestFit="1" customWidth="1"/>
    <col min="7" max="7" width="7.5546875" style="2" bestFit="1" customWidth="1"/>
    <col min="8" max="8" width="8.109375" style="2" bestFit="1" customWidth="1"/>
    <col min="9" max="9" width="8.21875" style="2" bestFit="1" customWidth="1"/>
    <col min="10" max="10" width="11.109375" style="2" bestFit="1" customWidth="1"/>
    <col min="11" max="12" width="9.6640625" style="2" bestFit="1" customWidth="1"/>
    <col min="13" max="13" width="9.77734375" style="2" bestFit="1" customWidth="1"/>
    <col min="14" max="14" width="11.6640625" style="2" bestFit="1" customWidth="1"/>
    <col min="15" max="15" width="11.777343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32" ht="31.2" x14ac:dyDescent="0.6">
      <c r="B2" s="12" t="s">
        <v>13</v>
      </c>
    </row>
    <row r="3" spans="2:32" ht="17.399999999999999" customHeight="1" x14ac:dyDescent="0.6">
      <c r="B3" s="12"/>
      <c r="S3" s="18" t="s">
        <v>0</v>
      </c>
      <c r="T3" s="17" t="s">
        <v>54</v>
      </c>
      <c r="U3" s="17"/>
      <c r="V3" s="17"/>
    </row>
    <row r="4" spans="2:32" ht="20.399999999999999" x14ac:dyDescent="0.35">
      <c r="B4" s="13" t="s">
        <v>14</v>
      </c>
      <c r="C4" s="14"/>
      <c r="S4" s="18" t="s">
        <v>26</v>
      </c>
      <c r="T4" s="17" t="s">
        <v>55</v>
      </c>
      <c r="U4" s="17"/>
      <c r="V4" s="17"/>
    </row>
    <row r="5" spans="2:32" ht="18.600000000000001" thickBot="1" x14ac:dyDescent="0.4">
      <c r="B5" s="13" t="s">
        <v>53</v>
      </c>
      <c r="S5" s="18" t="s">
        <v>1</v>
      </c>
      <c r="T5" s="17" t="s">
        <v>56</v>
      </c>
      <c r="U5" s="17"/>
      <c r="V5" s="17"/>
    </row>
    <row r="6" spans="2:32" ht="28.8" x14ac:dyDescent="0.3">
      <c r="B6" s="4" t="s">
        <v>10</v>
      </c>
      <c r="C6" s="4" t="s">
        <v>11</v>
      </c>
      <c r="D6" s="4" t="s">
        <v>29</v>
      </c>
      <c r="E6" s="4" t="s">
        <v>28</v>
      </c>
      <c r="F6" s="9" t="s">
        <v>61</v>
      </c>
      <c r="G6" s="9" t="s">
        <v>62</v>
      </c>
      <c r="H6" s="9" t="s">
        <v>8</v>
      </c>
      <c r="I6" s="9" t="s">
        <v>9</v>
      </c>
      <c r="J6" s="4" t="s">
        <v>63</v>
      </c>
      <c r="K6" s="4" t="s">
        <v>64</v>
      </c>
      <c r="L6" s="9" t="s">
        <v>65</v>
      </c>
      <c r="M6" s="9" t="s">
        <v>66</v>
      </c>
      <c r="N6" s="9" t="s">
        <v>67</v>
      </c>
      <c r="O6" s="9" t="s">
        <v>68</v>
      </c>
      <c r="P6" s="9"/>
      <c r="Q6" s="29" t="s">
        <v>50</v>
      </c>
      <c r="R6" s="3"/>
      <c r="S6" s="3"/>
      <c r="AF6" s="32" t="s">
        <v>73</v>
      </c>
    </row>
    <row r="7" spans="2:32" x14ac:dyDescent="0.3">
      <c r="B7" s="24">
        <v>43881</v>
      </c>
      <c r="C7" s="25">
        <v>1</v>
      </c>
      <c r="D7" s="26">
        <v>3</v>
      </c>
      <c r="E7" s="11">
        <f>D7-D7</f>
        <v>0</v>
      </c>
      <c r="F7" s="11">
        <f t="shared" ref="F7:F38" si="0">Kn*EXP(-EXP(-($C7-t0n)/wn))</f>
        <v>291.24107566694892</v>
      </c>
      <c r="G7" s="11">
        <f>F7-F7</f>
        <v>0</v>
      </c>
      <c r="H7" s="11">
        <f>G7+CIn</f>
        <v>1550.543302389261</v>
      </c>
      <c r="I7" s="11">
        <f>MAX(G7-CIn,0)</f>
        <v>0</v>
      </c>
      <c r="J7" s="25">
        <v>0</v>
      </c>
      <c r="K7" s="11">
        <f>J7-J7</f>
        <v>0</v>
      </c>
      <c r="L7" s="11">
        <f t="shared" ref="L7:L38" si="1">Kd*EXP(-EXP(-($C7-t0d)/wd))</f>
        <v>1.1701804260607638E-3</v>
      </c>
      <c r="M7" s="11">
        <f>L7-L7</f>
        <v>0</v>
      </c>
      <c r="N7" s="11">
        <f t="shared" ref="N7:N46" si="2">M7+CId</f>
        <v>122.49516882629295</v>
      </c>
      <c r="O7" s="11">
        <f t="shared" ref="O7:O46" si="3">MAX(M7-CId,0)</f>
        <v>0</v>
      </c>
      <c r="P7" s="9"/>
      <c r="Q7" s="19" t="s">
        <v>0</v>
      </c>
      <c r="R7" s="5">
        <v>356879</v>
      </c>
      <c r="S7" s="3"/>
      <c r="AF7" s="33">
        <f>MAX($R$13)</f>
        <v>0.88969233374775869</v>
      </c>
    </row>
    <row r="8" spans="2:32" ht="15.6" x14ac:dyDescent="0.35">
      <c r="B8" s="24">
        <v>43882</v>
      </c>
      <c r="C8" s="25">
        <v>2</v>
      </c>
      <c r="D8" s="26">
        <v>20</v>
      </c>
      <c r="E8" s="4">
        <f>D8-D7</f>
        <v>17</v>
      </c>
      <c r="F8" s="11">
        <f t="shared" si="0"/>
        <v>397.11126587504026</v>
      </c>
      <c r="G8" s="11">
        <f>F8-F7</f>
        <v>105.87019020809134</v>
      </c>
      <c r="H8" s="11">
        <f>G8+CIn</f>
        <v>1656.4134925973524</v>
      </c>
      <c r="I8" s="11">
        <f>MAX(G8-CIn,0)</f>
        <v>0</v>
      </c>
      <c r="J8" s="25">
        <v>1</v>
      </c>
      <c r="K8" s="11">
        <f t="shared" ref="K8:K50" si="4">J8-J7</f>
        <v>1</v>
      </c>
      <c r="L8" s="11">
        <f t="shared" si="1"/>
        <v>3.984692790204805E-3</v>
      </c>
      <c r="M8" s="11">
        <f>L8-L7</f>
        <v>2.8145123641440412E-3</v>
      </c>
      <c r="N8" s="11">
        <f t="shared" si="2"/>
        <v>122.49798333865709</v>
      </c>
      <c r="O8" s="11">
        <f t="shared" si="3"/>
        <v>0</v>
      </c>
      <c r="P8" s="9"/>
      <c r="Q8" s="19" t="s">
        <v>27</v>
      </c>
      <c r="R8" s="5">
        <v>45</v>
      </c>
      <c r="S8" s="3"/>
      <c r="AF8" s="34">
        <f>COUNT($R$7,$R$8,$R$9)</f>
        <v>3</v>
      </c>
    </row>
    <row r="9" spans="2:32" x14ac:dyDescent="0.3">
      <c r="B9" s="24">
        <v>43883</v>
      </c>
      <c r="C9" s="25">
        <v>3</v>
      </c>
      <c r="D9" s="26">
        <v>62</v>
      </c>
      <c r="E9" s="4">
        <f>D9-D8</f>
        <v>42</v>
      </c>
      <c r="F9" s="11">
        <f t="shared" si="0"/>
        <v>534.19540577365456</v>
      </c>
      <c r="G9" s="11">
        <f>F9-F8</f>
        <v>137.0841398986143</v>
      </c>
      <c r="H9" s="11">
        <f>G9+CIn</f>
        <v>1687.6274422878753</v>
      </c>
      <c r="I9" s="11">
        <f>MAX(G9-CIn,0)</f>
        <v>0</v>
      </c>
      <c r="J9" s="25">
        <v>2</v>
      </c>
      <c r="K9" s="11">
        <f t="shared" si="4"/>
        <v>1</v>
      </c>
      <c r="L9" s="11">
        <f t="shared" si="1"/>
        <v>1.2424338154590993E-2</v>
      </c>
      <c r="M9" s="11">
        <f>L9-L8</f>
        <v>8.439645364386187E-3</v>
      </c>
      <c r="N9" s="11">
        <f t="shared" si="2"/>
        <v>122.50360847165734</v>
      </c>
      <c r="O9" s="11">
        <f t="shared" si="3"/>
        <v>0</v>
      </c>
      <c r="P9" s="9"/>
      <c r="Q9" s="19" t="s">
        <v>1</v>
      </c>
      <c r="R9" s="22">
        <v>22.43017738101107</v>
      </c>
      <c r="S9" s="3"/>
      <c r="AF9" s="34" t="b">
        <f>$R$7=INT($R$7)</f>
        <v>1</v>
      </c>
    </row>
    <row r="10" spans="2:32" x14ac:dyDescent="0.3">
      <c r="B10" s="24">
        <v>43884</v>
      </c>
      <c r="C10" s="25">
        <v>4</v>
      </c>
      <c r="D10" s="26">
        <v>155</v>
      </c>
      <c r="E10" s="4">
        <f>D10-D9</f>
        <v>93</v>
      </c>
      <c r="F10" s="11">
        <f t="shared" si="0"/>
        <v>709.36943689363613</v>
      </c>
      <c r="G10" s="11">
        <f>F10-F9</f>
        <v>175.17403111998158</v>
      </c>
      <c r="H10" s="11">
        <f>G10+CIn</f>
        <v>1725.7173335092425</v>
      </c>
      <c r="I10" s="11">
        <f>MAX(G10-CIn,0)</f>
        <v>0</v>
      </c>
      <c r="J10" s="25">
        <v>3</v>
      </c>
      <c r="K10" s="11">
        <f t="shared" si="4"/>
        <v>1</v>
      </c>
      <c r="L10" s="11">
        <f t="shared" si="1"/>
        <v>3.5697633382234091E-2</v>
      </c>
      <c r="M10" s="11">
        <f>L10-L9</f>
        <v>2.3273295227643098E-2</v>
      </c>
      <c r="N10" s="11">
        <f t="shared" si="2"/>
        <v>122.51844212152059</v>
      </c>
      <c r="O10" s="11">
        <f t="shared" si="3"/>
        <v>0</v>
      </c>
      <c r="P10" s="9"/>
      <c r="Q10" s="6" t="s">
        <v>2</v>
      </c>
      <c r="R10" s="1">
        <f>AVERAGE(E7:E70)</f>
        <v>2723.2727272727275</v>
      </c>
      <c r="S10" s="3"/>
      <c r="AF10" s="34" t="b">
        <f>$R$8=INT($R$8)</f>
        <v>1</v>
      </c>
    </row>
    <row r="11" spans="2:32" x14ac:dyDescent="0.3">
      <c r="B11" s="20">
        <v>43885</v>
      </c>
      <c r="C11" s="4">
        <v>5</v>
      </c>
      <c r="D11" s="4">
        <f>'dpc-covid-19-ita-andamento-naz'!L2</f>
        <v>229</v>
      </c>
      <c r="E11" s="4">
        <f>D11-D10</f>
        <v>74</v>
      </c>
      <c r="F11" s="11">
        <f t="shared" si="0"/>
        <v>930.4092985029431</v>
      </c>
      <c r="G11" s="11">
        <f>F11-F10</f>
        <v>221.03986160930697</v>
      </c>
      <c r="H11" s="11">
        <f t="shared" ref="H11:H44" si="5">G11+CIn</f>
        <v>1771.5831639985681</v>
      </c>
      <c r="I11" s="11">
        <f t="shared" ref="I11:I44" si="6">MAX(G11-CIn,0)</f>
        <v>0</v>
      </c>
      <c r="J11" s="11">
        <f>'dpc-covid-19-ita-andamento-naz'!K2</f>
        <v>7</v>
      </c>
      <c r="K11" s="11">
        <f t="shared" si="4"/>
        <v>4</v>
      </c>
      <c r="L11" s="11">
        <f t="shared" si="1"/>
        <v>9.5070731039437806E-2</v>
      </c>
      <c r="M11" s="11">
        <f>L11-L10</f>
        <v>5.9373097657203715E-2</v>
      </c>
      <c r="N11" s="11">
        <f t="shared" si="2"/>
        <v>122.55454192395015</v>
      </c>
      <c r="O11" s="11">
        <f t="shared" si="3"/>
        <v>0</v>
      </c>
      <c r="P11" s="1"/>
      <c r="Q11" s="6" t="s">
        <v>3</v>
      </c>
      <c r="R11" s="1">
        <f>COUNT(E7:E70)-COUNT(R7:R9)</f>
        <v>41</v>
      </c>
      <c r="AF11" s="34">
        <f>{32767;32767;0.000001;0;FALSE;FALSE;FALSE;1;2;1;0.0001;TRUE}</f>
        <v>32767</v>
      </c>
    </row>
    <row r="12" spans="2:32" x14ac:dyDescent="0.3">
      <c r="B12" s="10">
        <v>43886</v>
      </c>
      <c r="C12" s="4">
        <v>6</v>
      </c>
      <c r="D12" s="4">
        <f>'dpc-covid-19-ita-andamento-naz'!L3</f>
        <v>322</v>
      </c>
      <c r="E12" s="4">
        <f>D12-D11</f>
        <v>93</v>
      </c>
      <c r="F12" s="11">
        <f t="shared" si="0"/>
        <v>1205.9770413769056</v>
      </c>
      <c r="G12" s="11">
        <f>F12-F11</f>
        <v>275.56774287396252</v>
      </c>
      <c r="H12" s="11">
        <f t="shared" si="5"/>
        <v>1826.1110452632236</v>
      </c>
      <c r="I12" s="11">
        <f t="shared" si="6"/>
        <v>0</v>
      </c>
      <c r="J12" s="11">
        <f>'dpc-covid-19-ita-andamento-naz'!K3</f>
        <v>10</v>
      </c>
      <c r="K12" s="11">
        <f t="shared" si="4"/>
        <v>3</v>
      </c>
      <c r="L12" s="11">
        <f t="shared" si="1"/>
        <v>0.23597466749761994</v>
      </c>
      <c r="M12" s="11">
        <f>L12-L11</f>
        <v>0.14090393645818214</v>
      </c>
      <c r="N12" s="11">
        <f t="shared" si="2"/>
        <v>122.63607276275114</v>
      </c>
      <c r="O12" s="11">
        <f t="shared" si="3"/>
        <v>0</v>
      </c>
      <c r="P12" s="1"/>
      <c r="Q12" s="6" t="s">
        <v>4</v>
      </c>
      <c r="R12" s="7" cm="1">
        <f t="array" ref="R12">SQRT(SUM((E7:E50-G7:G50)^2)/dfn)</f>
        <v>767.77016415288927</v>
      </c>
      <c r="AF12" s="35">
        <f>{0;0;1;100;0;FALSE;FALSE;0.075;0;0;FALSE;30}</f>
        <v>0</v>
      </c>
    </row>
    <row r="13" spans="2:32" ht="16.2" x14ac:dyDescent="0.3">
      <c r="B13" s="10">
        <v>43887</v>
      </c>
      <c r="C13" s="4">
        <v>7</v>
      </c>
      <c r="D13" s="4">
        <f>'dpc-covid-19-ita-andamento-naz'!L4</f>
        <v>400</v>
      </c>
      <c r="E13" s="4">
        <f t="shared" ref="E13:E50" si="7">D13-D12</f>
        <v>78</v>
      </c>
      <c r="F13" s="11">
        <f t="shared" si="0"/>
        <v>1545.5798242114276</v>
      </c>
      <c r="G13" s="11">
        <f t="shared" ref="G13:G76" si="8">F13-F12</f>
        <v>339.60278283452203</v>
      </c>
      <c r="H13" s="11">
        <f t="shared" si="5"/>
        <v>1890.1460852237831</v>
      </c>
      <c r="I13" s="11">
        <f t="shared" si="6"/>
        <v>0</v>
      </c>
      <c r="J13" s="11">
        <f>'dpc-covid-19-ita-andamento-naz'!K4</f>
        <v>12</v>
      </c>
      <c r="K13" s="11">
        <f t="shared" si="4"/>
        <v>2</v>
      </c>
      <c r="L13" s="11">
        <f t="shared" si="1"/>
        <v>0.54864896060291402</v>
      </c>
      <c r="M13" s="11">
        <f t="shared" ref="M13:M70" si="9">L13-L12</f>
        <v>0.31267429310529404</v>
      </c>
      <c r="N13" s="11">
        <f t="shared" si="2"/>
        <v>122.80784311939824</v>
      </c>
      <c r="O13" s="11">
        <f t="shared" si="3"/>
        <v>0</v>
      </c>
      <c r="P13" s="1"/>
      <c r="Q13" s="6" t="s">
        <v>5</v>
      </c>
      <c r="R13" s="8" cm="1">
        <f t="array" ref="R13">1-SUM((E7:E50-G7:G50)^2)/SUM((E7:E50-Mean_of_yn)^2)</f>
        <v>0.88969233374775869</v>
      </c>
      <c r="AF13" s="36"/>
    </row>
    <row r="14" spans="2:32" x14ac:dyDescent="0.3">
      <c r="B14" s="10">
        <v>43888</v>
      </c>
      <c r="C14" s="4">
        <v>8</v>
      </c>
      <c r="D14" s="4">
        <f>'dpc-covid-19-ita-andamento-naz'!L5</f>
        <v>650</v>
      </c>
      <c r="E14" s="4">
        <f t="shared" si="7"/>
        <v>250</v>
      </c>
      <c r="F14" s="11">
        <f t="shared" si="0"/>
        <v>1959.5008150724791</v>
      </c>
      <c r="G14" s="11">
        <f t="shared" si="8"/>
        <v>413.92099086105145</v>
      </c>
      <c r="H14" s="11">
        <f t="shared" si="5"/>
        <v>1964.4642932503125</v>
      </c>
      <c r="I14" s="11">
        <f t="shared" si="6"/>
        <v>0</v>
      </c>
      <c r="J14" s="11">
        <f>'dpc-covid-19-ita-andamento-naz'!K5</f>
        <v>17</v>
      </c>
      <c r="K14" s="11">
        <f t="shared" si="4"/>
        <v>5</v>
      </c>
      <c r="L14" s="11">
        <f t="shared" si="1"/>
        <v>1.2005374191830047</v>
      </c>
      <c r="M14" s="11">
        <f t="shared" si="9"/>
        <v>0.6518884585800907</v>
      </c>
      <c r="N14" s="11">
        <f t="shared" si="2"/>
        <v>123.14705728487304</v>
      </c>
      <c r="O14" s="11">
        <f t="shared" si="3"/>
        <v>0</v>
      </c>
      <c r="P14" s="1"/>
      <c r="Q14" s="6" t="s">
        <v>6</v>
      </c>
      <c r="R14" s="8">
        <f>TINV(0.05,dfn)</f>
        <v>2.0195409704413767</v>
      </c>
      <c r="AF14" s="37"/>
    </row>
    <row r="15" spans="2:32" x14ac:dyDescent="0.3">
      <c r="B15" s="10">
        <v>43889</v>
      </c>
      <c r="C15" s="4">
        <v>9</v>
      </c>
      <c r="D15" s="4">
        <f>'dpc-covid-19-ita-andamento-naz'!L6</f>
        <v>888</v>
      </c>
      <c r="E15" s="4">
        <f t="shared" si="7"/>
        <v>238</v>
      </c>
      <c r="F15" s="11">
        <f t="shared" si="0"/>
        <v>2458.7022151679794</v>
      </c>
      <c r="G15" s="11">
        <f t="shared" si="8"/>
        <v>499.20140009550028</v>
      </c>
      <c r="H15" s="11">
        <f t="shared" si="5"/>
        <v>2049.7447024847615</v>
      </c>
      <c r="I15" s="11">
        <f t="shared" si="6"/>
        <v>0</v>
      </c>
      <c r="J15" s="11">
        <f>'dpc-covid-19-ita-andamento-naz'!K6</f>
        <v>21</v>
      </c>
      <c r="K15" s="11">
        <f t="shared" si="4"/>
        <v>4</v>
      </c>
      <c r="L15" s="11">
        <f t="shared" si="1"/>
        <v>2.4831522900388681</v>
      </c>
      <c r="M15" s="11">
        <f t="shared" si="9"/>
        <v>1.2826148708558633</v>
      </c>
      <c r="N15" s="11">
        <f t="shared" si="2"/>
        <v>123.77778369714882</v>
      </c>
      <c r="O15" s="11">
        <f t="shared" si="3"/>
        <v>0</v>
      </c>
      <c r="P15" s="1"/>
      <c r="Q15" s="6" t="s">
        <v>7</v>
      </c>
      <c r="R15" s="1">
        <f>Critical_tn*SE_of_yn</f>
        <v>1550.543302389261</v>
      </c>
      <c r="AF15" s="37"/>
    </row>
    <row r="16" spans="2:32" ht="15" thickBot="1" x14ac:dyDescent="0.35">
      <c r="B16" s="10">
        <v>43890</v>
      </c>
      <c r="C16" s="4">
        <v>10</v>
      </c>
      <c r="D16" s="4">
        <f>'dpc-covid-19-ita-andamento-naz'!L7</f>
        <v>1128</v>
      </c>
      <c r="E16" s="4">
        <f t="shared" si="7"/>
        <v>240</v>
      </c>
      <c r="F16" s="11">
        <f t="shared" si="0"/>
        <v>3054.7018350608037</v>
      </c>
      <c r="G16" s="11">
        <f t="shared" si="8"/>
        <v>595.99961989282428</v>
      </c>
      <c r="H16" s="11">
        <f t="shared" si="5"/>
        <v>2146.5429222820853</v>
      </c>
      <c r="I16" s="11">
        <f t="shared" si="6"/>
        <v>0</v>
      </c>
      <c r="J16" s="11">
        <f>'dpc-covid-19-ita-andamento-naz'!K7</f>
        <v>29</v>
      </c>
      <c r="K16" s="11">
        <f t="shared" si="4"/>
        <v>8</v>
      </c>
      <c r="L16" s="11">
        <f t="shared" si="1"/>
        <v>4.8745648024286572</v>
      </c>
      <c r="M16" s="11">
        <f t="shared" si="9"/>
        <v>2.3914125123897891</v>
      </c>
      <c r="N16" s="11">
        <f t="shared" si="2"/>
        <v>124.88658133868275</v>
      </c>
      <c r="O16" s="11">
        <f t="shared" si="3"/>
        <v>0</v>
      </c>
      <c r="P16" s="1"/>
      <c r="Q16" s="29" t="s">
        <v>72</v>
      </c>
      <c r="R16" s="30">
        <f>Kn/(EXP(1)*wn)</f>
        <v>5853.2059223467968</v>
      </c>
      <c r="AF16" s="38"/>
    </row>
    <row r="17" spans="2:32" ht="15" thickTop="1" x14ac:dyDescent="0.3">
      <c r="B17" s="20">
        <v>43891</v>
      </c>
      <c r="C17" s="4">
        <v>11</v>
      </c>
      <c r="D17" s="4">
        <f>'dpc-covid-19-ita-andamento-naz'!L8</f>
        <v>1694</v>
      </c>
      <c r="E17" s="4">
        <f t="shared" si="7"/>
        <v>566</v>
      </c>
      <c r="F17" s="11">
        <f t="shared" si="0"/>
        <v>3759.4258102678245</v>
      </c>
      <c r="G17" s="11">
        <f t="shared" si="8"/>
        <v>704.72397520702089</v>
      </c>
      <c r="H17" s="11">
        <f t="shared" si="5"/>
        <v>2255.2672775962819</v>
      </c>
      <c r="I17" s="11">
        <f t="shared" si="6"/>
        <v>0</v>
      </c>
      <c r="J17" s="11">
        <f>'dpc-covid-19-ita-andamento-naz'!K8</f>
        <v>34</v>
      </c>
      <c r="K17" s="11">
        <f t="shared" si="4"/>
        <v>5</v>
      </c>
      <c r="L17" s="11">
        <f t="shared" si="1"/>
        <v>9.1160158599324141</v>
      </c>
      <c r="M17" s="11">
        <f t="shared" si="9"/>
        <v>4.2414510575037569</v>
      </c>
      <c r="N17" s="11">
        <f t="shared" si="2"/>
        <v>126.73661988379671</v>
      </c>
      <c r="O17" s="11">
        <f t="shared" si="3"/>
        <v>0</v>
      </c>
      <c r="P17" s="1"/>
      <c r="Q17" s="21" t="s">
        <v>57</v>
      </c>
      <c r="R17" s="3"/>
      <c r="AF17" s="39">
        <f>MAX($R$24)</f>
        <v>0.96813078820985543</v>
      </c>
    </row>
    <row r="18" spans="2:32" x14ac:dyDescent="0.3">
      <c r="B18" s="10">
        <v>43892</v>
      </c>
      <c r="C18" s="4">
        <v>12</v>
      </c>
      <c r="D18" s="4">
        <f>'dpc-covid-19-ita-andamento-naz'!L9</f>
        <v>2036</v>
      </c>
      <c r="E18" s="4">
        <f t="shared" si="7"/>
        <v>342</v>
      </c>
      <c r="F18" s="11">
        <f t="shared" si="0"/>
        <v>4585.0410765561255</v>
      </c>
      <c r="G18" s="11">
        <f t="shared" si="8"/>
        <v>825.61526628830097</v>
      </c>
      <c r="H18" s="11">
        <f t="shared" si="5"/>
        <v>2376.158568677562</v>
      </c>
      <c r="I18" s="11">
        <f t="shared" si="6"/>
        <v>0</v>
      </c>
      <c r="J18" s="11">
        <f>'dpc-covid-19-ita-andamento-naz'!K9</f>
        <v>52</v>
      </c>
      <c r="K18" s="11">
        <f t="shared" si="4"/>
        <v>18</v>
      </c>
      <c r="L18" s="11">
        <f t="shared" si="1"/>
        <v>16.297672188946283</v>
      </c>
      <c r="M18" s="11">
        <f t="shared" si="9"/>
        <v>7.1816563290138689</v>
      </c>
      <c r="N18" s="11">
        <f t="shared" si="2"/>
        <v>129.67682515530683</v>
      </c>
      <c r="O18" s="11">
        <f t="shared" si="3"/>
        <v>0</v>
      </c>
      <c r="P18" s="1"/>
      <c r="Q18" s="19" t="s">
        <v>0</v>
      </c>
      <c r="R18" s="5">
        <v>29437</v>
      </c>
      <c r="AF18" s="40">
        <f>COUNT($R$18,$R$19,$R$20)</f>
        <v>3</v>
      </c>
    </row>
    <row r="19" spans="2:32" ht="15.6" x14ac:dyDescent="0.35">
      <c r="B19" s="10">
        <v>43893</v>
      </c>
      <c r="C19" s="4">
        <v>13</v>
      </c>
      <c r="D19" s="4">
        <f>'dpc-covid-19-ita-andamento-naz'!L10</f>
        <v>2502</v>
      </c>
      <c r="E19" s="4">
        <f t="shared" si="7"/>
        <v>466</v>
      </c>
      <c r="F19" s="11">
        <f t="shared" si="0"/>
        <v>5543.7720790043268</v>
      </c>
      <c r="G19" s="11">
        <f t="shared" si="8"/>
        <v>958.73100244820125</v>
      </c>
      <c r="H19" s="11">
        <f t="shared" si="5"/>
        <v>2509.2743048374623</v>
      </c>
      <c r="I19" s="11">
        <f t="shared" si="6"/>
        <v>0</v>
      </c>
      <c r="J19" s="11">
        <f>'dpc-covid-19-ita-andamento-naz'!K10</f>
        <v>79</v>
      </c>
      <c r="K19" s="11">
        <f t="shared" si="4"/>
        <v>27</v>
      </c>
      <c r="L19" s="11">
        <f t="shared" si="1"/>
        <v>27.944929239605475</v>
      </c>
      <c r="M19" s="11">
        <f t="shared" si="9"/>
        <v>11.647257050659192</v>
      </c>
      <c r="N19" s="11">
        <f t="shared" si="2"/>
        <v>134.14242587695213</v>
      </c>
      <c r="O19" s="11">
        <f t="shared" si="3"/>
        <v>0</v>
      </c>
      <c r="P19" s="1"/>
      <c r="Q19" s="19" t="s">
        <v>27</v>
      </c>
      <c r="R19" s="5">
        <v>39</v>
      </c>
      <c r="AF19" s="40" t="b">
        <f>$R$18=INT($R$18)</f>
        <v>1</v>
      </c>
    </row>
    <row r="20" spans="2:32" x14ac:dyDescent="0.3">
      <c r="B20" s="10">
        <v>43894</v>
      </c>
      <c r="C20" s="4">
        <v>14</v>
      </c>
      <c r="D20" s="4">
        <f>'dpc-covid-19-ita-andamento-naz'!L11</f>
        <v>3089</v>
      </c>
      <c r="E20" s="4">
        <f t="shared" si="7"/>
        <v>587</v>
      </c>
      <c r="F20" s="11">
        <f t="shared" si="0"/>
        <v>6647.7068216070547</v>
      </c>
      <c r="G20" s="11">
        <f t="shared" si="8"/>
        <v>1103.934742602728</v>
      </c>
      <c r="H20" s="11">
        <f t="shared" si="5"/>
        <v>2654.478044991989</v>
      </c>
      <c r="I20" s="11">
        <f t="shared" si="6"/>
        <v>0</v>
      </c>
      <c r="J20" s="11">
        <f>'dpc-covid-19-ita-andamento-naz'!K11</f>
        <v>107</v>
      </c>
      <c r="K20" s="11">
        <f t="shared" si="4"/>
        <v>28</v>
      </c>
      <c r="L20" s="11">
        <f t="shared" si="1"/>
        <v>46.0937407914465</v>
      </c>
      <c r="M20" s="11">
        <f t="shared" si="9"/>
        <v>18.148811551841025</v>
      </c>
      <c r="N20" s="11">
        <f t="shared" si="2"/>
        <v>140.64398037813399</v>
      </c>
      <c r="O20" s="11">
        <f t="shared" si="3"/>
        <v>0</v>
      </c>
      <c r="P20" s="1"/>
      <c r="Q20" s="19" t="s">
        <v>1</v>
      </c>
      <c r="R20" s="22">
        <v>13.40104847720395</v>
      </c>
      <c r="AF20" s="40" t="b">
        <f>$R$19=INT($R$19)</f>
        <v>1</v>
      </c>
    </row>
    <row r="21" spans="2:32" x14ac:dyDescent="0.3">
      <c r="B21" s="20">
        <v>43895</v>
      </c>
      <c r="C21" s="4">
        <v>15</v>
      </c>
      <c r="D21" s="4">
        <f>'dpc-covid-19-ita-andamento-naz'!L12</f>
        <v>3858</v>
      </c>
      <c r="E21" s="4">
        <f t="shared" si="7"/>
        <v>769</v>
      </c>
      <c r="F21" s="11">
        <f t="shared" si="0"/>
        <v>7908.5977509899358</v>
      </c>
      <c r="G21" s="11">
        <f t="shared" si="8"/>
        <v>1260.890929382881</v>
      </c>
      <c r="H21" s="11">
        <f t="shared" si="5"/>
        <v>2811.4342317721421</v>
      </c>
      <c r="I21" s="11">
        <f t="shared" si="6"/>
        <v>0</v>
      </c>
      <c r="J21" s="11">
        <f>'dpc-covid-19-ita-andamento-naz'!K12</f>
        <v>148</v>
      </c>
      <c r="K21" s="11">
        <f t="shared" si="4"/>
        <v>41</v>
      </c>
      <c r="L21" s="11">
        <f t="shared" si="1"/>
        <v>73.342071246669775</v>
      </c>
      <c r="M21" s="11">
        <f t="shared" si="9"/>
        <v>27.248330455223275</v>
      </c>
      <c r="N21" s="11">
        <f t="shared" si="2"/>
        <v>149.74349928151622</v>
      </c>
      <c r="O21" s="11">
        <f t="shared" si="3"/>
        <v>0</v>
      </c>
      <c r="P21" s="1"/>
      <c r="Q21" s="2" t="s">
        <v>2</v>
      </c>
      <c r="R21" s="1">
        <f>AVERAGE(K7:K70)</f>
        <v>333.65909090909093</v>
      </c>
      <c r="AF21" s="40">
        <f>{32767;32767;0.000001;0;FALSE;FALSE;FALSE;1;2;1;0.0001;TRUE}</f>
        <v>32767</v>
      </c>
    </row>
    <row r="22" spans="2:32" ht="15" thickBot="1" x14ac:dyDescent="0.35">
      <c r="B22" s="10">
        <v>43896</v>
      </c>
      <c r="C22" s="4">
        <v>16</v>
      </c>
      <c r="D22" s="4">
        <f>'dpc-covid-19-ita-andamento-naz'!L13</f>
        <v>4636</v>
      </c>
      <c r="E22" s="4">
        <f t="shared" si="7"/>
        <v>778</v>
      </c>
      <c r="F22" s="11">
        <f t="shared" si="0"/>
        <v>9337.6631006742555</v>
      </c>
      <c r="G22" s="11">
        <f t="shared" si="8"/>
        <v>1429.0653496843197</v>
      </c>
      <c r="H22" s="11">
        <f t="shared" si="5"/>
        <v>2979.6086520735807</v>
      </c>
      <c r="I22" s="11">
        <f t="shared" si="6"/>
        <v>0</v>
      </c>
      <c r="J22" s="11">
        <f>'dpc-covid-19-ita-andamento-naz'!K13</f>
        <v>197</v>
      </c>
      <c r="K22" s="11">
        <f t="shared" si="4"/>
        <v>49</v>
      </c>
      <c r="L22" s="11">
        <f t="shared" si="1"/>
        <v>112.86528171923055</v>
      </c>
      <c r="M22" s="11">
        <f t="shared" si="9"/>
        <v>39.523210472560777</v>
      </c>
      <c r="N22" s="11">
        <f t="shared" si="2"/>
        <v>162.01837929885374</v>
      </c>
      <c r="O22" s="11">
        <f t="shared" si="3"/>
        <v>0</v>
      </c>
      <c r="P22" s="1"/>
      <c r="Q22" s="2" t="s">
        <v>3</v>
      </c>
      <c r="R22" s="1">
        <f>COUNT(K7:K70)-COUNT(R18:R20)</f>
        <v>41</v>
      </c>
      <c r="AF22" s="41">
        <f>{0;0;1;100;0;FALSE;FALSE;0.075;0;0;FALSE;30}</f>
        <v>0</v>
      </c>
    </row>
    <row r="23" spans="2:32" x14ac:dyDescent="0.3">
      <c r="B23" s="10">
        <v>43897</v>
      </c>
      <c r="C23" s="4">
        <v>17</v>
      </c>
      <c r="D23" s="4">
        <f>'dpc-covid-19-ita-andamento-naz'!L14</f>
        <v>5883</v>
      </c>
      <c r="E23" s="4">
        <f t="shared" si="7"/>
        <v>1247</v>
      </c>
      <c r="F23" s="11">
        <f t="shared" si="0"/>
        <v>10945.394209112554</v>
      </c>
      <c r="G23" s="11">
        <f t="shared" si="8"/>
        <v>1607.7311084382982</v>
      </c>
      <c r="H23" s="11">
        <f t="shared" si="5"/>
        <v>3158.2744108275592</v>
      </c>
      <c r="I23" s="11">
        <f t="shared" si="6"/>
        <v>57.187806049037135</v>
      </c>
      <c r="J23" s="11">
        <f>'dpc-covid-19-ita-andamento-naz'!K14</f>
        <v>233</v>
      </c>
      <c r="K23" s="11">
        <f t="shared" si="4"/>
        <v>36</v>
      </c>
      <c r="L23" s="11">
        <f t="shared" si="1"/>
        <v>168.38618682539629</v>
      </c>
      <c r="M23" s="11">
        <f t="shared" si="9"/>
        <v>55.520905106165742</v>
      </c>
      <c r="N23" s="11">
        <f t="shared" si="2"/>
        <v>178.01607393245871</v>
      </c>
      <c r="O23" s="11">
        <f t="shared" si="3"/>
        <v>0</v>
      </c>
      <c r="P23" s="1"/>
      <c r="Q23" s="2" t="s">
        <v>4</v>
      </c>
      <c r="R23" s="7" cm="1">
        <f t="array" ref="R23">SQRT(SUM((K7:K50-M7:M50)^2)/dfd)</f>
        <v>60.654956061387189</v>
      </c>
    </row>
    <row r="24" spans="2:32" ht="16.2" x14ac:dyDescent="0.3">
      <c r="B24" s="20">
        <v>43898</v>
      </c>
      <c r="C24" s="4">
        <v>18</v>
      </c>
      <c r="D24" s="4">
        <f>'dpc-covid-19-ita-andamento-naz'!L15</f>
        <v>7375</v>
      </c>
      <c r="E24" s="4">
        <f t="shared" si="7"/>
        <v>1492</v>
      </c>
      <c r="F24" s="11">
        <f t="shared" si="0"/>
        <v>12741.37398692356</v>
      </c>
      <c r="G24" s="11">
        <f t="shared" si="8"/>
        <v>1795.979777811006</v>
      </c>
      <c r="H24" s="11">
        <f t="shared" si="5"/>
        <v>3346.523080200267</v>
      </c>
      <c r="I24" s="11">
        <f t="shared" si="6"/>
        <v>245.43647542174494</v>
      </c>
      <c r="J24" s="11">
        <f>'dpc-covid-19-ita-andamento-naz'!K15</f>
        <v>366</v>
      </c>
      <c r="K24" s="11">
        <f t="shared" si="4"/>
        <v>133</v>
      </c>
      <c r="L24" s="11">
        <f t="shared" si="1"/>
        <v>244.09527154470854</v>
      </c>
      <c r="M24" s="11">
        <f t="shared" si="9"/>
        <v>75.709084719312244</v>
      </c>
      <c r="N24" s="11">
        <f t="shared" si="2"/>
        <v>198.20425354560518</v>
      </c>
      <c r="O24" s="11">
        <f t="shared" si="3"/>
        <v>0</v>
      </c>
      <c r="P24" s="1"/>
      <c r="Q24" s="2" t="s">
        <v>5</v>
      </c>
      <c r="R24" s="8" cm="1">
        <f t="array" ref="R24">1-SUM((K7:K50-M7:M50)^2)/SUM((K7:K50-Mean_of_yd)^2)</f>
        <v>0.96813078820985543</v>
      </c>
    </row>
    <row r="25" spans="2:32" x14ac:dyDescent="0.3">
      <c r="B25" s="10">
        <v>43899</v>
      </c>
      <c r="C25" s="4">
        <v>19</v>
      </c>
      <c r="D25" s="4">
        <f>'dpc-covid-19-ita-andamento-naz'!L16</f>
        <v>9172</v>
      </c>
      <c r="E25" s="4">
        <f t="shared" si="7"/>
        <v>1797</v>
      </c>
      <c r="F25" s="11">
        <f t="shared" si="0"/>
        <v>14734.111178699181</v>
      </c>
      <c r="G25" s="11">
        <f t="shared" si="8"/>
        <v>1992.7371917756209</v>
      </c>
      <c r="H25" s="11">
        <f t="shared" si="5"/>
        <v>3543.2804941648819</v>
      </c>
      <c r="I25" s="11">
        <f t="shared" si="6"/>
        <v>442.19388938635984</v>
      </c>
      <c r="J25" s="11">
        <f>'dpc-covid-19-ita-andamento-naz'!K16</f>
        <v>463</v>
      </c>
      <c r="K25" s="11">
        <f t="shared" si="4"/>
        <v>97</v>
      </c>
      <c r="L25" s="11">
        <f t="shared" si="1"/>
        <v>344.52235239034763</v>
      </c>
      <c r="M25" s="11">
        <f t="shared" si="9"/>
        <v>100.4270808456391</v>
      </c>
      <c r="N25" s="11">
        <f t="shared" si="2"/>
        <v>222.92224967193204</v>
      </c>
      <c r="O25" s="11">
        <f t="shared" si="3"/>
        <v>0</v>
      </c>
      <c r="P25" s="1"/>
      <c r="Q25" s="2" t="s">
        <v>6</v>
      </c>
      <c r="R25" s="8">
        <f>TINV(0.05,dfd)</f>
        <v>2.0195409704413767</v>
      </c>
    </row>
    <row r="26" spans="2:32" x14ac:dyDescent="0.3">
      <c r="B26" s="20">
        <v>43900</v>
      </c>
      <c r="C26" s="4">
        <v>20</v>
      </c>
      <c r="D26" s="4">
        <f>'dpc-covid-19-ita-andamento-naz'!L17</f>
        <v>10149</v>
      </c>
      <c r="E26" s="4">
        <f t="shared" si="7"/>
        <v>977</v>
      </c>
      <c r="F26" s="11">
        <f t="shared" si="0"/>
        <v>16930.894382250171</v>
      </c>
      <c r="G26" s="11">
        <f t="shared" si="8"/>
        <v>2196.7832035509909</v>
      </c>
      <c r="H26" s="11">
        <f t="shared" si="5"/>
        <v>3747.326505940252</v>
      </c>
      <c r="I26" s="11">
        <f t="shared" si="6"/>
        <v>646.2399011617299</v>
      </c>
      <c r="J26" s="11">
        <f>'dpc-covid-19-ita-andamento-naz'!K17</f>
        <v>631</v>
      </c>
      <c r="K26" s="11">
        <f t="shared" si="4"/>
        <v>168</v>
      </c>
      <c r="L26" s="11">
        <f t="shared" si="1"/>
        <v>474.36681678784197</v>
      </c>
      <c r="M26" s="11">
        <f t="shared" si="9"/>
        <v>129.84446439749433</v>
      </c>
      <c r="N26" s="11">
        <f t="shared" si="2"/>
        <v>252.3396332237873</v>
      </c>
      <c r="O26" s="11">
        <f t="shared" si="3"/>
        <v>7.349295571201381</v>
      </c>
      <c r="P26" s="1"/>
      <c r="Q26" s="2" t="s">
        <v>7</v>
      </c>
      <c r="R26" s="1">
        <f>Critical_td*SE_of_yd</f>
        <v>122.49516882629295</v>
      </c>
    </row>
    <row r="27" spans="2:32" x14ac:dyDescent="0.3">
      <c r="B27" s="10">
        <v>43901</v>
      </c>
      <c r="C27" s="4">
        <v>21</v>
      </c>
      <c r="D27" s="4">
        <f>'dpc-covid-19-ita-andamento-naz'!L18</f>
        <v>12462</v>
      </c>
      <c r="E27" s="4">
        <f t="shared" si="7"/>
        <v>2313</v>
      </c>
      <c r="F27" s="11">
        <f t="shared" si="0"/>
        <v>19337.668997147801</v>
      </c>
      <c r="G27" s="11">
        <f t="shared" si="8"/>
        <v>2406.7746148976294</v>
      </c>
      <c r="H27" s="11">
        <f t="shared" si="5"/>
        <v>3957.3179172868904</v>
      </c>
      <c r="I27" s="11">
        <f t="shared" si="6"/>
        <v>856.23131250836832</v>
      </c>
      <c r="J27" s="11">
        <f>'dpc-covid-19-ita-andamento-naz'!K18</f>
        <v>827</v>
      </c>
      <c r="K27" s="11">
        <f t="shared" si="4"/>
        <v>196</v>
      </c>
      <c r="L27" s="11">
        <f t="shared" si="1"/>
        <v>638.29851970538971</v>
      </c>
      <c r="M27" s="11">
        <f t="shared" si="9"/>
        <v>163.93170291754774</v>
      </c>
      <c r="N27" s="11">
        <f t="shared" si="2"/>
        <v>286.42687174384071</v>
      </c>
      <c r="O27" s="11">
        <f t="shared" si="3"/>
        <v>41.436534091254785</v>
      </c>
      <c r="P27" s="1"/>
      <c r="Q27" s="27" t="s">
        <v>72</v>
      </c>
      <c r="R27" s="28">
        <f>Kd/(EXP(1)*wd)</f>
        <v>808.0910331893084</v>
      </c>
    </row>
    <row r="28" spans="2:32" x14ac:dyDescent="0.3">
      <c r="B28" s="20">
        <v>43902</v>
      </c>
      <c r="C28" s="4">
        <v>22</v>
      </c>
      <c r="D28" s="4">
        <f>'dpc-covid-19-ita-andamento-naz'!L19</f>
        <v>15113</v>
      </c>
      <c r="E28" s="4">
        <f t="shared" si="7"/>
        <v>2651</v>
      </c>
      <c r="F28" s="11">
        <f t="shared" si="0"/>
        <v>21958.939419809012</v>
      </c>
      <c r="G28" s="11">
        <f t="shared" si="8"/>
        <v>2621.2704226612113</v>
      </c>
      <c r="H28" s="11">
        <f t="shared" si="5"/>
        <v>4171.8137250504724</v>
      </c>
      <c r="I28" s="11">
        <f t="shared" si="6"/>
        <v>1070.7271202719503</v>
      </c>
      <c r="J28" s="11">
        <f>'dpc-covid-19-ita-andamento-naz'!K19</f>
        <v>1016</v>
      </c>
      <c r="K28" s="11">
        <f t="shared" si="4"/>
        <v>189</v>
      </c>
      <c r="L28" s="11">
        <f t="shared" si="1"/>
        <v>840.74472538088048</v>
      </c>
      <c r="M28" s="11">
        <f t="shared" si="9"/>
        <v>202.44620567549077</v>
      </c>
      <c r="N28" s="11">
        <f t="shared" si="2"/>
        <v>324.94137450178374</v>
      </c>
      <c r="O28" s="11">
        <f t="shared" si="3"/>
        <v>79.95103684919782</v>
      </c>
      <c r="P28" s="1"/>
      <c r="Q28" s="6"/>
    </row>
    <row r="29" spans="2:32" x14ac:dyDescent="0.3">
      <c r="B29" s="10">
        <v>43903</v>
      </c>
      <c r="C29" s="4">
        <v>23</v>
      </c>
      <c r="D29" s="4">
        <f>'dpc-covid-19-ita-andamento-naz'!L20</f>
        <v>17660</v>
      </c>
      <c r="E29" s="4">
        <f t="shared" si="7"/>
        <v>2547</v>
      </c>
      <c r="F29" s="11">
        <f t="shared" si="0"/>
        <v>24797.697927255078</v>
      </c>
      <c r="G29" s="11">
        <f t="shared" si="8"/>
        <v>2838.7585074460658</v>
      </c>
      <c r="H29" s="11">
        <f t="shared" si="5"/>
        <v>4389.3018098353268</v>
      </c>
      <c r="I29" s="11">
        <f t="shared" si="6"/>
        <v>1288.2152050568047</v>
      </c>
      <c r="J29" s="11">
        <f>'dpc-covid-19-ita-andamento-naz'!K20</f>
        <v>1266</v>
      </c>
      <c r="K29" s="11">
        <f t="shared" si="4"/>
        <v>250</v>
      </c>
      <c r="L29" s="11">
        <f t="shared" si="1"/>
        <v>1085.6797706055743</v>
      </c>
      <c r="M29" s="11">
        <f t="shared" si="9"/>
        <v>244.93504522469379</v>
      </c>
      <c r="N29" s="11">
        <f t="shared" si="2"/>
        <v>367.43021405098676</v>
      </c>
      <c r="O29" s="11">
        <f t="shared" si="3"/>
        <v>122.43987639840084</v>
      </c>
      <c r="P29" s="1"/>
    </row>
    <row r="30" spans="2:32" x14ac:dyDescent="0.3">
      <c r="B30" s="10">
        <v>43904</v>
      </c>
      <c r="C30" s="4">
        <v>24</v>
      </c>
      <c r="D30" s="4">
        <f>'dpc-covid-19-ita-andamento-naz'!L21</f>
        <v>21157</v>
      </c>
      <c r="E30" s="4">
        <f t="shared" si="7"/>
        <v>3497</v>
      </c>
      <c r="F30" s="11">
        <f t="shared" si="0"/>
        <v>27855.380835103755</v>
      </c>
      <c r="G30" s="11">
        <f t="shared" si="8"/>
        <v>3057.6829078486771</v>
      </c>
      <c r="H30" s="11">
        <f t="shared" si="5"/>
        <v>4608.2262102379382</v>
      </c>
      <c r="I30" s="11">
        <f t="shared" si="6"/>
        <v>1507.1396054594161</v>
      </c>
      <c r="J30" s="11">
        <f>'dpc-covid-19-ita-andamento-naz'!K21</f>
        <v>1441</v>
      </c>
      <c r="K30" s="11">
        <f t="shared" si="4"/>
        <v>175</v>
      </c>
      <c r="L30" s="11">
        <f t="shared" si="1"/>
        <v>1376.4333848860233</v>
      </c>
      <c r="M30" s="11">
        <f t="shared" si="9"/>
        <v>290.75361428044903</v>
      </c>
      <c r="N30" s="11">
        <f t="shared" si="2"/>
        <v>413.248783106742</v>
      </c>
      <c r="O30" s="11">
        <f t="shared" si="3"/>
        <v>168.25844545415606</v>
      </c>
      <c r="P30" s="1"/>
    </row>
    <row r="31" spans="2:32" x14ac:dyDescent="0.3">
      <c r="B31" s="10">
        <v>43905</v>
      </c>
      <c r="C31" s="4">
        <v>25</v>
      </c>
      <c r="D31" s="4">
        <f>'dpc-covid-19-ita-andamento-naz'!L22</f>
        <v>24747</v>
      </c>
      <c r="E31" s="4">
        <f t="shared" si="7"/>
        <v>3590</v>
      </c>
      <c r="F31" s="11">
        <f t="shared" si="0"/>
        <v>31131.851710729821</v>
      </c>
      <c r="G31" s="11">
        <f t="shared" si="8"/>
        <v>3276.4708756260661</v>
      </c>
      <c r="H31" s="11">
        <f t="shared" si="5"/>
        <v>4827.0141780153272</v>
      </c>
      <c r="I31" s="11">
        <f t="shared" si="6"/>
        <v>1725.9275732368051</v>
      </c>
      <c r="J31" s="11">
        <f>'dpc-covid-19-ita-andamento-naz'!K22</f>
        <v>1809</v>
      </c>
      <c r="K31" s="11">
        <f t="shared" si="4"/>
        <v>368</v>
      </c>
      <c r="L31" s="11">
        <f t="shared" si="1"/>
        <v>1715.5311411015387</v>
      </c>
      <c r="M31" s="11">
        <f t="shared" si="9"/>
        <v>339.09775621551535</v>
      </c>
      <c r="N31" s="11">
        <f t="shared" si="2"/>
        <v>461.59292504180831</v>
      </c>
      <c r="O31" s="11">
        <f t="shared" si="3"/>
        <v>216.60258738922238</v>
      </c>
      <c r="P31" s="1"/>
    </row>
    <row r="32" spans="2:32" x14ac:dyDescent="0.3">
      <c r="B32" s="10">
        <v>43906</v>
      </c>
      <c r="C32" s="4">
        <v>26</v>
      </c>
      <c r="D32" s="4">
        <f>'dpc-covid-19-ita-andamento-naz'!L23</f>
        <v>27980</v>
      </c>
      <c r="E32" s="4">
        <f t="shared" si="7"/>
        <v>3233</v>
      </c>
      <c r="F32" s="11">
        <f t="shared" si="0"/>
        <v>34625.4106965799</v>
      </c>
      <c r="G32" s="11">
        <f t="shared" si="8"/>
        <v>3493.5589858500789</v>
      </c>
      <c r="H32" s="11">
        <f t="shared" si="5"/>
        <v>5044.1022882393399</v>
      </c>
      <c r="I32" s="11">
        <f t="shared" si="6"/>
        <v>1943.0156834608179</v>
      </c>
      <c r="J32" s="11">
        <f>'dpc-covid-19-ita-andamento-naz'!K23</f>
        <v>2158</v>
      </c>
      <c r="K32" s="11">
        <f t="shared" si="4"/>
        <v>349</v>
      </c>
      <c r="L32" s="11">
        <f t="shared" si="1"/>
        <v>2104.5768484409318</v>
      </c>
      <c r="M32" s="11">
        <f t="shared" si="9"/>
        <v>389.04570733939318</v>
      </c>
      <c r="N32" s="11">
        <f t="shared" si="2"/>
        <v>511.54087616568614</v>
      </c>
      <c r="O32" s="11">
        <f t="shared" si="3"/>
        <v>266.55053851310021</v>
      </c>
      <c r="P32" s="1"/>
    </row>
    <row r="33" spans="2:21" x14ac:dyDescent="0.3">
      <c r="B33" s="10">
        <v>43907</v>
      </c>
      <c r="C33" s="4">
        <v>27</v>
      </c>
      <c r="D33" s="4">
        <f>'dpc-covid-19-ita-andamento-naz'!L24</f>
        <v>31506</v>
      </c>
      <c r="E33" s="4">
        <f t="shared" si="7"/>
        <v>3526</v>
      </c>
      <c r="F33" s="11">
        <f t="shared" si="0"/>
        <v>38332.828370991891</v>
      </c>
      <c r="G33" s="11">
        <f t="shared" si="8"/>
        <v>3707.4176744119904</v>
      </c>
      <c r="H33" s="11">
        <f t="shared" si="5"/>
        <v>5257.9609768012515</v>
      </c>
      <c r="I33" s="11">
        <f t="shared" si="6"/>
        <v>2156.8743720227294</v>
      </c>
      <c r="J33" s="11">
        <f>'dpc-covid-19-ita-andamento-naz'!K24</f>
        <v>2503</v>
      </c>
      <c r="K33" s="11">
        <f t="shared" si="4"/>
        <v>345</v>
      </c>
      <c r="L33" s="11">
        <f t="shared" si="1"/>
        <v>2544.1824443700229</v>
      </c>
      <c r="M33" s="11">
        <f t="shared" si="9"/>
        <v>439.60559592909112</v>
      </c>
      <c r="N33" s="11">
        <f t="shared" si="2"/>
        <v>562.10076475538403</v>
      </c>
      <c r="O33" s="11">
        <f t="shared" si="3"/>
        <v>317.11042710279816</v>
      </c>
      <c r="P33" s="1"/>
    </row>
    <row r="34" spans="2:21" x14ac:dyDescent="0.3">
      <c r="B34" s="10">
        <v>43908</v>
      </c>
      <c r="C34" s="4">
        <v>28</v>
      </c>
      <c r="D34" s="4">
        <f>'dpc-covid-19-ita-andamento-naz'!L25</f>
        <v>35713</v>
      </c>
      <c r="E34" s="4">
        <f t="shared" si="7"/>
        <v>4207</v>
      </c>
      <c r="F34" s="11">
        <f t="shared" si="0"/>
        <v>42249.402057136482</v>
      </c>
      <c r="G34" s="11">
        <f t="shared" si="8"/>
        <v>3916.5736861445912</v>
      </c>
      <c r="H34" s="11">
        <f t="shared" si="5"/>
        <v>5467.1169885338522</v>
      </c>
      <c r="I34" s="11">
        <f t="shared" si="6"/>
        <v>2366.0303837553301</v>
      </c>
      <c r="J34" s="11">
        <f>'dpc-covid-19-ita-andamento-naz'!K25</f>
        <v>2978</v>
      </c>
      <c r="K34" s="11">
        <f t="shared" si="4"/>
        <v>475</v>
      </c>
      <c r="L34" s="11">
        <f t="shared" si="1"/>
        <v>3033.9466750464567</v>
      </c>
      <c r="M34" s="11">
        <f t="shared" si="9"/>
        <v>489.76423067643373</v>
      </c>
      <c r="N34" s="11">
        <f t="shared" si="2"/>
        <v>612.25939950272664</v>
      </c>
      <c r="O34" s="11">
        <f t="shared" si="3"/>
        <v>367.26906185014076</v>
      </c>
      <c r="U34" s="1"/>
    </row>
    <row r="35" spans="2:21" x14ac:dyDescent="0.3">
      <c r="B35" s="10">
        <v>43909</v>
      </c>
      <c r="C35" s="4">
        <v>29</v>
      </c>
      <c r="D35" s="4">
        <f>'dpc-covid-19-ita-andamento-naz'!L26</f>
        <v>41035</v>
      </c>
      <c r="E35" s="4">
        <f t="shared" si="7"/>
        <v>5322</v>
      </c>
      <c r="F35" s="11">
        <f t="shared" si="0"/>
        <v>46369.032090880442</v>
      </c>
      <c r="G35" s="11">
        <f t="shared" si="8"/>
        <v>4119.6300337439607</v>
      </c>
      <c r="H35" s="11">
        <f t="shared" si="5"/>
        <v>5670.1733361332217</v>
      </c>
      <c r="I35" s="11">
        <f t="shared" si="6"/>
        <v>2569.0867313546996</v>
      </c>
      <c r="J35" s="11">
        <f>'dpc-covid-19-ita-andamento-naz'!K26</f>
        <v>3405</v>
      </c>
      <c r="K35" s="11">
        <f t="shared" si="4"/>
        <v>427</v>
      </c>
      <c r="L35" s="11">
        <f t="shared" si="1"/>
        <v>3572.4800471850158</v>
      </c>
      <c r="M35" s="11">
        <f t="shared" si="9"/>
        <v>538.53337213855912</v>
      </c>
      <c r="N35" s="11">
        <f t="shared" si="2"/>
        <v>661.02854096485203</v>
      </c>
      <c r="O35" s="11">
        <f t="shared" si="3"/>
        <v>416.03820331226615</v>
      </c>
    </row>
    <row r="36" spans="2:21" x14ac:dyDescent="0.3">
      <c r="B36" s="10">
        <v>43910</v>
      </c>
      <c r="C36" s="4">
        <v>30</v>
      </c>
      <c r="D36" s="4">
        <f>'dpc-covid-19-ita-andamento-naz'!L27</f>
        <v>47021</v>
      </c>
      <c r="E36" s="4">
        <f t="shared" si="7"/>
        <v>5986</v>
      </c>
      <c r="F36" s="11">
        <f t="shared" si="0"/>
        <v>50684.31527563549</v>
      </c>
      <c r="G36" s="11">
        <f t="shared" si="8"/>
        <v>4315.2831847550478</v>
      </c>
      <c r="H36" s="11">
        <f t="shared" si="5"/>
        <v>5865.8264871443089</v>
      </c>
      <c r="I36" s="11">
        <f t="shared" si="6"/>
        <v>2764.7398823657868</v>
      </c>
      <c r="J36" s="11">
        <f>'dpc-covid-19-ita-andamento-naz'!K27</f>
        <v>4032</v>
      </c>
      <c r="K36" s="11">
        <f t="shared" si="4"/>
        <v>627</v>
      </c>
      <c r="L36" s="11">
        <f t="shared" si="1"/>
        <v>4157.4705105597395</v>
      </c>
      <c r="M36" s="11">
        <f t="shared" si="9"/>
        <v>584.99046337472373</v>
      </c>
      <c r="N36" s="11">
        <f t="shared" si="2"/>
        <v>707.48563220101664</v>
      </c>
      <c r="O36" s="11">
        <f t="shared" si="3"/>
        <v>462.49529454843076</v>
      </c>
    </row>
    <row r="37" spans="2:21" x14ac:dyDescent="0.3">
      <c r="B37" s="10">
        <v>43911</v>
      </c>
      <c r="C37" s="4">
        <v>31</v>
      </c>
      <c r="D37" s="4">
        <f>'dpc-covid-19-ita-andamento-naz'!L28</f>
        <v>53578</v>
      </c>
      <c r="E37" s="4">
        <f t="shared" si="7"/>
        <v>6557</v>
      </c>
      <c r="F37" s="11">
        <f t="shared" si="0"/>
        <v>55186.652581874951</v>
      </c>
      <c r="G37" s="11">
        <f t="shared" si="8"/>
        <v>4502.3373062394603</v>
      </c>
      <c r="H37" s="11">
        <f t="shared" si="5"/>
        <v>6052.8806086287213</v>
      </c>
      <c r="I37" s="11">
        <f t="shared" si="6"/>
        <v>2951.7940038501993</v>
      </c>
      <c r="J37" s="11">
        <f>'dpc-covid-19-ita-andamento-naz'!K28</f>
        <v>4825</v>
      </c>
      <c r="K37" s="11">
        <f t="shared" si="4"/>
        <v>793</v>
      </c>
      <c r="L37" s="11">
        <f t="shared" si="1"/>
        <v>4785.7822504161441</v>
      </c>
      <c r="M37" s="11">
        <f t="shared" si="9"/>
        <v>628.31173985640453</v>
      </c>
      <c r="N37" s="11">
        <f t="shared" si="2"/>
        <v>750.80690868269744</v>
      </c>
      <c r="O37" s="11">
        <f t="shared" si="3"/>
        <v>505.81657103011156</v>
      </c>
    </row>
    <row r="38" spans="2:21" x14ac:dyDescent="0.3">
      <c r="B38" s="10">
        <v>43912</v>
      </c>
      <c r="C38" s="4">
        <v>32</v>
      </c>
      <c r="D38" s="4">
        <f>'dpc-covid-19-ita-andamento-naz'!L29</f>
        <v>59138</v>
      </c>
      <c r="E38" s="4">
        <f t="shared" si="7"/>
        <v>5560</v>
      </c>
      <c r="F38" s="11">
        <f t="shared" si="0"/>
        <v>59866.368082364366</v>
      </c>
      <c r="G38" s="11">
        <f t="shared" si="8"/>
        <v>4679.7155004894157</v>
      </c>
      <c r="H38" s="11">
        <f t="shared" si="5"/>
        <v>6230.2588028786768</v>
      </c>
      <c r="I38" s="11">
        <f t="shared" si="6"/>
        <v>3129.1721981001547</v>
      </c>
      <c r="J38" s="11">
        <f>'dpc-covid-19-ita-andamento-naz'!K29</f>
        <v>5476</v>
      </c>
      <c r="K38" s="11">
        <f t="shared" si="4"/>
        <v>651</v>
      </c>
      <c r="L38" s="11">
        <f t="shared" si="1"/>
        <v>5453.5788516720431</v>
      </c>
      <c r="M38" s="11">
        <f t="shared" si="9"/>
        <v>667.79660125589908</v>
      </c>
      <c r="N38" s="11">
        <f t="shared" si="2"/>
        <v>790.29177008219199</v>
      </c>
      <c r="O38" s="11">
        <f t="shared" si="3"/>
        <v>545.30143242960617</v>
      </c>
    </row>
    <row r="39" spans="2:21" x14ac:dyDescent="0.3">
      <c r="B39" s="20">
        <v>43913</v>
      </c>
      <c r="C39" s="4">
        <v>33</v>
      </c>
      <c r="D39" s="4">
        <f>'dpc-covid-19-ita-andamento-naz'!L30</f>
        <v>63927</v>
      </c>
      <c r="E39" s="4">
        <f t="shared" si="7"/>
        <v>4789</v>
      </c>
      <c r="F39" s="11">
        <f t="shared" ref="F39:F70" si="10">Kn*EXP(-EXP(-($C39-t0n)/wn))</f>
        <v>64712.836139830804</v>
      </c>
      <c r="G39" s="11">
        <f t="shared" si="8"/>
        <v>4846.468057466438</v>
      </c>
      <c r="H39" s="11">
        <f t="shared" si="5"/>
        <v>6397.0113598556991</v>
      </c>
      <c r="I39" s="11">
        <f t="shared" si="6"/>
        <v>3295.924755077177</v>
      </c>
      <c r="J39" s="11">
        <f>'dpc-covid-19-ita-andamento-naz'!K30</f>
        <v>6077</v>
      </c>
      <c r="K39" s="11">
        <f t="shared" si="4"/>
        <v>601</v>
      </c>
      <c r="L39" s="11">
        <f t="shared" ref="L39:L70" si="11">Kd*EXP(-EXP(-($C39-t0d)/wd))</f>
        <v>6156.4618512860925</v>
      </c>
      <c r="M39" s="11">
        <f t="shared" si="9"/>
        <v>702.88299961404937</v>
      </c>
      <c r="N39" s="11">
        <f t="shared" si="2"/>
        <v>825.37816844034228</v>
      </c>
      <c r="O39" s="11">
        <f t="shared" si="3"/>
        <v>580.38783078775646</v>
      </c>
    </row>
    <row r="40" spans="2:21" x14ac:dyDescent="0.3">
      <c r="B40" s="10">
        <v>43914</v>
      </c>
      <c r="C40" s="4">
        <v>34</v>
      </c>
      <c r="D40" s="4">
        <f>'dpc-covid-19-ita-andamento-naz'!L31</f>
        <v>69176</v>
      </c>
      <c r="E40" s="4">
        <f t="shared" si="7"/>
        <v>5249</v>
      </c>
      <c r="F40" s="11">
        <f t="shared" si="10"/>
        <v>69714.613968516875</v>
      </c>
      <c r="G40" s="11">
        <f t="shared" si="8"/>
        <v>5001.7778286860703</v>
      </c>
      <c r="H40" s="11">
        <f t="shared" si="5"/>
        <v>6552.3211310753313</v>
      </c>
      <c r="I40" s="11">
        <f t="shared" si="6"/>
        <v>3451.2345262968092</v>
      </c>
      <c r="J40" s="11">
        <f>'dpc-covid-19-ita-andamento-naz'!K31</f>
        <v>6820</v>
      </c>
      <c r="K40" s="11">
        <f t="shared" si="4"/>
        <v>743</v>
      </c>
      <c r="L40" s="11">
        <f t="shared" si="11"/>
        <v>6889.6161609143601</v>
      </c>
      <c r="M40" s="11">
        <f t="shared" si="9"/>
        <v>733.15430962826758</v>
      </c>
      <c r="N40" s="11">
        <f t="shared" si="2"/>
        <v>855.64947845456049</v>
      </c>
      <c r="O40" s="11">
        <f t="shared" si="3"/>
        <v>610.65914080197467</v>
      </c>
    </row>
    <row r="41" spans="2:21" x14ac:dyDescent="0.3">
      <c r="B41" s="10">
        <v>43915</v>
      </c>
      <c r="C41" s="4">
        <v>35</v>
      </c>
      <c r="D41" s="4">
        <f>'dpc-covid-19-ita-andamento-naz'!L32</f>
        <v>74386</v>
      </c>
      <c r="E41" s="4">
        <f t="shared" si="7"/>
        <v>5210</v>
      </c>
      <c r="F41" s="11">
        <f t="shared" si="10"/>
        <v>74859.576860622255</v>
      </c>
      <c r="G41" s="11">
        <f t="shared" si="8"/>
        <v>5144.9628921053809</v>
      </c>
      <c r="H41" s="11">
        <f t="shared" si="5"/>
        <v>6695.5061944946419</v>
      </c>
      <c r="I41" s="11">
        <f t="shared" si="6"/>
        <v>3594.4195897161198</v>
      </c>
      <c r="J41" s="11">
        <f>'dpc-covid-19-ita-andamento-naz'!K32</f>
        <v>7503</v>
      </c>
      <c r="K41" s="11">
        <f t="shared" si="4"/>
        <v>683</v>
      </c>
      <c r="L41" s="11">
        <f t="shared" si="11"/>
        <v>7647.9548255351556</v>
      </c>
      <c r="M41" s="11">
        <f t="shared" si="9"/>
        <v>758.3386646207955</v>
      </c>
      <c r="N41" s="11">
        <f t="shared" si="2"/>
        <v>880.83383344708841</v>
      </c>
      <c r="O41" s="11">
        <f t="shared" si="3"/>
        <v>635.84349579450259</v>
      </c>
    </row>
    <row r="42" spans="2:21" x14ac:dyDescent="0.3">
      <c r="B42" s="10">
        <v>43916</v>
      </c>
      <c r="C42" s="4">
        <v>36</v>
      </c>
      <c r="D42" s="4">
        <f>'dpc-covid-19-ita-andamento-naz'!L33</f>
        <v>80539</v>
      </c>
      <c r="E42" s="4">
        <f t="shared" si="7"/>
        <v>6153</v>
      </c>
      <c r="F42" s="11">
        <f t="shared" si="10"/>
        <v>80135.05358865537</v>
      </c>
      <c r="G42" s="11">
        <f t="shared" si="8"/>
        <v>5275.4767280331143</v>
      </c>
      <c r="H42" s="11">
        <f t="shared" si="5"/>
        <v>6826.0200304223754</v>
      </c>
      <c r="I42" s="11">
        <f t="shared" si="6"/>
        <v>3724.9334256438533</v>
      </c>
      <c r="J42" s="11">
        <f>'dpc-covid-19-ita-andamento-naz'!K33</f>
        <v>8165</v>
      </c>
      <c r="K42" s="11">
        <f t="shared" si="4"/>
        <v>662</v>
      </c>
      <c r="L42" s="11">
        <f t="shared" si="11"/>
        <v>8426.2568894394062</v>
      </c>
      <c r="M42" s="11">
        <f t="shared" si="9"/>
        <v>778.30206390425064</v>
      </c>
      <c r="N42" s="11">
        <f t="shared" si="2"/>
        <v>900.79723273054356</v>
      </c>
      <c r="O42" s="11">
        <f t="shared" si="3"/>
        <v>655.80689507795773</v>
      </c>
    </row>
    <row r="43" spans="2:21" x14ac:dyDescent="0.3">
      <c r="B43" s="10">
        <v>43917</v>
      </c>
      <c r="C43" s="4">
        <v>37</v>
      </c>
      <c r="D43" s="4">
        <f>'dpc-covid-19-ita-andamento-naz'!L34</f>
        <v>86498</v>
      </c>
      <c r="E43" s="4">
        <f t="shared" si="7"/>
        <v>5959</v>
      </c>
      <c r="F43" s="11">
        <f t="shared" si="10"/>
        <v>85527.95975129414</v>
      </c>
      <c r="G43" s="11">
        <f t="shared" si="8"/>
        <v>5392.9061626387702</v>
      </c>
      <c r="H43" s="11">
        <f t="shared" si="5"/>
        <v>6943.4494650280312</v>
      </c>
      <c r="I43" s="11">
        <f t="shared" si="6"/>
        <v>3842.3628602495091</v>
      </c>
      <c r="J43" s="11">
        <f>'dpc-covid-19-ita-andamento-naz'!K34</f>
        <v>9134</v>
      </c>
      <c r="K43" s="11">
        <f t="shared" si="4"/>
        <v>969</v>
      </c>
      <c r="L43" s="11">
        <f t="shared" si="11"/>
        <v>9219.2935926441533</v>
      </c>
      <c r="M43" s="11">
        <f t="shared" si="9"/>
        <v>793.03670320474703</v>
      </c>
      <c r="N43" s="11">
        <f t="shared" si="2"/>
        <v>915.53187203103994</v>
      </c>
      <c r="O43" s="11">
        <f t="shared" si="3"/>
        <v>670.54153437845412</v>
      </c>
    </row>
    <row r="44" spans="2:21" x14ac:dyDescent="0.3">
      <c r="B44" s="10">
        <v>43918</v>
      </c>
      <c r="C44" s="4">
        <v>38</v>
      </c>
      <c r="D44" s="4">
        <f>'dpc-covid-19-ita-andamento-naz'!L35</f>
        <v>92472</v>
      </c>
      <c r="E44" s="4">
        <f t="shared" si="7"/>
        <v>5974</v>
      </c>
      <c r="F44" s="11">
        <f t="shared" si="10"/>
        <v>91024.927110532662</v>
      </c>
      <c r="G44" s="11">
        <f t="shared" si="8"/>
        <v>5496.9673592385225</v>
      </c>
      <c r="H44" s="11">
        <f t="shared" si="5"/>
        <v>7047.5106616277835</v>
      </c>
      <c r="I44" s="11">
        <f t="shared" si="6"/>
        <v>3946.4240568492614</v>
      </c>
      <c r="J44" s="11">
        <f>'dpc-covid-19-ita-andamento-naz'!K35</f>
        <v>10023</v>
      </c>
      <c r="K44" s="11">
        <f t="shared" si="4"/>
        <v>889</v>
      </c>
      <c r="L44" s="11">
        <f t="shared" si="11"/>
        <v>10021.939574426502</v>
      </c>
      <c r="M44" s="11">
        <f t="shared" si="9"/>
        <v>802.64598178234883</v>
      </c>
      <c r="N44" s="11">
        <f t="shared" si="2"/>
        <v>925.14115060864174</v>
      </c>
      <c r="O44" s="11">
        <f t="shared" si="3"/>
        <v>680.15081295605592</v>
      </c>
    </row>
    <row r="45" spans="2:21" x14ac:dyDescent="0.3">
      <c r="B45" s="10">
        <v>43919</v>
      </c>
      <c r="C45" s="4">
        <v>39</v>
      </c>
      <c r="D45" s="4">
        <f>'dpc-covid-19-ita-andamento-naz'!L36</f>
        <v>97689</v>
      </c>
      <c r="E45" s="4">
        <f t="shared" si="7"/>
        <v>5217</v>
      </c>
      <c r="F45" s="11">
        <f t="shared" si="10"/>
        <v>96612.427260016164</v>
      </c>
      <c r="G45" s="11">
        <f t="shared" si="8"/>
        <v>5587.5001494835014</v>
      </c>
      <c r="H45" s="11">
        <f>G45+CIn</f>
        <v>7138.0434518727625</v>
      </c>
      <c r="I45" s="11">
        <f>MAX(G45-CIn,0)</f>
        <v>4036.9568470942404</v>
      </c>
      <c r="J45" s="11">
        <f>'dpc-covid-19-ita-andamento-naz'!K36</f>
        <v>10779</v>
      </c>
      <c r="K45" s="11">
        <f t="shared" si="4"/>
        <v>756</v>
      </c>
      <c r="L45" s="11">
        <f t="shared" si="11"/>
        <v>10829.267109763749</v>
      </c>
      <c r="M45" s="11">
        <f t="shared" si="9"/>
        <v>807.32753533724645</v>
      </c>
      <c r="N45" s="11">
        <f t="shared" si="2"/>
        <v>929.82270416353936</v>
      </c>
      <c r="O45" s="11">
        <f t="shared" si="3"/>
        <v>684.83236651095353</v>
      </c>
    </row>
    <row r="46" spans="2:21" x14ac:dyDescent="0.3">
      <c r="B46" s="10">
        <v>43920</v>
      </c>
      <c r="C46" s="4">
        <v>40</v>
      </c>
      <c r="D46" s="4">
        <f>'dpc-covid-19-ita-andamento-naz'!L37</f>
        <v>101739</v>
      </c>
      <c r="E46" s="4">
        <f t="shared" si="7"/>
        <v>4050</v>
      </c>
      <c r="F46" s="11">
        <f t="shared" si="10"/>
        <v>102276.88825840359</v>
      </c>
      <c r="G46" s="11">
        <f t="shared" si="8"/>
        <v>5664.4609983874252</v>
      </c>
      <c r="H46" s="11">
        <f>G46+CIn</f>
        <v>7215.0043007766863</v>
      </c>
      <c r="I46" s="11">
        <f>MAX(G46-CIn,0)</f>
        <v>4113.9176959981642</v>
      </c>
      <c r="J46" s="11">
        <f>'dpc-covid-19-ita-andamento-naz'!K37</f>
        <v>11591</v>
      </c>
      <c r="K46" s="11">
        <f t="shared" si="4"/>
        <v>812</v>
      </c>
      <c r="L46" s="11">
        <f t="shared" si="11"/>
        <v>11636.622579351133</v>
      </c>
      <c r="M46" s="11">
        <f t="shared" si="9"/>
        <v>807.3554695873845</v>
      </c>
      <c r="N46" s="11">
        <f t="shared" si="2"/>
        <v>929.85063841367742</v>
      </c>
      <c r="O46" s="11">
        <f t="shared" si="3"/>
        <v>684.86030076109159</v>
      </c>
    </row>
    <row r="47" spans="2:21" x14ac:dyDescent="0.3">
      <c r="B47" s="10">
        <v>43921</v>
      </c>
      <c r="C47" s="4">
        <v>41</v>
      </c>
      <c r="D47" s="4">
        <f>'dpc-covid-19-ita-andamento-naz'!L38</f>
        <v>105792</v>
      </c>
      <c r="E47" s="4">
        <f t="shared" si="7"/>
        <v>4053</v>
      </c>
      <c r="F47" s="11">
        <f t="shared" si="10"/>
        <v>108004.80314883738</v>
      </c>
      <c r="G47" s="11">
        <f t="shared" si="8"/>
        <v>5727.9148904337926</v>
      </c>
      <c r="H47" s="11">
        <f>G47+CIn</f>
        <v>7278.4581928230537</v>
      </c>
      <c r="I47" s="11">
        <f>MAX(G47-CIn,0)</f>
        <v>4177.3715880445316</v>
      </c>
      <c r="J47" s="11">
        <f>'dpc-covid-19-ita-andamento-naz'!K38</f>
        <v>12428</v>
      </c>
      <c r="K47" s="11">
        <f t="shared" si="4"/>
        <v>837</v>
      </c>
      <c r="L47" s="11">
        <f t="shared" si="11"/>
        <v>12439.685337484327</v>
      </c>
      <c r="M47" s="11">
        <f t="shared" si="9"/>
        <v>803.06275813319371</v>
      </c>
      <c r="N47" s="11">
        <f t="shared" ref="N47" si="12">M47+CId</f>
        <v>925.55792695948662</v>
      </c>
      <c r="O47" s="11">
        <f t="shared" ref="O47" si="13">MAX(M47-CId,0)</f>
        <v>680.5675893069008</v>
      </c>
    </row>
    <row r="48" spans="2:21" x14ac:dyDescent="0.3">
      <c r="B48" s="10">
        <v>43922</v>
      </c>
      <c r="C48" s="4">
        <v>42</v>
      </c>
      <c r="D48" s="4">
        <f>'dpc-covid-19-ita-andamento-naz'!L39</f>
        <v>110574</v>
      </c>
      <c r="E48" s="4">
        <f t="shared" si="7"/>
        <v>4782</v>
      </c>
      <c r="F48" s="11">
        <f t="shared" si="10"/>
        <v>113782.82955928532</v>
      </c>
      <c r="G48" s="11">
        <f t="shared" si="8"/>
        <v>5778.0264104479429</v>
      </c>
      <c r="H48" s="11">
        <f>G48+CIn</f>
        <v>7328.569712837204</v>
      </c>
      <c r="I48" s="11">
        <f>MAX(G48-CIn,0)</f>
        <v>4227.4831080586819</v>
      </c>
      <c r="J48" s="11">
        <f>'dpc-covid-19-ita-andamento-naz'!K39</f>
        <v>13155</v>
      </c>
      <c r="K48" s="11">
        <f t="shared" si="4"/>
        <v>727</v>
      </c>
      <c r="L48" s="11">
        <f t="shared" si="11"/>
        <v>13234.509883678858</v>
      </c>
      <c r="M48" s="11">
        <f t="shared" si="9"/>
        <v>794.82454619453165</v>
      </c>
      <c r="N48" s="11">
        <f t="shared" ref="N48:N49" si="14">M48+CId</f>
        <v>917.31971502082456</v>
      </c>
      <c r="O48" s="11">
        <f t="shared" ref="O48:O49" si="15">MAX(M48-CId,0)</f>
        <v>672.32937736823874</v>
      </c>
    </row>
    <row r="49" spans="2:15" x14ac:dyDescent="0.3">
      <c r="B49" s="10">
        <v>43923</v>
      </c>
      <c r="C49" s="4">
        <v>43</v>
      </c>
      <c r="D49" s="4">
        <f>'dpc-covid-19-ita-andamento-naz'!L40</f>
        <v>115242</v>
      </c>
      <c r="E49" s="4">
        <f t="shared" si="7"/>
        <v>4668</v>
      </c>
      <c r="F49" s="11">
        <f t="shared" si="10"/>
        <v>119597.87983337534</v>
      </c>
      <c r="G49" s="11">
        <f t="shared" si="8"/>
        <v>5815.050274090012</v>
      </c>
      <c r="H49" s="11">
        <f>G49+CIn</f>
        <v>7365.593576479273</v>
      </c>
      <c r="I49" s="11">
        <f>MAX(G49-CIn,0)</f>
        <v>4264.5069717007509</v>
      </c>
      <c r="J49" s="11">
        <f>'dpc-covid-19-ita-andamento-naz'!K40</f>
        <v>13915</v>
      </c>
      <c r="K49" s="11">
        <f t="shared" si="4"/>
        <v>760</v>
      </c>
      <c r="L49" s="11">
        <f t="shared" si="11"/>
        <v>14017.552772124121</v>
      </c>
      <c r="M49" s="11">
        <f t="shared" si="9"/>
        <v>783.04288844526309</v>
      </c>
      <c r="N49" s="11">
        <f t="shared" ref="N49:N50" si="16">M49+CId</f>
        <v>905.538057271556</v>
      </c>
      <c r="O49" s="11">
        <f t="shared" ref="O49:O50" si="17">MAX(M49-CId,0)</f>
        <v>660.54771961897018</v>
      </c>
    </row>
    <row r="50" spans="2:15" x14ac:dyDescent="0.3">
      <c r="B50" s="10">
        <v>43924</v>
      </c>
      <c r="C50" s="4">
        <v>44</v>
      </c>
      <c r="D50" s="4">
        <f>'dpc-covid-19-ita-andamento-naz'!L41</f>
        <v>119827</v>
      </c>
      <c r="E50" s="4">
        <f t="shared" si="7"/>
        <v>4585</v>
      </c>
      <c r="F50" s="11">
        <f t="shared" si="10"/>
        <v>125437.20137358537</v>
      </c>
      <c r="G50" s="11">
        <f t="shared" si="8"/>
        <v>5839.3215402100323</v>
      </c>
      <c r="H50" s="11">
        <f>G50+CIn</f>
        <v>7389.8648425992933</v>
      </c>
      <c r="I50" s="11">
        <f>MAX(G50-CIn,0)</f>
        <v>4288.7782378207712</v>
      </c>
      <c r="J50" s="11">
        <f>'dpc-covid-19-ita-andamento-naz'!K41</f>
        <v>14681</v>
      </c>
      <c r="K50" s="11">
        <f t="shared" si="4"/>
        <v>766</v>
      </c>
      <c r="L50" s="11">
        <f t="shared" si="11"/>
        <v>14785.686029509894</v>
      </c>
      <c r="M50" s="11">
        <f t="shared" si="9"/>
        <v>768.13325738577259</v>
      </c>
      <c r="N50" s="11">
        <f t="shared" si="16"/>
        <v>890.62842621206551</v>
      </c>
      <c r="O50" s="11">
        <f t="shared" si="17"/>
        <v>645.63808855947968</v>
      </c>
    </row>
    <row r="51" spans="2:15" x14ac:dyDescent="0.3">
      <c r="B51" s="10">
        <v>43925</v>
      </c>
      <c r="C51" s="4">
        <v>45</v>
      </c>
      <c r="E51" s="4"/>
      <c r="F51" s="11">
        <f t="shared" si="10"/>
        <v>131288.44708582317</v>
      </c>
      <c r="G51" s="11">
        <f t="shared" si="8"/>
        <v>5851.2457122377964</v>
      </c>
      <c r="K51" s="11"/>
      <c r="L51" s="11">
        <f t="shared" si="11"/>
        <v>15536.199025284785</v>
      </c>
      <c r="M51" s="11">
        <f t="shared" si="9"/>
        <v>750.51299577489044</v>
      </c>
    </row>
    <row r="52" spans="2:15" x14ac:dyDescent="0.3">
      <c r="B52" s="10">
        <v>43926</v>
      </c>
      <c r="C52" s="4">
        <v>46</v>
      </c>
      <c r="E52" s="4"/>
      <c r="F52" s="11">
        <f t="shared" si="10"/>
        <v>137139.7359952456</v>
      </c>
      <c r="G52" s="11">
        <f t="shared" si="8"/>
        <v>5851.2889094224374</v>
      </c>
      <c r="K52" s="11"/>
      <c r="L52" s="11">
        <f t="shared" si="11"/>
        <v>16266.790780720325</v>
      </c>
      <c r="M52" s="11">
        <f t="shared" si="9"/>
        <v>730.59175543554011</v>
      </c>
    </row>
    <row r="53" spans="2:15" x14ac:dyDescent="0.3">
      <c r="B53" s="10">
        <v>43927</v>
      </c>
      <c r="C53" s="4">
        <v>47</v>
      </c>
      <c r="E53" s="4"/>
      <c r="F53" s="11">
        <f t="shared" si="10"/>
        <v>142979.70425732643</v>
      </c>
      <c r="G53" s="11">
        <f t="shared" si="8"/>
        <v>5839.9682620808308</v>
      </c>
      <c r="K53" s="11"/>
      <c r="L53" s="11">
        <f t="shared" si="11"/>
        <v>16975.554645572549</v>
      </c>
      <c r="M53" s="11">
        <f t="shared" si="9"/>
        <v>708.76386485222429</v>
      </c>
    </row>
    <row r="54" spans="2:15" x14ac:dyDescent="0.3">
      <c r="B54" s="10">
        <v>43928</v>
      </c>
      <c r="C54" s="4">
        <v>48</v>
      </c>
      <c r="E54" s="4"/>
      <c r="F54" s="11">
        <f t="shared" si="10"/>
        <v>148797.54691619377</v>
      </c>
      <c r="G54" s="11">
        <f t="shared" si="8"/>
        <v>5817.8426588673319</v>
      </c>
      <c r="K54" s="11"/>
      <c r="L54" s="11">
        <f t="shared" si="11"/>
        <v>17660.957142408857</v>
      </c>
      <c r="M54" s="11">
        <f t="shared" si="9"/>
        <v>685.40249683630827</v>
      </c>
    </row>
    <row r="55" spans="2:15" x14ac:dyDescent="0.3">
      <c r="B55" s="10">
        <v>43929</v>
      </c>
      <c r="C55" s="4">
        <v>49</v>
      </c>
      <c r="E55" s="4"/>
      <c r="F55" s="11">
        <f t="shared" si="10"/>
        <v>154583.05086526604</v>
      </c>
      <c r="G55" s="11">
        <f t="shared" si="8"/>
        <v>5785.5039490722702</v>
      </c>
      <c r="K55" s="11"/>
      <c r="L55" s="11">
        <f t="shared" si="11"/>
        <v>18321.812603754079</v>
      </c>
      <c r="M55" s="11">
        <f t="shared" si="9"/>
        <v>660.85546134522156</v>
      </c>
    </row>
    <row r="56" spans="2:15" x14ac:dyDescent="0.3">
      <c r="B56" s="10">
        <v>43930</v>
      </c>
      <c r="C56" s="4">
        <v>50</v>
      </c>
      <c r="E56" s="4"/>
      <c r="F56" s="11">
        <f t="shared" si="10"/>
        <v>160326.61954484391</v>
      </c>
      <c r="G56" s="11">
        <f t="shared" si="8"/>
        <v>5743.5686795778747</v>
      </c>
      <c r="K56" s="11"/>
      <c r="L56" s="11">
        <f t="shared" si="11"/>
        <v>18957.255026715364</v>
      </c>
      <c r="M56" s="11">
        <f t="shared" si="9"/>
        <v>635.44242296128505</v>
      </c>
    </row>
    <row r="57" spans="2:15" x14ac:dyDescent="0.3">
      <c r="B57" s="10">
        <v>43931</v>
      </c>
      <c r="C57" s="4">
        <v>51</v>
      </c>
      <c r="E57" s="4"/>
      <c r="F57" s="11">
        <f t="shared" si="10"/>
        <v>166019.28996952006</v>
      </c>
      <c r="G57" s="11">
        <f t="shared" si="8"/>
        <v>5692.670424676151</v>
      </c>
      <c r="K57" s="11"/>
      <c r="L57" s="11">
        <f t="shared" si="11"/>
        <v>19566.708359902968</v>
      </c>
      <c r="M57" s="11">
        <f t="shared" si="9"/>
        <v>609.45333318760458</v>
      </c>
    </row>
    <row r="58" spans="2:15" x14ac:dyDescent="0.3">
      <c r="B58" s="10">
        <v>43932</v>
      </c>
      <c r="C58" s="4">
        <v>52</v>
      </c>
      <c r="E58" s="4"/>
      <c r="F58" s="11">
        <f t="shared" si="10"/>
        <v>171652.74271721891</v>
      </c>
      <c r="G58" s="11">
        <f t="shared" si="8"/>
        <v>5633.4527476988442</v>
      </c>
      <c r="K58" s="11"/>
      <c r="L58" s="11">
        <f t="shared" si="11"/>
        <v>20149.856230425685</v>
      </c>
      <c r="M58" s="11">
        <f t="shared" si="9"/>
        <v>583.1478705227164</v>
      </c>
    </row>
    <row r="59" spans="2:15" x14ac:dyDescent="0.3">
      <c r="B59" s="10">
        <v>43933</v>
      </c>
      <c r="C59" s="4">
        <v>53</v>
      </c>
      <c r="E59" s="4"/>
      <c r="F59" s="11">
        <f t="shared" si="10"/>
        <v>177219.3055336453</v>
      </c>
      <c r="G59" s="11">
        <f t="shared" si="8"/>
        <v>5566.5628164263908</v>
      </c>
      <c r="K59" s="11"/>
      <c r="L59" s="11">
        <f t="shared" si="11"/>
        <v>20706.611923072294</v>
      </c>
      <c r="M59" s="11">
        <f t="shared" si="9"/>
        <v>556.75569264660953</v>
      </c>
    </row>
    <row r="60" spans="2:15" x14ac:dyDescent="0.3">
      <c r="B60" s="10">
        <v>43934</v>
      </c>
      <c r="C60" s="4">
        <v>54</v>
      </c>
      <c r="E60" s="4"/>
      <c r="F60" s="11">
        <f t="shared" si="10"/>
        <v>182711.9512131997</v>
      </c>
      <c r="G60" s="11">
        <f t="shared" si="8"/>
        <v>5492.6456795544073</v>
      </c>
      <c r="K60" s="11"/>
      <c r="L60" s="11">
        <f t="shared" si="11"/>
        <v>21237.089245050494</v>
      </c>
      <c r="M60" s="11">
        <f t="shared" si="9"/>
        <v>530.47732197820005</v>
      </c>
    </row>
    <row r="61" spans="2:15" x14ac:dyDescent="0.3">
      <c r="B61" s="10">
        <v>43935</v>
      </c>
      <c r="C61" s="4">
        <v>55</v>
      </c>
      <c r="E61" s="4"/>
      <c r="F61" s="11">
        <f t="shared" si="10"/>
        <v>188124.29041224511</v>
      </c>
      <c r="G61" s="11">
        <f t="shared" si="8"/>
        <v>5412.3391990454111</v>
      </c>
      <c r="K61" s="11"/>
      <c r="L61" s="11">
        <f t="shared" si="11"/>
        <v>21741.574750985128</v>
      </c>
      <c r="M61" s="11">
        <f t="shared" si="9"/>
        <v>504.48550593463369</v>
      </c>
    </row>
    <row r="62" spans="2:15" x14ac:dyDescent="0.3">
      <c r="B62" s="10">
        <v>43936</v>
      </c>
      <c r="C62" s="4">
        <v>56</v>
      </c>
      <c r="E62" s="4"/>
      <c r="F62" s="11">
        <f t="shared" si="10"/>
        <v>193450.56003512949</v>
      </c>
      <c r="G62" s="11">
        <f t="shared" si="8"/>
        <v>5326.2696228843706</v>
      </c>
      <c r="K62" s="11"/>
      <c r="L62" s="11">
        <f t="shared" si="11"/>
        <v>22220.501665560379</v>
      </c>
      <c r="M62" s="11">
        <f t="shared" si="9"/>
        <v>478.92691457525143</v>
      </c>
    </row>
    <row r="63" spans="2:15" x14ac:dyDescent="0.3">
      <c r="B63" s="10">
        <v>43937</v>
      </c>
      <c r="C63" s="4">
        <v>57</v>
      </c>
      <c r="E63" s="4"/>
      <c r="F63" s="11">
        <f t="shared" si="10"/>
        <v>198685.60780956876</v>
      </c>
      <c r="G63" s="11">
        <f t="shared" si="8"/>
        <v>5235.0477744392701</v>
      </c>
      <c r="K63" s="11"/>
      <c r="L63" s="11">
        <f t="shared" si="11"/>
        <v>22674.425725143399</v>
      </c>
      <c r="M63" s="11">
        <f t="shared" si="9"/>
        <v>453.9240595830197</v>
      </c>
    </row>
    <row r="64" spans="2:15" x14ac:dyDescent="0.3">
      <c r="B64" s="10">
        <v>43938</v>
      </c>
      <c r="C64" s="4">
        <v>58</v>
      </c>
      <c r="E64" s="4"/>
      <c r="F64" s="11">
        <f t="shared" si="10"/>
        <v>203824.87363771396</v>
      </c>
      <c r="G64" s="11">
        <f t="shared" si="8"/>
        <v>5139.2658281452022</v>
      </c>
      <c r="K64" s="11"/>
      <c r="L64" s="11">
        <f t="shared" si="11"/>
        <v>23104.003063919223</v>
      </c>
      <c r="M64" s="11">
        <f t="shared" si="9"/>
        <v>429.57733877582359</v>
      </c>
    </row>
    <row r="65" spans="2:13" x14ac:dyDescent="0.3">
      <c r="B65" s="10">
        <v>43939</v>
      </c>
      <c r="C65" s="4">
        <v>59</v>
      </c>
      <c r="E65" s="4"/>
      <c r="F65" s="11">
        <f t="shared" si="10"/>
        <v>208864.36827409989</v>
      </c>
      <c r="G65" s="11">
        <f t="shared" si="8"/>
        <v>5039.4946363859344</v>
      </c>
      <c r="K65" s="11"/>
      <c r="L65" s="11">
        <f t="shared" si="11"/>
        <v>23509.970192860037</v>
      </c>
      <c r="M65" s="11">
        <f t="shared" si="9"/>
        <v>405.96712894081429</v>
      </c>
    </row>
    <row r="66" spans="2:13" x14ac:dyDescent="0.3">
      <c r="B66" s="10">
        <v>43940</v>
      </c>
      <c r="C66" s="4">
        <v>60</v>
      </c>
      <c r="E66" s="4"/>
      <c r="F66" s="11">
        <f t="shared" si="10"/>
        <v>213800.64984316583</v>
      </c>
      <c r="G66" s="11">
        <f t="shared" si="8"/>
        <v>4936.2815690659336</v>
      </c>
      <c r="K66" s="11"/>
      <c r="L66" s="11">
        <f t="shared" si="11"/>
        <v>23893.126059263897</v>
      </c>
      <c r="M66" s="11">
        <f t="shared" si="9"/>
        <v>383.15586640386027</v>
      </c>
    </row>
    <row r="67" spans="2:13" x14ac:dyDescent="0.3">
      <c r="B67" s="10">
        <v>43941</v>
      </c>
      <c r="C67" s="4">
        <v>61</v>
      </c>
      <c r="E67" s="4"/>
      <c r="F67" s="11">
        <f t="shared" si="10"/>
        <v>218630.79866840976</v>
      </c>
      <c r="G67" s="11">
        <f t="shared" si="8"/>
        <v>4830.1488252439303</v>
      </c>
      <c r="K67" s="11"/>
      <c r="L67" s="11">
        <f t="shared" si="11"/>
        <v>24254.316128504001</v>
      </c>
      <c r="M67" s="11">
        <f t="shared" si="9"/>
        <v>361.19006924010318</v>
      </c>
    </row>
    <row r="68" spans="2:13" x14ac:dyDescent="0.3">
      <c r="B68" s="10">
        <v>43942</v>
      </c>
      <c r="C68" s="4">
        <v>62</v>
      </c>
      <c r="E68" s="4"/>
      <c r="F68" s="11">
        <f t="shared" si="10"/>
        <v>223352.39084357806</v>
      </c>
      <c r="G68" s="11">
        <f t="shared" si="8"/>
        <v>4721.5921751683054</v>
      </c>
      <c r="K68" s="11"/>
      <c r="L68" s="11">
        <f t="shared" si="11"/>
        <v>24594.418395904824</v>
      </c>
      <c r="M68" s="11">
        <f t="shared" si="9"/>
        <v>340.10226740082362</v>
      </c>
    </row>
    <row r="69" spans="2:13" x14ac:dyDescent="0.3">
      <c r="B69" s="10">
        <v>43943</v>
      </c>
      <c r="C69" s="4">
        <v>63</v>
      </c>
      <c r="E69" s="4"/>
      <c r="F69" s="11">
        <f t="shared" si="10"/>
        <v>227963.47093450182</v>
      </c>
      <c r="G69" s="11">
        <f t="shared" si="8"/>
        <v>4611.0800909237587</v>
      </c>
      <c r="K69" s="11"/>
      <c r="L69" s="11">
        <f t="shared" si="11"/>
        <v>24914.331213279886</v>
      </c>
      <c r="M69" s="11">
        <f t="shared" si="9"/>
        <v>319.91281737506142</v>
      </c>
    </row>
    <row r="70" spans="2:13" x14ac:dyDescent="0.3">
      <c r="B70" s="10">
        <v>43944</v>
      </c>
      <c r="C70" s="4">
        <v>64</v>
      </c>
      <c r="E70" s="4"/>
      <c r="F70" s="11">
        <f t="shared" si="10"/>
        <v>232462.52415902508</v>
      </c>
      <c r="G70" s="11">
        <f t="shared" si="8"/>
        <v>4499.0532245232607</v>
      </c>
      <c r="K70" s="11"/>
      <c r="L70" s="11">
        <f t="shared" si="11"/>
        <v>25214.962799761375</v>
      </c>
      <c r="M70" s="11">
        <f t="shared" si="9"/>
        <v>300.63158648148965</v>
      </c>
    </row>
    <row r="71" spans="2:13" x14ac:dyDescent="0.3">
      <c r="B71" s="10">
        <v>43945</v>
      </c>
      <c r="C71" s="4">
        <v>65</v>
      </c>
      <c r="E71" s="4"/>
      <c r="F71" s="11">
        <f t="shared" ref="F71:F102" si="18">Kn*EXP(-EXP(-($C71-t0n)/wn))</f>
        <v>236848.44835252149</v>
      </c>
      <c r="G71" s="11">
        <f t="shared" si="8"/>
        <v>4385.9241934964084</v>
      </c>
    </row>
    <row r="72" spans="2:13" x14ac:dyDescent="0.3">
      <c r="B72" s="10">
        <v>43946</v>
      </c>
      <c r="C72" s="4">
        <v>66</v>
      </c>
      <c r="E72" s="4"/>
      <c r="F72" s="11">
        <f t="shared" si="18"/>
        <v>241120.52598823697</v>
      </c>
      <c r="G72" s="11">
        <f t="shared" si="8"/>
        <v>4272.0776357154828</v>
      </c>
    </row>
    <row r="73" spans="2:13" x14ac:dyDescent="0.3">
      <c r="B73" s="10">
        <v>43947</v>
      </c>
      <c r="C73" s="4">
        <v>67</v>
      </c>
      <c r="E73" s="4"/>
      <c r="F73" s="11">
        <f t="shared" si="18"/>
        <v>245278.39648547105</v>
      </c>
      <c r="G73" s="11">
        <f t="shared" si="8"/>
        <v>4157.8704972340784</v>
      </c>
    </row>
    <row r="74" spans="2:13" x14ac:dyDescent="0.3">
      <c r="B74" s="10">
        <v>43948</v>
      </c>
      <c r="C74" s="4">
        <v>68</v>
      </c>
      <c r="E74" s="4"/>
      <c r="F74" s="11">
        <f t="shared" si="18"/>
        <v>249322.02900467368</v>
      </c>
      <c r="G74" s="11">
        <f t="shared" si="8"/>
        <v>4043.632519202627</v>
      </c>
    </row>
    <row r="75" spans="2:13" x14ac:dyDescent="0.3">
      <c r="B75" s="10">
        <v>43949</v>
      </c>
      <c r="C75" s="4">
        <v>69</v>
      </c>
      <c r="E75" s="4"/>
      <c r="F75" s="11">
        <f t="shared" si="18"/>
        <v>253251.69589703906</v>
      </c>
      <c r="G75" s="11">
        <f t="shared" si="8"/>
        <v>3929.6668923653779</v>
      </c>
    </row>
    <row r="76" spans="2:13" x14ac:dyDescent="0.3">
      <c r="B76" s="10">
        <v>43950</v>
      </c>
      <c r="C76" s="4">
        <v>70</v>
      </c>
      <c r="E76" s="4"/>
      <c r="F76" s="11">
        <f t="shared" si="18"/>
        <v>257067.94694721821</v>
      </c>
      <c r="G76" s="11">
        <f t="shared" si="8"/>
        <v>3816.2510501791548</v>
      </c>
    </row>
    <row r="77" spans="2:13" x14ac:dyDescent="0.3">
      <c r="B77" s="10">
        <v>43951</v>
      </c>
      <c r="C77" s="4">
        <v>71</v>
      </c>
      <c r="E77" s="4"/>
      <c r="F77" s="11">
        <f t="shared" si="18"/>
        <v>260771.58452136762</v>
      </c>
      <c r="G77" s="11">
        <f t="shared" ref="G77:G130" si="19">F77-F76</f>
        <v>3703.6375741494121</v>
      </c>
    </row>
    <row r="78" spans="2:13" x14ac:dyDescent="0.3">
      <c r="B78" s="10">
        <v>43952</v>
      </c>
      <c r="C78" s="4">
        <v>72</v>
      </c>
      <c r="E78" s="4"/>
      <c r="F78" s="11">
        <f t="shared" si="18"/>
        <v>264363.63970887876</v>
      </c>
      <c r="G78" s="11">
        <f t="shared" si="19"/>
        <v>3592.0551875111414</v>
      </c>
    </row>
    <row r="79" spans="2:13" x14ac:dyDescent="0.3">
      <c r="B79" s="10">
        <v>43953</v>
      </c>
      <c r="C79" s="4">
        <v>73</v>
      </c>
      <c r="E79" s="4"/>
      <c r="F79" s="11">
        <f t="shared" si="18"/>
        <v>267845.3495247293</v>
      </c>
      <c r="G79" s="11">
        <f t="shared" si="19"/>
        <v>3481.7098158505396</v>
      </c>
    </row>
    <row r="80" spans="2:13" x14ac:dyDescent="0.3">
      <c r="B80" s="10">
        <v>43954</v>
      </c>
      <c r="C80" s="4">
        <v>74</v>
      </c>
      <c r="E80" s="4"/>
      <c r="F80" s="11">
        <f t="shared" si="18"/>
        <v>271218.13522036537</v>
      </c>
      <c r="G80" s="11">
        <f t="shared" si="19"/>
        <v>3372.7856956360629</v>
      </c>
    </row>
    <row r="81" spans="2:7" x14ac:dyDescent="0.3">
      <c r="B81" s="10">
        <v>43955</v>
      </c>
      <c r="C81" s="4">
        <v>75</v>
      </c>
      <c r="E81" s="4"/>
      <c r="F81" s="11">
        <f t="shared" si="18"/>
        <v>274483.58173424617</v>
      </c>
      <c r="G81" s="11">
        <f t="shared" si="19"/>
        <v>3265.4465138808009</v>
      </c>
    </row>
    <row r="82" spans="2:7" x14ac:dyDescent="0.3">
      <c r="B82" s="10">
        <v>43956</v>
      </c>
      <c r="C82" s="4">
        <v>76</v>
      </c>
      <c r="E82" s="4"/>
      <c r="F82" s="11">
        <f t="shared" si="18"/>
        <v>277643.41829852678</v>
      </c>
      <c r="G82" s="11">
        <f t="shared" si="19"/>
        <v>3159.8365642806166</v>
      </c>
    </row>
    <row r="83" spans="2:7" x14ac:dyDescent="0.3">
      <c r="B83" s="10">
        <v>43957</v>
      </c>
      <c r="C83" s="4">
        <v>77</v>
      </c>
      <c r="E83" s="4"/>
      <c r="F83" s="11">
        <f t="shared" si="18"/>
        <v>280699.50020567176</v>
      </c>
      <c r="G83" s="11">
        <f t="shared" si="19"/>
        <v>3056.0819071449805</v>
      </c>
    </row>
    <row r="84" spans="2:7" x14ac:dyDescent="0.3">
      <c r="B84" s="10">
        <v>43958</v>
      </c>
      <c r="C84" s="4">
        <v>78</v>
      </c>
      <c r="E84" s="4"/>
      <c r="F84" s="11">
        <f t="shared" si="18"/>
        <v>283653.79172793723</v>
      </c>
      <c r="G84" s="11">
        <f t="shared" si="19"/>
        <v>2954.2915222654701</v>
      </c>
    </row>
    <row r="85" spans="2:7" x14ac:dyDescent="0.3">
      <c r="B85" s="10">
        <v>43959</v>
      </c>
      <c r="C85" s="4">
        <v>79</v>
      </c>
      <c r="E85" s="4"/>
      <c r="F85" s="11">
        <f t="shared" si="18"/>
        <v>286508.35017347307</v>
      </c>
      <c r="G85" s="11">
        <f t="shared" si="19"/>
        <v>2854.558445535833</v>
      </c>
    </row>
    <row r="86" spans="2:7" x14ac:dyDescent="0.3">
      <c r="B86" s="10">
        <v>43960</v>
      </c>
      <c r="C86" s="4">
        <v>80</v>
      </c>
      <c r="E86" s="4"/>
      <c r="F86" s="11">
        <f t="shared" si="18"/>
        <v>289265.31105513376</v>
      </c>
      <c r="G86" s="11">
        <f t="shared" si="19"/>
        <v>2756.9608816606924</v>
      </c>
    </row>
    <row r="87" spans="2:7" x14ac:dyDescent="0.3">
      <c r="B87" s="10">
        <v>43961</v>
      </c>
      <c r="C87" s="4">
        <v>81</v>
      </c>
      <c r="E87" s="4"/>
      <c r="F87" s="11">
        <f t="shared" si="18"/>
        <v>291926.87434179604</v>
      </c>
      <c r="G87" s="11">
        <f t="shared" si="19"/>
        <v>2661.5632866622764</v>
      </c>
    </row>
    <row r="88" spans="2:7" x14ac:dyDescent="0.3">
      <c r="B88" s="10">
        <v>43962</v>
      </c>
      <c r="C88" s="4">
        <v>82</v>
      </c>
      <c r="E88" s="4"/>
      <c r="F88" s="11">
        <f t="shared" si="18"/>
        <v>294495.29175691988</v>
      </c>
      <c r="G88" s="11">
        <f t="shared" si="19"/>
        <v>2568.4174151238403</v>
      </c>
    </row>
    <row r="89" spans="2:7" x14ac:dyDescent="0.3">
      <c r="B89" s="10">
        <v>43963</v>
      </c>
      <c r="C89" s="4">
        <v>83</v>
      </c>
      <c r="E89" s="4"/>
      <c r="F89" s="11">
        <f t="shared" si="18"/>
        <v>296972.8550851277</v>
      </c>
      <c r="G89" s="11">
        <f t="shared" si="19"/>
        <v>2477.5633282078197</v>
      </c>
    </row>
    <row r="90" spans="2:7" x14ac:dyDescent="0.3">
      <c r="B90" s="10">
        <v>43964</v>
      </c>
      <c r="C90" s="4">
        <v>84</v>
      </c>
      <c r="E90" s="4"/>
      <c r="F90" s="11">
        <f t="shared" si="18"/>
        <v>299361.8854445754</v>
      </c>
      <c r="G90" s="11">
        <f t="shared" si="19"/>
        <v>2389.0303594477009</v>
      </c>
    </row>
    <row r="91" spans="2:7" x14ac:dyDescent="0.3">
      <c r="B91" s="10">
        <v>43965</v>
      </c>
      <c r="C91" s="4">
        <v>85</v>
      </c>
      <c r="E91" s="4"/>
      <c r="F91" s="11">
        <f t="shared" si="18"/>
        <v>301664.72348074632</v>
      </c>
      <c r="G91" s="11">
        <f t="shared" si="19"/>
        <v>2302.8380361709278</v>
      </c>
    </row>
    <row r="92" spans="2:7" x14ac:dyDescent="0.3">
      <c r="B92" s="10">
        <v>43966</v>
      </c>
      <c r="C92" s="4">
        <v>86</v>
      </c>
      <c r="E92" s="4"/>
      <c r="F92" s="11">
        <f t="shared" si="18"/>
        <v>303883.72043588571</v>
      </c>
      <c r="G92" s="11">
        <f t="shared" si="19"/>
        <v>2218.9969551393879</v>
      </c>
    </row>
    <row r="93" spans="2:7" x14ac:dyDescent="0.3">
      <c r="B93" s="10">
        <v>43967</v>
      </c>
      <c r="C93" s="4">
        <v>87</v>
      </c>
      <c r="E93" s="4"/>
      <c r="F93" s="11">
        <f t="shared" si="18"/>
        <v>306021.23004752444</v>
      </c>
      <c r="G93" s="11">
        <f t="shared" si="19"/>
        <v>2137.5096116387285</v>
      </c>
    </row>
    <row r="94" spans="2:7" x14ac:dyDescent="0.3">
      <c r="B94" s="10">
        <v>43968</v>
      </c>
      <c r="C94" s="4">
        <v>88</v>
      </c>
      <c r="E94" s="4"/>
      <c r="F94" s="11">
        <f t="shared" si="18"/>
        <v>308079.60122931504</v>
      </c>
      <c r="G94" s="11">
        <f t="shared" si="19"/>
        <v>2058.3711817906005</v>
      </c>
    </row>
    <row r="95" spans="2:7" x14ac:dyDescent="0.3">
      <c r="B95" s="10">
        <v>43969</v>
      </c>
      <c r="C95" s="4">
        <v>89</v>
      </c>
      <c r="E95" s="4"/>
      <c r="F95" s="11">
        <f t="shared" si="18"/>
        <v>310061.17148763745</v>
      </c>
      <c r="G95" s="11">
        <f t="shared" si="19"/>
        <v>1981.5702583224047</v>
      </c>
    </row>
    <row r="96" spans="2:7" x14ac:dyDescent="0.3">
      <c r="B96" s="10">
        <v>43970</v>
      </c>
      <c r="C96" s="4">
        <v>90</v>
      </c>
      <c r="E96" s="4"/>
      <c r="F96" s="11">
        <f t="shared" si="18"/>
        <v>311968.26102805586</v>
      </c>
      <c r="G96" s="11">
        <f t="shared" si="19"/>
        <v>1907.0895404184121</v>
      </c>
    </row>
    <row r="97" spans="2:7" x14ac:dyDescent="0.3">
      <c r="B97" s="10">
        <v>43971</v>
      </c>
      <c r="C97" s="4">
        <v>91</v>
      </c>
      <c r="E97" s="4"/>
      <c r="F97" s="11">
        <f t="shared" si="18"/>
        <v>313803.16750664904</v>
      </c>
      <c r="G97" s="11">
        <f t="shared" si="19"/>
        <v>1834.9064785931841</v>
      </c>
    </row>
    <row r="98" spans="2:7" x14ac:dyDescent="0.3">
      <c r="B98" s="10">
        <v>43972</v>
      </c>
      <c r="C98" s="4">
        <v>92</v>
      </c>
      <c r="E98" s="4"/>
      <c r="F98" s="11">
        <f t="shared" si="18"/>
        <v>315568.16138243757</v>
      </c>
      <c r="G98" s="11">
        <f t="shared" si="19"/>
        <v>1764.9938757885247</v>
      </c>
    </row>
    <row r="99" spans="2:7" x14ac:dyDescent="0.3">
      <c r="B99" s="10">
        <v>43973</v>
      </c>
      <c r="C99" s="4">
        <v>93</v>
      </c>
      <c r="E99" s="4"/>
      <c r="F99" s="11">
        <f t="shared" si="18"/>
        <v>317265.48182853789</v>
      </c>
      <c r="G99" s="11">
        <f t="shared" si="19"/>
        <v>1697.3204461003188</v>
      </c>
    </row>
    <row r="100" spans="2:7" x14ac:dyDescent="0.3">
      <c r="B100" s="10">
        <v>43974</v>
      </c>
      <c r="C100" s="4">
        <v>94</v>
      </c>
      <c r="E100" s="4"/>
      <c r="F100" s="11">
        <f t="shared" si="18"/>
        <v>318897.33316124103</v>
      </c>
      <c r="G100" s="11">
        <f t="shared" si="19"/>
        <v>1631.8513327031396</v>
      </c>
    </row>
    <row r="101" spans="2:7" x14ac:dyDescent="0.3">
      <c r="B101" s="10">
        <v>43975</v>
      </c>
      <c r="C101" s="4">
        <v>95</v>
      </c>
      <c r="E101" s="4"/>
      <c r="F101" s="11">
        <f t="shared" si="18"/>
        <v>320465.88174789934</v>
      </c>
      <c r="G101" s="11">
        <f t="shared" si="19"/>
        <v>1568.5485866583185</v>
      </c>
    </row>
    <row r="102" spans="2:7" x14ac:dyDescent="0.3">
      <c r="B102" s="10">
        <v>43976</v>
      </c>
      <c r="C102" s="4">
        <v>96</v>
      </c>
      <c r="E102" s="4"/>
      <c r="F102" s="11">
        <f t="shared" si="18"/>
        <v>321973.25335627422</v>
      </c>
      <c r="G102" s="11">
        <f t="shared" si="19"/>
        <v>1507.3716083748732</v>
      </c>
    </row>
    <row r="103" spans="2:7" x14ac:dyDescent="0.3">
      <c r="B103" s="10">
        <v>43977</v>
      </c>
      <c r="C103" s="4">
        <v>97</v>
      </c>
      <c r="E103" s="4"/>
      <c r="F103" s="11">
        <f t="shared" ref="F103:F130" si="20">Kn*EXP(-EXP(-($C103-t0n)/wn))</f>
        <v>323421.53090982256</v>
      </c>
      <c r="G103" s="11">
        <f t="shared" si="19"/>
        <v>1448.2775535483379</v>
      </c>
    </row>
    <row r="104" spans="2:7" x14ac:dyDescent="0.3">
      <c r="B104" s="10">
        <v>43978</v>
      </c>
      <c r="C104" s="4">
        <v>98</v>
      </c>
      <c r="E104" s="4"/>
      <c r="F104" s="11">
        <f t="shared" si="20"/>
        <v>324812.75261525071</v>
      </c>
      <c r="G104" s="11">
        <f t="shared" si="19"/>
        <v>1391.22170542815</v>
      </c>
    </row>
    <row r="105" spans="2:7" x14ac:dyDescent="0.3">
      <c r="B105" s="10">
        <v>43979</v>
      </c>
      <c r="C105" s="4">
        <v>99</v>
      </c>
      <c r="E105" s="4"/>
      <c r="F105" s="11">
        <f t="shared" si="20"/>
        <v>326148.91043052275</v>
      </c>
      <c r="G105" s="11">
        <f t="shared" si="19"/>
        <v>1336.1578152720467</v>
      </c>
    </row>
    <row r="106" spans="2:7" x14ac:dyDescent="0.3">
      <c r="B106" s="10">
        <v>43980</v>
      </c>
      <c r="C106" s="4">
        <v>100</v>
      </c>
      <c r="E106" s="4"/>
      <c r="F106" s="11">
        <f t="shared" si="20"/>
        <v>327431.9488433557</v>
      </c>
      <c r="G106" s="11">
        <f t="shared" si="19"/>
        <v>1283.0384128329461</v>
      </c>
    </row>
    <row r="107" spans="2:7" x14ac:dyDescent="0.3">
      <c r="B107" s="10">
        <v>43981</v>
      </c>
      <c r="C107" s="4">
        <v>101</v>
      </c>
      <c r="E107" s="4"/>
      <c r="F107" s="11">
        <f t="shared" si="20"/>
        <v>328663.76393205224</v>
      </c>
      <c r="G107" s="11">
        <f t="shared" si="19"/>
        <v>1231.815088696545</v>
      </c>
    </row>
    <row r="108" spans="2:7" x14ac:dyDescent="0.3">
      <c r="B108" s="10">
        <v>43982</v>
      </c>
      <c r="C108" s="4">
        <v>102</v>
      </c>
      <c r="E108" s="4"/>
      <c r="F108" s="11">
        <f t="shared" si="20"/>
        <v>329846.2026823007</v>
      </c>
      <c r="G108" s="11">
        <f t="shared" si="19"/>
        <v>1182.4387502484606</v>
      </c>
    </row>
    <row r="109" spans="2:7" x14ac:dyDescent="0.3">
      <c r="B109" s="10">
        <v>43983</v>
      </c>
      <c r="C109" s="4">
        <v>103</v>
      </c>
      <c r="E109" s="4"/>
      <c r="F109" s="11">
        <f t="shared" si="20"/>
        <v>330981.06253529963</v>
      </c>
      <c r="G109" s="11">
        <f t="shared" si="19"/>
        <v>1134.8598529989249</v>
      </c>
    </row>
    <row r="110" spans="2:7" x14ac:dyDescent="0.3">
      <c r="B110" s="10">
        <v>43984</v>
      </c>
      <c r="C110" s="4">
        <v>104</v>
      </c>
      <c r="E110" s="4"/>
      <c r="F110" s="11">
        <f t="shared" si="20"/>
        <v>332070.09114423802</v>
      </c>
      <c r="G110" s="11">
        <f t="shared" si="19"/>
        <v>1089.0286089383881</v>
      </c>
    </row>
    <row r="111" spans="2:7" x14ac:dyDescent="0.3">
      <c r="B111" s="10">
        <v>43985</v>
      </c>
      <c r="C111" s="4">
        <v>105</v>
      </c>
      <c r="E111" s="4"/>
      <c r="F111" s="11">
        <f t="shared" si="20"/>
        <v>333114.98631776869</v>
      </c>
      <c r="G111" s="11">
        <f t="shared" si="19"/>
        <v>1044.8951735306764</v>
      </c>
    </row>
    <row r="112" spans="2:7" x14ac:dyDescent="0.3">
      <c r="B112" s="10">
        <v>43986</v>
      </c>
      <c r="C112" s="4">
        <v>106</v>
      </c>
      <c r="E112" s="4"/>
      <c r="F112" s="11">
        <f t="shared" si="20"/>
        <v>334117.39613065438</v>
      </c>
      <c r="G112" s="11">
        <f t="shared" si="19"/>
        <v>1002.4098128856858</v>
      </c>
    </row>
    <row r="113" spans="2:7" x14ac:dyDescent="0.3">
      <c r="B113" s="10">
        <v>43987</v>
      </c>
      <c r="C113" s="4">
        <v>107</v>
      </c>
      <c r="E113" s="4"/>
      <c r="F113" s="11">
        <f t="shared" si="20"/>
        <v>335078.91918323468</v>
      </c>
      <c r="G113" s="11">
        <f t="shared" si="19"/>
        <v>961.52305258030538</v>
      </c>
    </row>
    <row r="114" spans="2:7" x14ac:dyDescent="0.3">
      <c r="B114" s="10">
        <v>43988</v>
      </c>
      <c r="C114" s="4">
        <v>108</v>
      </c>
      <c r="E114" s="4"/>
      <c r="F114" s="11">
        <f t="shared" si="20"/>
        <v>336001.10499276215</v>
      </c>
      <c r="G114" s="11">
        <f t="shared" si="19"/>
        <v>922.18580952746561</v>
      </c>
    </row>
    <row r="115" spans="2:7" x14ac:dyDescent="0.3">
      <c r="B115" s="10">
        <v>43989</v>
      </c>
      <c r="C115" s="4">
        <v>109</v>
      </c>
      <c r="E115" s="4"/>
      <c r="F115" s="11">
        <f t="shared" si="20"/>
        <v>336885.45450097881</v>
      </c>
      <c r="G115" s="11">
        <f t="shared" si="19"/>
        <v>884.3495082166628</v>
      </c>
    </row>
    <row r="116" spans="2:7" x14ac:dyDescent="0.3">
      <c r="B116" s="10">
        <v>43990</v>
      </c>
      <c r="C116" s="4">
        <v>110</v>
      </c>
      <c r="E116" s="4"/>
      <c r="F116" s="11">
        <f t="shared" si="20"/>
        <v>337733.42068355664</v>
      </c>
      <c r="G116" s="11">
        <f t="shared" si="19"/>
        <v>847.9661825778312</v>
      </c>
    </row>
    <row r="117" spans="2:7" x14ac:dyDescent="0.3">
      <c r="B117" s="10">
        <v>43991</v>
      </c>
      <c r="C117" s="4">
        <v>111</v>
      </c>
      <c r="E117" s="4"/>
      <c r="F117" s="11">
        <f t="shared" si="20"/>
        <v>338546.40924820548</v>
      </c>
      <c r="G117" s="11">
        <f t="shared" si="19"/>
        <v>812.98856464884011</v>
      </c>
    </row>
    <row r="118" spans="2:7" x14ac:dyDescent="0.3">
      <c r="B118" s="10">
        <v>43992</v>
      </c>
      <c r="C118" s="4">
        <v>112</v>
      </c>
      <c r="E118" s="4"/>
      <c r="F118" s="11">
        <f t="shared" si="20"/>
        <v>339325.77940935997</v>
      </c>
      <c r="G118" s="11">
        <f t="shared" si="19"/>
        <v>779.37016115448205</v>
      </c>
    </row>
    <row r="119" spans="2:7" x14ac:dyDescent="0.3">
      <c r="B119" s="10">
        <v>43993</v>
      </c>
      <c r="C119" s="4">
        <v>113</v>
      </c>
      <c r="E119" s="4"/>
      <c r="F119" s="11">
        <f t="shared" si="20"/>
        <v>340072.84472839598</v>
      </c>
      <c r="G119" s="11">
        <f t="shared" si="19"/>
        <v>747.06531903601717</v>
      </c>
    </row>
    <row r="120" spans="2:7" x14ac:dyDescent="0.3">
      <c r="B120" s="10">
        <v>43994</v>
      </c>
      <c r="C120" s="4">
        <v>114</v>
      </c>
      <c r="E120" s="4"/>
      <c r="F120" s="11">
        <f t="shared" si="20"/>
        <v>340788.8740092995</v>
      </c>
      <c r="G120" s="11">
        <f t="shared" si="19"/>
        <v>716.02928090351634</v>
      </c>
    </row>
    <row r="121" spans="2:7" x14ac:dyDescent="0.3">
      <c r="B121" s="10">
        <v>43995</v>
      </c>
      <c r="C121" s="4">
        <v>115</v>
      </c>
      <c r="E121" s="4"/>
      <c r="F121" s="11">
        <f t="shared" si="20"/>
        <v>341475.09224061773</v>
      </c>
      <c r="G121" s="11">
        <f t="shared" si="19"/>
        <v>686.21823131822748</v>
      </c>
    </row>
    <row r="122" spans="2:7" x14ac:dyDescent="0.3">
      <c r="B122" s="10">
        <v>43996</v>
      </c>
      <c r="C122" s="4">
        <v>116</v>
      </c>
      <c r="E122" s="4"/>
      <c r="F122" s="11">
        <f t="shared" si="20"/>
        <v>342132.68157536769</v>
      </c>
      <c r="G122" s="11">
        <f t="shared" si="19"/>
        <v>657.58933474996593</v>
      </c>
    </row>
    <row r="123" spans="2:7" x14ac:dyDescent="0.3">
      <c r="B123" s="10">
        <v>43997</v>
      </c>
      <c r="C123" s="4">
        <v>117</v>
      </c>
      <c r="E123" s="4"/>
      <c r="F123" s="11">
        <f t="shared" si="20"/>
        <v>342762.78234136099</v>
      </c>
      <c r="G123" s="11">
        <f t="shared" si="19"/>
        <v>630.10076599329477</v>
      </c>
    </row>
    <row r="124" spans="2:7" x14ac:dyDescent="0.3">
      <c r="B124" s="10">
        <v>43998</v>
      </c>
      <c r="C124" s="4">
        <v>118</v>
      </c>
      <c r="E124" s="4"/>
      <c r="F124" s="11">
        <f t="shared" si="20"/>
        <v>343366.49407513544</v>
      </c>
      <c r="G124" s="11">
        <f t="shared" si="19"/>
        <v>603.71173377445666</v>
      </c>
    </row>
    <row r="125" spans="2:7" x14ac:dyDescent="0.3">
      <c r="B125" s="10">
        <v>43999</v>
      </c>
      <c r="C125" s="4">
        <v>119</v>
      </c>
      <c r="E125" s="4"/>
      <c r="F125" s="11">
        <f t="shared" si="20"/>
        <v>343944.87657335517</v>
      </c>
      <c r="G125" s="11">
        <f t="shared" si="19"/>
        <v>578.38249821972568</v>
      </c>
    </row>
    <row r="126" spans="2:7" x14ac:dyDescent="0.3">
      <c r="B126" s="10">
        <v>44000</v>
      </c>
      <c r="C126" s="4">
        <v>120</v>
      </c>
      <c r="E126" s="4"/>
      <c r="F126" s="11">
        <f t="shared" si="20"/>
        <v>344498.95095616725</v>
      </c>
      <c r="G126" s="11">
        <f t="shared" si="19"/>
        <v>554.07438281207578</v>
      </c>
    </row>
    <row r="127" spans="2:7" x14ac:dyDescent="0.3">
      <c r="B127" s="10">
        <v>44001</v>
      </c>
      <c r="C127" s="4">
        <v>121</v>
      </c>
      <c r="E127" s="4"/>
      <c r="F127" s="11">
        <f t="shared" si="20"/>
        <v>345029.70073757705</v>
      </c>
      <c r="G127" s="11">
        <f t="shared" si="19"/>
        <v>530.74978140980238</v>
      </c>
    </row>
    <row r="128" spans="2:7" x14ac:dyDescent="0.3">
      <c r="B128" s="10">
        <v>44002</v>
      </c>
      <c r="C128" s="4">
        <v>122</v>
      </c>
      <c r="E128" s="4"/>
      <c r="F128" s="11">
        <f t="shared" si="20"/>
        <v>345538.07289843529</v>
      </c>
      <c r="G128" s="11">
        <f t="shared" si="19"/>
        <v>508.37216085824184</v>
      </c>
    </row>
    <row r="129" spans="2:7" x14ac:dyDescent="0.3">
      <c r="B129" s="10">
        <v>44003</v>
      </c>
      <c r="C129" s="4">
        <v>123</v>
      </c>
      <c r="E129" s="4"/>
      <c r="F129" s="11">
        <f t="shared" si="20"/>
        <v>346024.97895811609</v>
      </c>
      <c r="G129" s="11">
        <f t="shared" si="19"/>
        <v>486.90605968079763</v>
      </c>
    </row>
    <row r="130" spans="2:7" x14ac:dyDescent="0.3">
      <c r="B130" s="10">
        <v>44004</v>
      </c>
      <c r="C130" s="4">
        <v>124</v>
      </c>
      <c r="E130" s="4"/>
      <c r="F130" s="11">
        <f t="shared" si="20"/>
        <v>346491.29604141513</v>
      </c>
      <c r="G130" s="11">
        <f t="shared" si="19"/>
        <v>466.31708329904359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3DCB4-EEB9-4832-A30A-A81EBAF46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48</vt:i4>
      </vt:variant>
    </vt:vector>
  </HeadingPairs>
  <TitlesOfParts>
    <vt:vector size="51" baseType="lpstr">
      <vt:lpstr>dpc-covid-19-ita-andamento-naz</vt:lpstr>
      <vt:lpstr>Cumul_ confirmed - Gompertz fit</vt:lpstr>
      <vt:lpstr>New_ confirmed - Gompertz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D_End</vt:lpstr>
      <vt:lpstr>D_Start</vt:lpstr>
      <vt:lpstr>df</vt:lpstr>
      <vt:lpstr>dfd</vt:lpstr>
      <vt:lpstr>dfh</vt:lpstr>
      <vt:lpstr>dfn</vt:lpstr>
      <vt:lpstr>E_End</vt:lpstr>
      <vt:lpstr>E_Start</vt:lpstr>
      <vt:lpstr>H_End</vt:lpstr>
      <vt:lpstr>H_Start</vt:lpstr>
      <vt:lpstr>I_End</vt:lpstr>
      <vt:lpstr>I_Start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2020-04-03T23:49:03Z</dcterms:modified>
</cp:coreProperties>
</file>