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C0143242-B541-4450-9206-F3336AAD925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ExpPwLaw" sheetId="12" r:id="rId2"/>
    <sheet name="New_confirmed - ExpPwLaw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ExpPwLaw'!$AG$16</definedName>
    <definedName name="CId">'New_confirmed - ExpPwLaw'!$AG$28</definedName>
    <definedName name="CIh">'Cumul_confirmed - ExpPwLaw'!$AG$40</definedName>
    <definedName name="CIn">'New_confirmed - ExpPwLaw'!$AG$16</definedName>
    <definedName name="CIr">'Cumul_confirmed - ExpPwLaw'!$AG$28</definedName>
    <definedName name="CIt">'New_confirmed - ExpPwLaw'!$AG$40</definedName>
    <definedName name="Critical_t">'Cumul_confirmed - ExpPwLaw'!$AG$15</definedName>
    <definedName name="Critical_td">'New_confirmed - ExpPwLaw'!$AG$27</definedName>
    <definedName name="Critical_th">'Cumul_confirmed - ExpPwLaw'!$AG$39</definedName>
    <definedName name="Critical_tn">'New_confirmed - ExpPwLaw'!$AG$15</definedName>
    <definedName name="Critical_tr">'Cumul_confirmed - ExpPwLaw'!$AG$27</definedName>
    <definedName name="Critical_tt">'New_confirmed - ExpPwLaw'!$AG$39</definedName>
    <definedName name="DatiEsterni_1" localSheetId="0" hidden="1">'dpc-covid19-ita-andamento-naz'!$A$1:$O$51</definedName>
    <definedName name="DatiEsterni_2" localSheetId="0" hidden="1">'dpc-covid19-ita-andamento-naz'!#REF!</definedName>
    <definedName name="df">'Cumul_confirmed - ExpPwLaw'!$AG$12</definedName>
    <definedName name="dfd">'New_confirmed - ExpPwLaw'!$AG$24</definedName>
    <definedName name="dfh">'Cumul_confirmed - ExpPwLaw'!$AG$36</definedName>
    <definedName name="dfn">'New_confirmed - ExpPwLaw'!$AG$12</definedName>
    <definedName name="dfr">'Cumul_confirmed - ExpPwLaw'!$AG$24</definedName>
    <definedName name="dft">'New_confirmed - ExpPwLaw'!$AG$36</definedName>
    <definedName name="dpc_covid19_ita_andamento_nazionale_1" localSheetId="1" hidden="1">'Cumul_confirmed - ExpPwLaw'!#REF!</definedName>
    <definedName name="k">'Cumul_confirmed - ExpPwLaw'!$AG$8</definedName>
    <definedName name="kd">'New_confirmed - ExpPwLaw'!$AG$20</definedName>
    <definedName name="kh">'Cumul_confirmed - ExpPwLaw'!$AG$32</definedName>
    <definedName name="kn">'New_confirmed - ExpPwLaw'!$AG$8</definedName>
    <definedName name="kr">'Cumul_confirmed - ExpPwLaw'!$AG$20</definedName>
    <definedName name="kt">'New_confirmed - ExpPwLaw'!$AG$32</definedName>
    <definedName name="Mean_of_y">'Cumul_confirmed - ExpPwLaw'!$AG$11</definedName>
    <definedName name="Mean_of_yd">'New_confirmed - ExpPwLaw'!$AG$23</definedName>
    <definedName name="Mean_of_yh">'Cumul_confirmed - ExpPwLaw'!$AG$35</definedName>
    <definedName name="Mean_of_yn">'New_confirmed - ExpPwLaw'!$AG$11</definedName>
    <definedName name="Mean_of_yr">'Cumul_confirmed - ExpPwLaw'!$AG$23</definedName>
    <definedName name="Mean_of_yt">'New_confirmed - ExpPwLaw'!$AG$35</definedName>
    <definedName name="Peak">'Cumul_confirmed - ExpPwLaw'!$AG$17</definedName>
    <definedName name="Peak_d">'New_confirmed - ExpPwLaw'!$AG$29</definedName>
    <definedName name="Peak_h">'Cumul_confirmed - ExpPwLaw'!$AG$41</definedName>
    <definedName name="Peak_n">'New_confirmed - ExpPwLaw'!$AG$17</definedName>
    <definedName name="Peak_r">'Cumul_confirmed - ExpPwLaw'!$AG$29</definedName>
    <definedName name="Peak_t">'New_confirmed - ExpPwLaw'!$AG$41</definedName>
    <definedName name="RSQ">'Cumul_confirmed - ExpPwLaw'!$AG$14</definedName>
    <definedName name="RSQd">'New_confirmed - ExpPwLaw'!$AG$26</definedName>
    <definedName name="RSQh">'Cumul_confirmed - ExpPwLaw'!$AG$38</definedName>
    <definedName name="RSQn">'New_confirmed - ExpPwLaw'!$AG$14</definedName>
    <definedName name="RSQr">'Cumul_confirmed - ExpPwLaw'!$AG$26</definedName>
    <definedName name="RSQt">'New_confirmed - ExpPwLaw'!$AG$38</definedName>
    <definedName name="SE_of_y">'Cumul_confirmed - ExpPwLaw'!$AG$13</definedName>
    <definedName name="SE_of_yd">'New_confirmed - ExpPwLaw'!$AG$25</definedName>
    <definedName name="SE_of_yh">'Cumul_confirmed - ExpPwLaw'!$AG$37</definedName>
    <definedName name="SE_of_yn">'New_confirmed - ExpPwLaw'!$AG$13</definedName>
    <definedName name="SE_of_yr">'Cumul_confirmed - ExpPwLaw'!$AG$25</definedName>
    <definedName name="SE_of_yt">'New_confirmed - ExpPwLaw'!$AG$37</definedName>
    <definedName name="solver_adj" localSheetId="1" hidden="1">'Cumul_confirmed - ExpPwLaw'!$AG$32,'Cumul_confirmed - ExpPwLaw'!$AG$33,'Cumul_confirmed - ExpPwLaw'!$AG$34</definedName>
    <definedName name="solver_adj" localSheetId="2" hidden="1">'New_confirmed - ExpPwLaw'!$AG$8,'New_confirmed - ExpPwLaw'!$AG$9,'New_confirmed - ExpPwLaw'!$AG$10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ExpPwLaw'!$N$8</definedName>
    <definedName name="solver_lhs1" localSheetId="2" hidden="1">'New_confirmed - ExpPwLaw'!$AG$9</definedName>
    <definedName name="solver_lhs2" localSheetId="1" hidden="1">'Cumul_confirmed - ExpPwLaw'!$N$8</definedName>
    <definedName name="solver_lhs2" localSheetId="2" hidden="1">'New_confirmed - ExpPwLaw'!$AG$9</definedName>
    <definedName name="solver_lhs3" localSheetId="1" hidden="1">'Cumul_confirmed - ExpPwLaw'!$N$9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ExpPwLaw'!$AG$38</definedName>
    <definedName name="solver_opt" localSheetId="2" hidden="1">'New_confirmed - ExpPwLaw'!$AG$14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">'Cumul_confirmed - ExpPwLaw'!$AG$18</definedName>
    <definedName name="t_d">'New_confirmed - ExpPwLaw'!$AG$30</definedName>
    <definedName name="t_h">'Cumul_confirmed - ExpPwLaw'!$AG$42</definedName>
    <definedName name="t_n">'New_confirmed - ExpPwLaw'!$AG$18</definedName>
    <definedName name="t_r">'Cumul_confirmed - ExpPwLaw'!$AG$30</definedName>
    <definedName name="t_t">'New_confirmed - ExpPwLaw'!$AG$42</definedName>
    <definedName name="t0">'Cumul_confirmed - ExpPwLaw'!$AG$9</definedName>
    <definedName name="t0d">'New_confirmed - ExpPwLaw'!$AG$21</definedName>
    <definedName name="t0f">'New_confirmed - ExpPwLaw'!$AF$45</definedName>
    <definedName name="t0h">'Cumul_confirmed - ExpPwLaw'!$AG$33</definedName>
    <definedName name="t0n">'New_confirmed - ExpPwLaw'!$AG$9</definedName>
    <definedName name="t0r">'Cumul_confirmed - ExpPwLaw'!$AG$21</definedName>
    <definedName name="t0t">'New_confirmed - ExpPwLaw'!$AG$33</definedName>
    <definedName name="w">'Cumul_confirmed - ExpPwLaw'!$AG$10</definedName>
    <definedName name="wd">'New_confirmed - ExpPwLaw'!$AG$22</definedName>
    <definedName name="wf">'New_confirmed - ExpPwLaw'!$AF$46</definedName>
    <definedName name="wh">'Cumul_confirmed - ExpPwLaw'!$AG$34</definedName>
    <definedName name="wn">'New_confirmed - ExpPwLaw'!$AG$10</definedName>
    <definedName name="wr">'Cumul_confirmed - ExpPwLaw'!$AG$22</definedName>
    <definedName name="wt">'New_confirmed - ExpPwLaw'!$AG$34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11" i="12" l="1"/>
  <c r="AT10" i="12"/>
  <c r="AT9" i="12"/>
  <c r="AT21" i="12"/>
  <c r="AT20" i="12"/>
  <c r="AT19" i="12"/>
  <c r="AT31" i="12"/>
  <c r="AT30" i="12"/>
  <c r="AT29" i="12"/>
  <c r="AG34" i="19" l="1"/>
  <c r="AG33" i="19"/>
  <c r="AG32" i="19"/>
  <c r="AG22" i="19"/>
  <c r="AG21" i="19"/>
  <c r="AG20" i="19"/>
  <c r="AG10" i="19"/>
  <c r="AG9" i="19"/>
  <c r="AG8" i="19"/>
  <c r="W55" i="19"/>
  <c r="X56" i="19" s="1"/>
  <c r="X55" i="19"/>
  <c r="W56" i="19"/>
  <c r="W57" i="19"/>
  <c r="X57" i="19"/>
  <c r="O55" i="19"/>
  <c r="P55" i="19"/>
  <c r="O56" i="19"/>
  <c r="P57" i="19" s="1"/>
  <c r="P56" i="19"/>
  <c r="O57" i="19"/>
  <c r="L55" i="19"/>
  <c r="M55" i="19"/>
  <c r="L56" i="19"/>
  <c r="M56" i="19"/>
  <c r="L57" i="19"/>
  <c r="M57" i="19"/>
  <c r="D54" i="19"/>
  <c r="E54" i="19"/>
  <c r="D55" i="19"/>
  <c r="E55" i="19"/>
  <c r="D56" i="19"/>
  <c r="E56" i="19"/>
  <c r="D57" i="19"/>
  <c r="E57" i="19"/>
  <c r="W55" i="12"/>
  <c r="X55" i="12" s="1"/>
  <c r="W56" i="12"/>
  <c r="W57" i="12"/>
  <c r="X57" i="12" s="1"/>
  <c r="O54" i="12"/>
  <c r="P55" i="12" s="1"/>
  <c r="P54" i="12"/>
  <c r="O55" i="12"/>
  <c r="O56" i="12"/>
  <c r="P56" i="12"/>
  <c r="O57" i="12"/>
  <c r="P57" i="12"/>
  <c r="L54" i="12"/>
  <c r="M54" i="12"/>
  <c r="L55" i="12"/>
  <c r="M55" i="12"/>
  <c r="L56" i="12"/>
  <c r="M56" i="12"/>
  <c r="L57" i="12"/>
  <c r="M57" i="12"/>
  <c r="E54" i="12"/>
  <c r="E55" i="12"/>
  <c r="E56" i="12"/>
  <c r="E57" i="12"/>
  <c r="D54" i="12"/>
  <c r="D55" i="12"/>
  <c r="D56" i="12"/>
  <c r="D57" i="12"/>
  <c r="X56" i="12" l="1"/>
  <c r="W53" i="12"/>
  <c r="W54" i="12"/>
  <c r="X54" i="12" s="1"/>
  <c r="L53" i="12"/>
  <c r="D53" i="12"/>
  <c r="E53" i="12"/>
  <c r="W53" i="19" l="1"/>
  <c r="X54" i="19" s="1"/>
  <c r="W54" i="19"/>
  <c r="O53" i="19"/>
  <c r="P54" i="19" s="1"/>
  <c r="O54" i="19"/>
  <c r="M53" i="19"/>
  <c r="M54" i="19"/>
  <c r="L53" i="19"/>
  <c r="L54" i="19"/>
  <c r="E53" i="19"/>
  <c r="D53" i="19"/>
  <c r="O53" i="12" l="1"/>
  <c r="L52" i="12"/>
  <c r="M52" i="12"/>
  <c r="M53" i="12"/>
  <c r="D52" i="12"/>
  <c r="E52" i="12"/>
  <c r="W52" i="19"/>
  <c r="X53" i="19" s="1"/>
  <c r="O52" i="19"/>
  <c r="P53" i="19" s="1"/>
  <c r="L52" i="19"/>
  <c r="M52" i="19"/>
  <c r="E52" i="19"/>
  <c r="D52" i="19"/>
  <c r="AT11" i="19" l="1"/>
  <c r="AT10" i="19"/>
  <c r="AT9" i="19"/>
  <c r="AT21" i="19"/>
  <c r="AT20" i="19"/>
  <c r="AT19" i="19"/>
  <c r="AT31" i="19"/>
  <c r="AT30" i="19"/>
  <c r="AT29" i="19"/>
  <c r="AG41" i="19"/>
  <c r="AG29" i="19"/>
  <c r="AG17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AA27" i="19"/>
  <c r="AA28" i="19"/>
  <c r="AA29" i="19"/>
  <c r="AA30" i="19"/>
  <c r="AA31" i="19"/>
  <c r="AA32" i="19"/>
  <c r="AA33" i="19"/>
  <c r="AA34" i="19"/>
  <c r="AA35" i="19"/>
  <c r="AA36" i="19"/>
  <c r="AA37" i="19"/>
  <c r="AA38" i="19"/>
  <c r="AA39" i="19"/>
  <c r="AA40" i="19"/>
  <c r="AA41" i="19"/>
  <c r="AA42" i="19"/>
  <c r="AA43" i="19"/>
  <c r="AA44" i="19"/>
  <c r="AA45" i="19"/>
  <c r="AA46" i="19"/>
  <c r="AA47" i="19"/>
  <c r="AA48" i="19"/>
  <c r="AA49" i="19"/>
  <c r="AA50" i="19"/>
  <c r="AA51" i="19"/>
  <c r="AA52" i="19"/>
  <c r="AA53" i="19"/>
  <c r="AA54" i="19"/>
  <c r="AA55" i="19"/>
  <c r="AA56" i="19"/>
  <c r="AA57" i="19"/>
  <c r="AA58" i="19"/>
  <c r="AA59" i="19"/>
  <c r="AA60" i="19"/>
  <c r="AA61" i="19"/>
  <c r="AA62" i="19"/>
  <c r="AA63" i="19"/>
  <c r="AA64" i="19"/>
  <c r="AA65" i="19"/>
  <c r="AA66" i="19"/>
  <c r="AA67" i="19"/>
  <c r="AA68" i="19"/>
  <c r="AA69" i="19"/>
  <c r="AA70" i="19"/>
  <c r="AA71" i="19"/>
  <c r="AA72" i="19"/>
  <c r="AA73" i="19"/>
  <c r="AA74" i="19"/>
  <c r="AA75" i="19"/>
  <c r="AA76" i="19"/>
  <c r="AA77" i="19"/>
  <c r="AA78" i="19"/>
  <c r="AA8" i="19"/>
  <c r="Z9" i="19"/>
  <c r="Z10" i="19"/>
  <c r="Z11" i="19"/>
  <c r="Z12" i="19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8" i="19"/>
  <c r="W51" i="12"/>
  <c r="W52" i="12"/>
  <c r="X53" i="12" s="1"/>
  <c r="O51" i="12"/>
  <c r="O52" i="12"/>
  <c r="P53" i="12" s="1"/>
  <c r="M51" i="12"/>
  <c r="L51" i="12"/>
  <c r="E51" i="12"/>
  <c r="D51" i="12"/>
  <c r="W50" i="19"/>
  <c r="W51" i="19"/>
  <c r="X52" i="19" s="1"/>
  <c r="O51" i="19"/>
  <c r="M51" i="19"/>
  <c r="L51" i="19"/>
  <c r="E51" i="19"/>
  <c r="D51" i="19"/>
  <c r="X51" i="19" l="1"/>
  <c r="X52" i="12"/>
  <c r="Q53" i="19"/>
  <c r="P52" i="12"/>
  <c r="P52" i="19"/>
  <c r="Q52" i="19" s="1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W31" i="12"/>
  <c r="Y31" i="12" s="1"/>
  <c r="O31" i="12"/>
  <c r="M31" i="12"/>
  <c r="L31" i="12"/>
  <c r="E31" i="12"/>
  <c r="D31" i="12"/>
  <c r="F31" i="12" s="1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M23" i="12"/>
  <c r="L23" i="12"/>
  <c r="E23" i="12"/>
  <c r="D23" i="12"/>
  <c r="F23" i="12" s="1"/>
  <c r="AT22" i="12"/>
  <c r="W22" i="12"/>
  <c r="O22" i="12"/>
  <c r="M22" i="12"/>
  <c r="L22" i="12"/>
  <c r="E22" i="12"/>
  <c r="D22" i="12"/>
  <c r="F22" i="12" s="1"/>
  <c r="W21" i="12"/>
  <c r="Y21" i="12" s="1"/>
  <c r="O21" i="12"/>
  <c r="Q21" i="12" s="1"/>
  <c r="M21" i="12"/>
  <c r="L21" i="12"/>
  <c r="E21" i="12"/>
  <c r="D21" i="12"/>
  <c r="F21" i="12" s="1"/>
  <c r="W20" i="12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W11" i="12"/>
  <c r="O11" i="12"/>
  <c r="Q11" i="12" s="1"/>
  <c r="M11" i="12"/>
  <c r="L11" i="12"/>
  <c r="E11" i="12"/>
  <c r="D11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X27" i="12" l="1"/>
  <c r="AG29" i="12"/>
  <c r="P40" i="12"/>
  <c r="X12" i="12"/>
  <c r="P14" i="12"/>
  <c r="X20" i="12"/>
  <c r="AA60" i="12"/>
  <c r="Z28" i="12"/>
  <c r="Z35" i="12"/>
  <c r="Z52" i="12"/>
  <c r="Z21" i="12"/>
  <c r="Z22" i="12"/>
  <c r="Z23" i="12"/>
  <c r="Z42" i="12"/>
  <c r="Z55" i="12"/>
  <c r="AA26" i="12"/>
  <c r="Z75" i="12"/>
  <c r="Z76" i="12"/>
  <c r="Z65" i="12"/>
  <c r="Z66" i="12"/>
  <c r="Z67" i="12"/>
  <c r="Z45" i="12"/>
  <c r="Z46" i="12"/>
  <c r="Z47" i="12"/>
  <c r="Z33" i="12"/>
  <c r="AA38" i="12"/>
  <c r="AA16" i="12"/>
  <c r="AA17" i="12"/>
  <c r="Z77" i="12"/>
  <c r="Z78" i="12"/>
  <c r="Z8" i="12"/>
  <c r="AB8" i="12" s="1"/>
  <c r="Z57" i="12"/>
  <c r="Z58" i="12"/>
  <c r="Z59" i="12"/>
  <c r="Z43" i="12"/>
  <c r="Z54" i="12"/>
  <c r="AA50" i="12"/>
  <c r="AA28" i="12"/>
  <c r="AA29" i="12"/>
  <c r="AA18" i="12"/>
  <c r="AA19" i="12"/>
  <c r="AA20" i="12"/>
  <c r="Z69" i="12"/>
  <c r="Z70" i="12"/>
  <c r="Z71" i="12"/>
  <c r="Z41" i="12"/>
  <c r="Z53" i="12"/>
  <c r="AA62" i="12"/>
  <c r="AA40" i="12"/>
  <c r="AA41" i="12"/>
  <c r="AA30" i="12"/>
  <c r="AA31" i="12"/>
  <c r="AA32" i="12"/>
  <c r="AA10" i="12"/>
  <c r="AA11" i="12"/>
  <c r="AA12" i="12"/>
  <c r="Z34" i="12"/>
  <c r="AA74" i="12"/>
  <c r="AA52" i="12"/>
  <c r="AA53" i="12"/>
  <c r="AA42" i="12"/>
  <c r="AA43" i="12"/>
  <c r="AA44" i="12"/>
  <c r="AA22" i="12"/>
  <c r="AA23" i="12"/>
  <c r="AA24" i="12"/>
  <c r="AA14" i="12"/>
  <c r="AA64" i="12"/>
  <c r="AA65" i="12"/>
  <c r="AA54" i="12"/>
  <c r="AA55" i="12"/>
  <c r="AA56" i="12"/>
  <c r="AA34" i="12"/>
  <c r="AA35" i="12"/>
  <c r="AA36" i="12"/>
  <c r="Z73" i="12"/>
  <c r="Z63" i="12"/>
  <c r="Z25" i="12"/>
  <c r="AA76" i="12"/>
  <c r="AA77" i="12"/>
  <c r="AA66" i="12"/>
  <c r="AA67" i="12"/>
  <c r="AA68" i="12"/>
  <c r="AA46" i="12"/>
  <c r="AA47" i="12"/>
  <c r="AA48" i="12"/>
  <c r="Z64" i="12"/>
  <c r="Z37" i="12"/>
  <c r="Z15" i="12"/>
  <c r="Z16" i="12"/>
  <c r="AG41" i="12"/>
  <c r="AA78" i="12"/>
  <c r="AA8" i="12"/>
  <c r="AA58" i="12"/>
  <c r="AA59" i="12"/>
  <c r="Z49" i="12"/>
  <c r="Z27" i="12"/>
  <c r="Z17" i="12"/>
  <c r="Z18" i="12"/>
  <c r="Z19" i="12"/>
  <c r="AA70" i="12"/>
  <c r="AA71" i="12"/>
  <c r="AA72" i="12"/>
  <c r="Z51" i="12"/>
  <c r="AA13" i="12"/>
  <c r="Z14" i="12"/>
  <c r="Z26" i="12"/>
  <c r="Z38" i="12"/>
  <c r="Z50" i="12"/>
  <c r="Z62" i="12"/>
  <c r="Z74" i="12"/>
  <c r="AA15" i="12"/>
  <c r="AA27" i="12"/>
  <c r="AA39" i="12"/>
  <c r="AA51" i="12"/>
  <c r="AA63" i="12"/>
  <c r="AA75" i="12"/>
  <c r="AA37" i="12"/>
  <c r="AA25" i="12"/>
  <c r="AA49" i="12"/>
  <c r="Z72" i="12"/>
  <c r="Z36" i="12"/>
  <c r="Z48" i="12"/>
  <c r="Z20" i="12"/>
  <c r="Z32" i="12"/>
  <c r="Z44" i="12"/>
  <c r="Z56" i="12"/>
  <c r="Z68" i="12"/>
  <c r="AA9" i="12"/>
  <c r="AA21" i="12"/>
  <c r="AA33" i="12"/>
  <c r="AA45" i="12"/>
  <c r="AA57" i="12"/>
  <c r="AA69" i="12"/>
  <c r="Z60" i="12"/>
  <c r="AA61" i="12"/>
  <c r="Z24" i="12"/>
  <c r="AA73" i="12"/>
  <c r="Z12" i="12"/>
  <c r="Z61" i="12"/>
  <c r="Z39" i="12"/>
  <c r="Z40" i="12"/>
  <c r="Z29" i="12"/>
  <c r="Z30" i="12"/>
  <c r="Z31" i="12"/>
  <c r="Z9" i="12"/>
  <c r="AB9" i="12" s="1"/>
  <c r="Z10" i="12"/>
  <c r="Z11" i="12"/>
  <c r="Z13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G72" i="12"/>
  <c r="I72" i="12" s="1"/>
  <c r="H23" i="12"/>
  <c r="H30" i="12"/>
  <c r="H31" i="12"/>
  <c r="H35" i="12"/>
  <c r="H19" i="12"/>
  <c r="H42" i="12"/>
  <c r="H43" i="12"/>
  <c r="H47" i="12"/>
  <c r="H55" i="12"/>
  <c r="H59" i="12"/>
  <c r="H54" i="12"/>
  <c r="H66" i="12"/>
  <c r="H67" i="12"/>
  <c r="H71" i="12"/>
  <c r="H78" i="12"/>
  <c r="H8" i="12"/>
  <c r="G12" i="12"/>
  <c r="I12" i="12" s="1"/>
  <c r="G19" i="12"/>
  <c r="I19" i="12" s="1"/>
  <c r="G20" i="12"/>
  <c r="I20" i="12" s="1"/>
  <c r="G24" i="12"/>
  <c r="I24" i="12" s="1"/>
  <c r="G31" i="12"/>
  <c r="I31" i="12" s="1"/>
  <c r="G32" i="12"/>
  <c r="I32" i="12" s="1"/>
  <c r="G36" i="12"/>
  <c r="I36" i="12" s="1"/>
  <c r="G43" i="12"/>
  <c r="I43" i="12" s="1"/>
  <c r="G44" i="12"/>
  <c r="I44" i="12" s="1"/>
  <c r="G48" i="12"/>
  <c r="I48" i="12" s="1"/>
  <c r="G55" i="12"/>
  <c r="G56" i="12"/>
  <c r="G60" i="12"/>
  <c r="I60" i="12" s="1"/>
  <c r="G67" i="12"/>
  <c r="I67" i="12" s="1"/>
  <c r="G68" i="12"/>
  <c r="I68" i="12" s="1"/>
  <c r="H13" i="12"/>
  <c r="H25" i="12"/>
  <c r="H37" i="12"/>
  <c r="H49" i="12"/>
  <c r="H61" i="12"/>
  <c r="H73" i="12"/>
  <c r="G14" i="12"/>
  <c r="I14" i="12" s="1"/>
  <c r="G26" i="12"/>
  <c r="I26" i="12" s="1"/>
  <c r="G38" i="12"/>
  <c r="I38" i="12" s="1"/>
  <c r="G50" i="12"/>
  <c r="I50" i="12" s="1"/>
  <c r="G62" i="12"/>
  <c r="I62" i="12" s="1"/>
  <c r="G74" i="12"/>
  <c r="I74" i="12" s="1"/>
  <c r="H14" i="12"/>
  <c r="H26" i="12"/>
  <c r="H38" i="12"/>
  <c r="H50" i="12"/>
  <c r="H62" i="12"/>
  <c r="H74" i="12"/>
  <c r="G15" i="12"/>
  <c r="I15" i="12" s="1"/>
  <c r="G27" i="12"/>
  <c r="I27" i="12" s="1"/>
  <c r="G39" i="12"/>
  <c r="G51" i="12"/>
  <c r="I51" i="12" s="1"/>
  <c r="G63" i="12"/>
  <c r="I63" i="12" s="1"/>
  <c r="G75" i="12"/>
  <c r="I75" i="12" s="1"/>
  <c r="H15" i="12"/>
  <c r="H27" i="12"/>
  <c r="H39" i="12"/>
  <c r="H51" i="12"/>
  <c r="H63" i="12"/>
  <c r="H75" i="12"/>
  <c r="G16" i="12"/>
  <c r="I16" i="12" s="1"/>
  <c r="G28" i="12"/>
  <c r="I28" i="12" s="1"/>
  <c r="G40" i="12"/>
  <c r="I40" i="12" s="1"/>
  <c r="G52" i="12"/>
  <c r="I52" i="12" s="1"/>
  <c r="G64" i="12"/>
  <c r="I64" i="12" s="1"/>
  <c r="G76" i="12"/>
  <c r="I76" i="12" s="1"/>
  <c r="H16" i="12"/>
  <c r="H28" i="12"/>
  <c r="H40" i="12"/>
  <c r="H52" i="12"/>
  <c r="H64" i="12"/>
  <c r="H76" i="12"/>
  <c r="G17" i="12"/>
  <c r="I17" i="12" s="1"/>
  <c r="G29" i="12"/>
  <c r="I29" i="12" s="1"/>
  <c r="G41" i="12"/>
  <c r="I41" i="12" s="1"/>
  <c r="G53" i="12"/>
  <c r="I53" i="12" s="1"/>
  <c r="G65" i="12"/>
  <c r="I65" i="12" s="1"/>
  <c r="G77" i="12"/>
  <c r="I77" i="12" s="1"/>
  <c r="AG17" i="12"/>
  <c r="H17" i="12"/>
  <c r="H29" i="12"/>
  <c r="H41" i="12"/>
  <c r="H53" i="12"/>
  <c r="H65" i="12"/>
  <c r="H77" i="12"/>
  <c r="G18" i="12"/>
  <c r="I18" i="12" s="1"/>
  <c r="G30" i="12"/>
  <c r="I30" i="12" s="1"/>
  <c r="G42" i="12"/>
  <c r="I42" i="12" s="1"/>
  <c r="G54" i="12"/>
  <c r="G66" i="12"/>
  <c r="I66" i="12" s="1"/>
  <c r="G78" i="12"/>
  <c r="I78" i="12" s="1"/>
  <c r="H72" i="12"/>
  <c r="H20" i="12"/>
  <c r="H32" i="12"/>
  <c r="H44" i="12"/>
  <c r="H56" i="12"/>
  <c r="H68" i="12"/>
  <c r="G9" i="12"/>
  <c r="I9" i="12" s="1"/>
  <c r="G21" i="12"/>
  <c r="I21" i="12" s="1"/>
  <c r="G33" i="12"/>
  <c r="I33" i="12" s="1"/>
  <c r="G45" i="12"/>
  <c r="I45" i="12" s="1"/>
  <c r="G57" i="12"/>
  <c r="G69" i="12"/>
  <c r="I69" i="12" s="1"/>
  <c r="H9" i="12"/>
  <c r="H21" i="12"/>
  <c r="H33" i="12"/>
  <c r="H45" i="12"/>
  <c r="H57" i="12"/>
  <c r="H69" i="12"/>
  <c r="G10" i="12"/>
  <c r="I10" i="12" s="1"/>
  <c r="G22" i="12"/>
  <c r="I22" i="12" s="1"/>
  <c r="G34" i="12"/>
  <c r="I34" i="12" s="1"/>
  <c r="G46" i="12"/>
  <c r="I46" i="12" s="1"/>
  <c r="G58" i="12"/>
  <c r="I58" i="12" s="1"/>
  <c r="G70" i="12"/>
  <c r="I70" i="12" s="1"/>
  <c r="G13" i="12"/>
  <c r="I13" i="12" s="1"/>
  <c r="H10" i="12"/>
  <c r="H22" i="12"/>
  <c r="H34" i="12"/>
  <c r="H46" i="12"/>
  <c r="H58" i="12"/>
  <c r="H70" i="12"/>
  <c r="G11" i="12"/>
  <c r="I11" i="12" s="1"/>
  <c r="G23" i="12"/>
  <c r="I23" i="12" s="1"/>
  <c r="G35" i="12"/>
  <c r="I35" i="12" s="1"/>
  <c r="G47" i="12"/>
  <c r="I47" i="12" s="1"/>
  <c r="G59" i="12"/>
  <c r="I59" i="12" s="1"/>
  <c r="G71" i="12"/>
  <c r="I71" i="12" s="1"/>
  <c r="H12" i="12"/>
  <c r="H24" i="12"/>
  <c r="H36" i="12"/>
  <c r="H48" i="12"/>
  <c r="H60" i="12"/>
  <c r="G25" i="12"/>
  <c r="I25" i="12" s="1"/>
  <c r="G37" i="12"/>
  <c r="I37" i="12" s="1"/>
  <c r="G49" i="12"/>
  <c r="I49" i="12" s="1"/>
  <c r="G61" i="12"/>
  <c r="I61" i="12" s="1"/>
  <c r="G73" i="12"/>
  <c r="I73" i="12" s="1"/>
  <c r="G8" i="12"/>
  <c r="I8" i="12" s="1"/>
  <c r="H11" i="12"/>
  <c r="H18" i="12"/>
  <c r="S8" i="12"/>
  <c r="R66" i="12"/>
  <c r="T66" i="12" s="1"/>
  <c r="R31" i="12"/>
  <c r="T31" i="12" s="1"/>
  <c r="R21" i="12"/>
  <c r="T21" i="12" s="1"/>
  <c r="S34" i="12"/>
  <c r="R23" i="12"/>
  <c r="T23" i="12" s="1"/>
  <c r="S30" i="12"/>
  <c r="S20" i="12"/>
  <c r="S21" i="12"/>
  <c r="S11" i="12"/>
  <c r="S12" i="12"/>
  <c r="S13" i="12"/>
  <c r="S14" i="12"/>
  <c r="S15" i="12"/>
  <c r="S16" i="12"/>
  <c r="S41" i="12"/>
  <c r="S42" i="12"/>
  <c r="R32" i="12"/>
  <c r="T32" i="12" s="1"/>
  <c r="R72" i="12"/>
  <c r="T72" i="12" s="1"/>
  <c r="S29" i="12"/>
  <c r="S32" i="12"/>
  <c r="S33" i="12"/>
  <c r="S23" i="12"/>
  <c r="S24" i="12"/>
  <c r="S25" i="12"/>
  <c r="S26" i="12"/>
  <c r="S27" i="12"/>
  <c r="S28" i="12"/>
  <c r="S53" i="12"/>
  <c r="S54" i="12"/>
  <c r="R73" i="12"/>
  <c r="T73" i="12" s="1"/>
  <c r="S31" i="12"/>
  <c r="S44" i="12"/>
  <c r="S45" i="12"/>
  <c r="S35" i="12"/>
  <c r="S36" i="12"/>
  <c r="S37" i="12"/>
  <c r="S38" i="12"/>
  <c r="S39" i="12"/>
  <c r="S40" i="12"/>
  <c r="S65" i="12"/>
  <c r="S66" i="12"/>
  <c r="R74" i="12"/>
  <c r="T74" i="12" s="1"/>
  <c r="S43" i="12"/>
  <c r="S56" i="12"/>
  <c r="S57" i="12"/>
  <c r="S47" i="12"/>
  <c r="S48" i="12"/>
  <c r="S49" i="12"/>
  <c r="S50" i="12"/>
  <c r="S51" i="12"/>
  <c r="S52" i="12"/>
  <c r="S77" i="12"/>
  <c r="S78" i="12"/>
  <c r="S9" i="12"/>
  <c r="R76" i="12"/>
  <c r="T76" i="12" s="1"/>
  <c r="S55" i="12"/>
  <c r="S68" i="12"/>
  <c r="S10" i="12"/>
  <c r="S59" i="12"/>
  <c r="S60" i="12"/>
  <c r="S61" i="12"/>
  <c r="S62" i="12"/>
  <c r="S63" i="12"/>
  <c r="S64" i="12"/>
  <c r="R18" i="12"/>
  <c r="T18" i="12" s="1"/>
  <c r="R19" i="12"/>
  <c r="T19" i="12" s="1"/>
  <c r="R68" i="12"/>
  <c r="T68" i="12" s="1"/>
  <c r="R75" i="12"/>
  <c r="T75" i="12" s="1"/>
  <c r="S67" i="12"/>
  <c r="R9" i="12"/>
  <c r="T9" i="12" s="1"/>
  <c r="S22" i="12"/>
  <c r="S71" i="12"/>
  <c r="S72" i="12"/>
  <c r="S73" i="12"/>
  <c r="S74" i="12"/>
  <c r="S75" i="12"/>
  <c r="S76" i="12"/>
  <c r="R30" i="12"/>
  <c r="T30" i="12" s="1"/>
  <c r="R12" i="12"/>
  <c r="T12" i="12" s="1"/>
  <c r="R13" i="12"/>
  <c r="T13" i="12" s="1"/>
  <c r="R14" i="12"/>
  <c r="T14" i="12" s="1"/>
  <c r="R15" i="12"/>
  <c r="T15" i="12" s="1"/>
  <c r="R16" i="12"/>
  <c r="T16" i="12" s="1"/>
  <c r="R17" i="12"/>
  <c r="T17" i="12" s="1"/>
  <c r="R42" i="12"/>
  <c r="T42" i="12" s="1"/>
  <c r="R43" i="12"/>
  <c r="T43" i="12" s="1"/>
  <c r="S69" i="12"/>
  <c r="R10" i="12"/>
  <c r="T10" i="12" s="1"/>
  <c r="R22" i="12"/>
  <c r="T22" i="12" s="1"/>
  <c r="R34" i="12"/>
  <c r="T34" i="12" s="1"/>
  <c r="R46" i="12"/>
  <c r="T46" i="12" s="1"/>
  <c r="R58" i="12"/>
  <c r="T58" i="12" s="1"/>
  <c r="R70" i="12"/>
  <c r="T70" i="12" s="1"/>
  <c r="R35" i="12"/>
  <c r="T35" i="12" s="1"/>
  <c r="R47" i="12"/>
  <c r="T47" i="12" s="1"/>
  <c r="R59" i="12"/>
  <c r="T59" i="12" s="1"/>
  <c r="R71" i="12"/>
  <c r="T71" i="12" s="1"/>
  <c r="R65" i="12"/>
  <c r="T65" i="12" s="1"/>
  <c r="R77" i="12"/>
  <c r="T77" i="12" s="1"/>
  <c r="R20" i="12"/>
  <c r="T20" i="12" s="1"/>
  <c r="R33" i="12"/>
  <c r="T33" i="12" s="1"/>
  <c r="S46" i="12"/>
  <c r="R24" i="12"/>
  <c r="T24" i="12" s="1"/>
  <c r="R25" i="12"/>
  <c r="T25" i="12" s="1"/>
  <c r="R26" i="12"/>
  <c r="T26" i="12" s="1"/>
  <c r="R27" i="12"/>
  <c r="T27" i="12" s="1"/>
  <c r="R28" i="12"/>
  <c r="T28" i="12" s="1"/>
  <c r="R29" i="12"/>
  <c r="T29" i="12" s="1"/>
  <c r="R54" i="12"/>
  <c r="T54" i="12" s="1"/>
  <c r="R55" i="12"/>
  <c r="R45" i="12"/>
  <c r="T45" i="12" s="1"/>
  <c r="R36" i="12"/>
  <c r="T36" i="12" s="1"/>
  <c r="R38" i="12"/>
  <c r="T38" i="12" s="1"/>
  <c r="R40" i="12"/>
  <c r="T40" i="12" s="1"/>
  <c r="R67" i="12"/>
  <c r="T67" i="12" s="1"/>
  <c r="R44" i="12"/>
  <c r="T44" i="12" s="1"/>
  <c r="R57" i="12"/>
  <c r="S70" i="12"/>
  <c r="R48" i="12"/>
  <c r="T48" i="12" s="1"/>
  <c r="R49" i="12"/>
  <c r="T49" i="12" s="1"/>
  <c r="R50" i="12"/>
  <c r="T50" i="12" s="1"/>
  <c r="R51" i="12"/>
  <c r="T51" i="12" s="1"/>
  <c r="R52" i="12"/>
  <c r="T52" i="12" s="1"/>
  <c r="R53" i="12"/>
  <c r="T53" i="12" s="1"/>
  <c r="R78" i="12"/>
  <c r="T78" i="12" s="1"/>
  <c r="R8" i="12"/>
  <c r="T8" i="12" s="1"/>
  <c r="S58" i="12"/>
  <c r="R37" i="12"/>
  <c r="T37" i="12" s="1"/>
  <c r="R39" i="12"/>
  <c r="T39" i="12" s="1"/>
  <c r="R41" i="12"/>
  <c r="T41" i="12" s="1"/>
  <c r="R56" i="12"/>
  <c r="R69" i="12"/>
  <c r="T69" i="12" s="1"/>
  <c r="R11" i="12"/>
  <c r="T11" i="12" s="1"/>
  <c r="R60" i="12"/>
  <c r="T60" i="12" s="1"/>
  <c r="R61" i="12"/>
  <c r="T61" i="12" s="1"/>
  <c r="R62" i="12"/>
  <c r="T62" i="12" s="1"/>
  <c r="R63" i="12"/>
  <c r="T63" i="12" s="1"/>
  <c r="R64" i="12"/>
  <c r="T64" i="12" s="1"/>
  <c r="S17" i="12"/>
  <c r="S18" i="12"/>
  <c r="S19" i="12"/>
  <c r="P35" i="12"/>
  <c r="AG12" i="12"/>
  <c r="AG15" i="12" s="1"/>
  <c r="P11" i="12"/>
  <c r="P39" i="12"/>
  <c r="F26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5" i="12"/>
  <c r="X21" i="12"/>
  <c r="Q18" i="12"/>
  <c r="Y20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T57" i="12" l="1"/>
  <c r="T56" i="12"/>
  <c r="T55" i="12"/>
  <c r="I54" i="12"/>
  <c r="I57" i="12"/>
  <c r="I56" i="12"/>
  <c r="I55" i="12"/>
  <c r="N8" i="12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AG25" i="12" l="1" a="1"/>
  <c r="AG25" i="12" s="1"/>
  <c r="AG28" i="12" s="1"/>
  <c r="V57" i="12" s="1"/>
  <c r="AG26" i="12" a="1"/>
  <c r="AG26" i="12" s="1"/>
  <c r="AT18" i="12" s="1"/>
  <c r="AG13" i="12" a="1"/>
  <c r="AG13" i="12" s="1"/>
  <c r="AG16" i="12" s="1"/>
  <c r="J54" i="12" s="1"/>
  <c r="AG14" i="12" a="1"/>
  <c r="AG14" i="12" s="1"/>
  <c r="AT8" i="12" s="1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U20" i="12" l="1"/>
  <c r="V46" i="12"/>
  <c r="V53" i="12"/>
  <c r="V38" i="12"/>
  <c r="U53" i="12"/>
  <c r="V42" i="12"/>
  <c r="V29" i="12"/>
  <c r="U30" i="12"/>
  <c r="V26" i="12"/>
  <c r="U39" i="12"/>
  <c r="V47" i="12"/>
  <c r="V10" i="12"/>
  <c r="U38" i="12"/>
  <c r="U26" i="12"/>
  <c r="V41" i="12"/>
  <c r="V54" i="12"/>
  <c r="U46" i="12"/>
  <c r="U43" i="12"/>
  <c r="V39" i="12"/>
  <c r="U40" i="12"/>
  <c r="V48" i="12"/>
  <c r="V11" i="12"/>
  <c r="U36" i="12"/>
  <c r="U57" i="12"/>
  <c r="V9" i="12"/>
  <c r="V20" i="12"/>
  <c r="V22" i="12"/>
  <c r="U11" i="12"/>
  <c r="U52" i="12"/>
  <c r="U34" i="12"/>
  <c r="U31" i="12"/>
  <c r="V27" i="12"/>
  <c r="U28" i="12"/>
  <c r="V36" i="12"/>
  <c r="U35" i="12"/>
  <c r="U24" i="12"/>
  <c r="V56" i="12"/>
  <c r="V16" i="12"/>
  <c r="U21" i="12"/>
  <c r="V34" i="12"/>
  <c r="U9" i="12"/>
  <c r="V17" i="12"/>
  <c r="V35" i="12"/>
  <c r="V51" i="12"/>
  <c r="U54" i="12"/>
  <c r="U22" i="12"/>
  <c r="U10" i="12"/>
  <c r="U19" i="12"/>
  <c r="V15" i="12"/>
  <c r="U16" i="12"/>
  <c r="V24" i="12"/>
  <c r="U49" i="12"/>
  <c r="U12" i="12"/>
  <c r="U56" i="12"/>
  <c r="U33" i="12"/>
  <c r="V8" i="12"/>
  <c r="U51" i="12"/>
  <c r="V14" i="12"/>
  <c r="U15" i="12"/>
  <c r="V31" i="12"/>
  <c r="V52" i="12"/>
  <c r="U8" i="12"/>
  <c r="V49" i="12"/>
  <c r="V12" i="12"/>
  <c r="U37" i="12"/>
  <c r="V45" i="12"/>
  <c r="V55" i="12"/>
  <c r="V13" i="12"/>
  <c r="V44" i="12"/>
  <c r="U42" i="12"/>
  <c r="V30" i="12"/>
  <c r="U27" i="12"/>
  <c r="U23" i="12"/>
  <c r="V23" i="12"/>
  <c r="V32" i="12"/>
  <c r="V43" i="12"/>
  <c r="U44" i="12"/>
  <c r="V37" i="12"/>
  <c r="U55" i="12"/>
  <c r="U17" i="12"/>
  <c r="V50" i="12"/>
  <c r="U14" i="12"/>
  <c r="U18" i="12"/>
  <c r="V18" i="12"/>
  <c r="U48" i="12"/>
  <c r="V19" i="12"/>
  <c r="V40" i="12"/>
  <c r="U41" i="12"/>
  <c r="U47" i="12"/>
  <c r="U25" i="12"/>
  <c r="V33" i="12"/>
  <c r="U45" i="12"/>
  <c r="U32" i="12"/>
  <c r="V28" i="12"/>
  <c r="U29" i="12"/>
  <c r="V25" i="12"/>
  <c r="U50" i="12"/>
  <c r="U13" i="12"/>
  <c r="V21" i="12"/>
  <c r="J48" i="12"/>
  <c r="K26" i="12"/>
  <c r="K48" i="12"/>
  <c r="J38" i="12"/>
  <c r="K10" i="12"/>
  <c r="J11" i="12"/>
  <c r="K15" i="12"/>
  <c r="K39" i="12"/>
  <c r="K20" i="12"/>
  <c r="K22" i="12"/>
  <c r="K17" i="12"/>
  <c r="K36" i="12"/>
  <c r="J25" i="12"/>
  <c r="J43" i="12"/>
  <c r="K49" i="12"/>
  <c r="K46" i="12"/>
  <c r="J15" i="12"/>
  <c r="K30" i="12"/>
  <c r="K29" i="12"/>
  <c r="J23" i="12"/>
  <c r="K28" i="12"/>
  <c r="J28" i="12"/>
  <c r="K35" i="12"/>
  <c r="K19" i="12"/>
  <c r="J17" i="12"/>
  <c r="K51" i="12"/>
  <c r="K25" i="12"/>
  <c r="J10" i="12"/>
  <c r="J33" i="12"/>
  <c r="K43" i="12"/>
  <c r="J19" i="12"/>
  <c r="K33" i="12"/>
  <c r="K24" i="12"/>
  <c r="J47" i="12"/>
  <c r="K21" i="12"/>
  <c r="K11" i="12"/>
  <c r="K27" i="12"/>
  <c r="J29" i="12"/>
  <c r="J50" i="12"/>
  <c r="K34" i="12"/>
  <c r="J49" i="12"/>
  <c r="K13" i="12"/>
  <c r="J39" i="12"/>
  <c r="K8" i="12"/>
  <c r="K9" i="12"/>
  <c r="J42" i="12"/>
  <c r="J57" i="12"/>
  <c r="K12" i="12"/>
  <c r="J21" i="12"/>
  <c r="J8" i="12"/>
  <c r="K50" i="12"/>
  <c r="K44" i="12"/>
  <c r="K47" i="12"/>
  <c r="J20" i="12"/>
  <c r="J22" i="12"/>
  <c r="K57" i="12"/>
  <c r="J32" i="12"/>
  <c r="J12" i="12"/>
  <c r="K41" i="12"/>
  <c r="J34" i="12"/>
  <c r="K54" i="12"/>
  <c r="J41" i="12"/>
  <c r="K14" i="12"/>
  <c r="K45" i="12"/>
  <c r="J36" i="12"/>
  <c r="J44" i="12"/>
  <c r="J14" i="12"/>
  <c r="J35" i="12"/>
  <c r="J53" i="12"/>
  <c r="K56" i="12"/>
  <c r="K53" i="12"/>
  <c r="K18" i="12"/>
  <c r="J45" i="12"/>
  <c r="J26" i="12"/>
  <c r="J9" i="12"/>
  <c r="K38" i="12"/>
  <c r="K32" i="12"/>
  <c r="J51" i="12"/>
  <c r="J30" i="12"/>
  <c r="K31" i="12"/>
  <c r="J52" i="12"/>
  <c r="K55" i="12"/>
  <c r="K37" i="12"/>
  <c r="K40" i="12"/>
  <c r="J55" i="12"/>
  <c r="J37" i="12"/>
  <c r="J27" i="12"/>
  <c r="K16" i="12"/>
  <c r="J18" i="12"/>
  <c r="K52" i="12"/>
  <c r="J56" i="12"/>
  <c r="K42" i="12"/>
  <c r="J46" i="12"/>
  <c r="J40" i="12"/>
  <c r="J24" i="12"/>
  <c r="K23" i="12"/>
  <c r="J31" i="12"/>
  <c r="J13" i="12"/>
  <c r="J16" i="12"/>
  <c r="N11" i="12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N78" i="12"/>
  <c r="AG40" i="12" l="1"/>
  <c r="N118" i="12"/>
  <c r="AD57" i="12" l="1"/>
  <c r="AC57" i="12"/>
  <c r="AC56" i="12"/>
  <c r="AD55" i="12"/>
  <c r="AC55" i="12"/>
  <c r="AD56" i="12"/>
  <c r="AC54" i="12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40" i="19" l="1"/>
  <c r="Q40" i="19" s="1"/>
  <c r="P28" i="19"/>
  <c r="Q28" i="19" s="1"/>
  <c r="P16" i="19"/>
  <c r="Q16" i="19" s="1"/>
  <c r="AG12" i="19"/>
  <c r="P42" i="19"/>
  <c r="Q42" i="19" s="1"/>
  <c r="P30" i="19"/>
  <c r="Q30" i="19" s="1"/>
  <c r="P18" i="19"/>
  <c r="Q18" i="19" s="1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I10" i="19"/>
  <c r="I9" i="19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C12" i="19" l="1"/>
  <c r="N10" i="19"/>
  <c r="AB10" i="19"/>
  <c r="AG35" i="19"/>
  <c r="Y9" i="19"/>
  <c r="AG36" i="19"/>
  <c r="AG39" i="19" s="1"/>
  <c r="Q9" i="19"/>
  <c r="AG24" i="19"/>
  <c r="AG23" i="19"/>
  <c r="AB11" i="19"/>
  <c r="AB9" i="19"/>
  <c r="T9" i="19"/>
  <c r="T11" i="19"/>
  <c r="T10" i="19"/>
  <c r="N11" i="19" l="1"/>
  <c r="I11" i="19"/>
  <c r="C13" i="19"/>
  <c r="AB12" i="19"/>
  <c r="T12" i="19"/>
  <c r="N12" i="19" l="1"/>
  <c r="I12" i="19"/>
  <c r="T13" i="19"/>
  <c r="AB13" i="19"/>
  <c r="C14" i="19"/>
  <c r="T14" i="19" l="1"/>
  <c r="AB14" i="19"/>
  <c r="C15" i="19"/>
  <c r="N13" i="19"/>
  <c r="I13" i="19"/>
  <c r="T15" i="19" l="1"/>
  <c r="AB15" i="19"/>
  <c r="C16" i="19"/>
  <c r="N14" i="19"/>
  <c r="I14" i="19"/>
  <c r="N15" i="19" l="1"/>
  <c r="I15" i="19"/>
  <c r="T16" i="19"/>
  <c r="AB16" i="19"/>
  <c r="C17" i="19"/>
  <c r="N16" i="19" l="1"/>
  <c r="I16" i="19"/>
  <c r="T17" i="19"/>
  <c r="AB17" i="19"/>
  <c r="C18" i="19"/>
  <c r="T18" i="19" l="1"/>
  <c r="AB18" i="19"/>
  <c r="C19" i="19"/>
  <c r="N17" i="19"/>
  <c r="I17" i="19"/>
  <c r="AB19" i="19" l="1"/>
  <c r="T19" i="19"/>
  <c r="C20" i="19"/>
  <c r="N18" i="19"/>
  <c r="I18" i="19"/>
  <c r="AB20" i="19" l="1"/>
  <c r="T20" i="19"/>
  <c r="C21" i="19"/>
  <c r="N19" i="19"/>
  <c r="I19" i="19"/>
  <c r="T21" i="19" l="1"/>
  <c r="AB21" i="19"/>
  <c r="C22" i="19"/>
  <c r="N20" i="19"/>
  <c r="I20" i="19"/>
  <c r="T22" i="19" l="1"/>
  <c r="AB22" i="19"/>
  <c r="C23" i="19"/>
  <c r="N21" i="19"/>
  <c r="I21" i="19"/>
  <c r="T23" i="19" l="1"/>
  <c r="AB23" i="19"/>
  <c r="C24" i="19"/>
  <c r="N22" i="19"/>
  <c r="I22" i="19"/>
  <c r="T24" i="19" l="1"/>
  <c r="AB24" i="19"/>
  <c r="C25" i="19"/>
  <c r="N23" i="19"/>
  <c r="I23" i="19"/>
  <c r="AB25" i="19" l="1"/>
  <c r="T25" i="19"/>
  <c r="C26" i="19"/>
  <c r="N24" i="19"/>
  <c r="I24" i="19"/>
  <c r="T26" i="19" l="1"/>
  <c r="AB26" i="19"/>
  <c r="C27" i="19"/>
  <c r="N25" i="19"/>
  <c r="I25" i="19"/>
  <c r="AB27" i="19" l="1"/>
  <c r="T27" i="19"/>
  <c r="C28" i="19"/>
  <c r="N26" i="19"/>
  <c r="I26" i="19"/>
  <c r="T28" i="19" l="1"/>
  <c r="AB28" i="19"/>
  <c r="C29" i="19"/>
  <c r="N27" i="19"/>
  <c r="I27" i="19"/>
  <c r="N28" i="19" l="1"/>
  <c r="I28" i="19"/>
  <c r="T29" i="19"/>
  <c r="AB29" i="19"/>
  <c r="C30" i="19"/>
  <c r="T30" i="19" l="1"/>
  <c r="AB30" i="19"/>
  <c r="C31" i="19"/>
  <c r="N29" i="19"/>
  <c r="I29" i="19"/>
  <c r="AB31" i="19" l="1"/>
  <c r="T31" i="19"/>
  <c r="C32" i="19"/>
  <c r="N30" i="19"/>
  <c r="I30" i="19"/>
  <c r="AB32" i="19" l="1"/>
  <c r="T32" i="19"/>
  <c r="C33" i="19"/>
  <c r="N31" i="19"/>
  <c r="I31" i="19"/>
  <c r="N32" i="19" l="1"/>
  <c r="I32" i="19"/>
  <c r="T33" i="19"/>
  <c r="AB33" i="19"/>
  <c r="C34" i="19"/>
  <c r="T34" i="19" l="1"/>
  <c r="AB34" i="19"/>
  <c r="C35" i="19"/>
  <c r="N33" i="19"/>
  <c r="I33" i="19"/>
  <c r="AB35" i="19" l="1"/>
  <c r="T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T38" i="19" l="1"/>
  <c r="AB38" i="19"/>
  <c r="C39" i="19"/>
  <c r="N37" i="19"/>
  <c r="I37" i="19"/>
  <c r="T39" i="19" l="1"/>
  <c r="AB39" i="19"/>
  <c r="C40" i="19"/>
  <c r="N38" i="19"/>
  <c r="I38" i="19"/>
  <c r="T40" i="19" l="1"/>
  <c r="AB40" i="19"/>
  <c r="C41" i="19"/>
  <c r="N39" i="19"/>
  <c r="I39" i="19"/>
  <c r="T41" i="19" l="1"/>
  <c r="AB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AB44" i="19" l="1"/>
  <c r="T44" i="19"/>
  <c r="C45" i="19"/>
  <c r="N43" i="19"/>
  <c r="I43" i="19"/>
  <c r="T45" i="19" l="1"/>
  <c r="AB45" i="19"/>
  <c r="C46" i="19"/>
  <c r="N44" i="19"/>
  <c r="I44" i="19"/>
  <c r="T46" i="19" l="1"/>
  <c r="AB46" i="19"/>
  <c r="C47" i="19"/>
  <c r="N45" i="19"/>
  <c r="I45" i="19"/>
  <c r="T47" i="19" l="1"/>
  <c r="AB47" i="19"/>
  <c r="C48" i="19"/>
  <c r="N46" i="19"/>
  <c r="I46" i="19"/>
  <c r="N47" i="19" l="1"/>
  <c r="I47" i="19"/>
  <c r="T48" i="19"/>
  <c r="AB48" i="19"/>
  <c r="C49" i="19"/>
  <c r="N48" i="19" l="1"/>
  <c r="I48" i="19"/>
  <c r="T49" i="19"/>
  <c r="AB49" i="19"/>
  <c r="C50" i="19"/>
  <c r="N49" i="19" l="1"/>
  <c r="I49" i="19"/>
  <c r="T50" i="19"/>
  <c r="C51" i="19"/>
  <c r="T51" i="19" l="1"/>
  <c r="C52" i="19"/>
  <c r="AB50" i="19"/>
  <c r="N50" i="19"/>
  <c r="I50" i="19"/>
  <c r="T52" i="19" l="1"/>
  <c r="C53" i="19"/>
  <c r="N51" i="19"/>
  <c r="I51" i="19"/>
  <c r="AB51" i="19"/>
  <c r="AB52" i="19" l="1"/>
  <c r="T53" i="19"/>
  <c r="AB53" i="19"/>
  <c r="C54" i="19"/>
  <c r="I52" i="19"/>
  <c r="N52" i="19"/>
  <c r="N53" i="19" l="1"/>
  <c r="I53" i="19"/>
  <c r="T54" i="19"/>
  <c r="AB54" i="19"/>
  <c r="C55" i="19"/>
  <c r="N54" i="19" l="1"/>
  <c r="I54" i="19"/>
  <c r="AB55" i="19"/>
  <c r="T55" i="19"/>
  <c r="C56" i="19"/>
  <c r="AB56" i="19" l="1"/>
  <c r="T56" i="19"/>
  <c r="C57" i="19"/>
  <c r="N55" i="19"/>
  <c r="I55" i="19"/>
  <c r="T57" i="19" l="1"/>
  <c r="AB57" i="19"/>
  <c r="C58" i="19"/>
  <c r="N56" i="19"/>
  <c r="I56" i="19"/>
  <c r="AB58" i="19" l="1"/>
  <c r="T58" i="19"/>
  <c r="C59" i="19"/>
  <c r="N57" i="19"/>
  <c r="I57" i="19"/>
  <c r="N58" i="19" l="1"/>
  <c r="I58" i="19"/>
  <c r="T59" i="19"/>
  <c r="AB59" i="19"/>
  <c r="C60" i="19"/>
  <c r="AB60" i="19" l="1"/>
  <c r="T60" i="19"/>
  <c r="C61" i="19"/>
  <c r="N59" i="19"/>
  <c r="I59" i="19"/>
  <c r="AB61" i="19" l="1"/>
  <c r="T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N65" i="19" l="1"/>
  <c r="I65" i="19"/>
  <c r="T66" i="19"/>
  <c r="AB66" i="19"/>
  <c r="C67" i="19"/>
  <c r="AB67" i="19" l="1"/>
  <c r="T67" i="19"/>
  <c r="C68" i="19"/>
  <c r="N66" i="19"/>
  <c r="I66" i="19"/>
  <c r="C69" i="19" l="1"/>
  <c r="T68" i="19"/>
  <c r="AB68" i="19"/>
  <c r="N67" i="19"/>
  <c r="I67" i="19"/>
  <c r="C70" i="19" l="1"/>
  <c r="T69" i="19"/>
  <c r="AB69" i="19"/>
  <c r="N68" i="19"/>
  <c r="I68" i="19"/>
  <c r="N69" i="19" l="1"/>
  <c r="I69" i="19"/>
  <c r="C71" i="19"/>
  <c r="T70" i="19"/>
  <c r="AB70" i="19"/>
  <c r="C72" i="19" l="1"/>
  <c r="T71" i="19"/>
  <c r="AB71" i="19"/>
  <c r="N70" i="19"/>
  <c r="I70" i="19"/>
  <c r="N71" i="19" l="1"/>
  <c r="I71" i="19"/>
  <c r="C73" i="19"/>
  <c r="AB72" i="19"/>
  <c r="T72" i="19"/>
  <c r="AG15" i="19"/>
  <c r="AG27" i="19"/>
  <c r="N72" i="19" l="1"/>
  <c r="I72" i="19"/>
  <c r="T73" i="19"/>
  <c r="AB73" i="19"/>
  <c r="C74" i="19"/>
  <c r="N73" i="19" l="1"/>
  <c r="I73" i="19"/>
  <c r="T74" i="19"/>
  <c r="AB74" i="19"/>
  <c r="C75" i="19"/>
  <c r="N74" i="19" l="1"/>
  <c r="I74" i="19"/>
  <c r="C76" i="19"/>
  <c r="T75" i="19"/>
  <c r="AB75" i="19"/>
  <c r="N75" i="19" l="1"/>
  <c r="I75" i="19"/>
  <c r="T76" i="19"/>
  <c r="AB76" i="19"/>
  <c r="C77" i="19"/>
  <c r="N76" i="19" l="1"/>
  <c r="I76" i="19"/>
  <c r="T77" i="19"/>
  <c r="AB77" i="19"/>
  <c r="C78" i="19"/>
  <c r="N77" i="19" l="1"/>
  <c r="I77" i="19"/>
  <c r="T78" i="19"/>
  <c r="AB78" i="19"/>
  <c r="AG42" i="19"/>
  <c r="AG30" i="19"/>
  <c r="AG18" i="19"/>
  <c r="AG37" i="19" l="1" a="1"/>
  <c r="AG37" i="19" s="1"/>
  <c r="AG40" i="19" s="1"/>
  <c r="AG38" i="19" a="1"/>
  <c r="AG38" i="19" s="1"/>
  <c r="AT28" i="19" s="1"/>
  <c r="N78" i="19"/>
  <c r="I78" i="19"/>
  <c r="AG26" i="19" a="1"/>
  <c r="AG26" i="19" s="1"/>
  <c r="AT18" i="19" s="1"/>
  <c r="AG25" i="19" a="1"/>
  <c r="AG25" i="19" s="1"/>
  <c r="AG28" i="19" s="1"/>
  <c r="AD55" i="19" l="1"/>
  <c r="AD57" i="19"/>
  <c r="AC57" i="19"/>
  <c r="AC56" i="19"/>
  <c r="AD56" i="19"/>
  <c r="AC55" i="19"/>
  <c r="U57" i="19"/>
  <c r="V57" i="19"/>
  <c r="U56" i="19"/>
  <c r="V56" i="19"/>
  <c r="U55" i="19"/>
  <c r="V55" i="19"/>
  <c r="U54" i="19"/>
  <c r="V54" i="19"/>
  <c r="AC54" i="19"/>
  <c r="AD54" i="19"/>
  <c r="AD53" i="19"/>
  <c r="AC53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7" i="19" l="1"/>
  <c r="K57" i="19"/>
  <c r="J56" i="19"/>
  <c r="K56" i="19"/>
  <c r="J55" i="19"/>
  <c r="K55" i="19"/>
  <c r="K54" i="19"/>
  <c r="J54" i="19"/>
  <c r="J53" i="19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tc={9A58F8C8-EC4D-4204-BDBD-1ED773C791C2}</author>
    <author>tc={CC489CA4-0428-4260-9C71-F50F294E0276}</author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AH4" authorId="0" shapeId="0" xr:uid="{9A58F8C8-EC4D-4204-BDBD-1ED773C791C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1" shapeId="0" xr:uid="{CC489CA4-0428-4260-9C71-F50F294E027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6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9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10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11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2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3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4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5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tc={013D75A6-D219-4696-8A74-E71BD1DE8067}</author>
    <author>tc={74D534AB-025B-453A-B72C-53CD493EE2CD}</author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AH4" authorId="0" shapeId="0" xr:uid="{013D75A6-D219-4696-8A74-E71BD1DE806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H5" authorId="1" shapeId="0" xr:uid="{74D534AB-025B-453A-B72C-53CD493EE2C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6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<sst xmlns="http://schemas.openxmlformats.org/spreadsheetml/2006/main" count="360" uniqueCount="115">
  <si>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</si>
  <si>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</si>
  <si>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</si>
  <si>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</si>
  <si>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</si>
  <si>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</si>
  <si>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</si>
  <si>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</si>
  <si>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</si>
  <si>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</si>
  <si>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</si>
  <si>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</si>
  <si>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</si>
  <si>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</si>
  <si>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</si>
  <si>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</si>
  <si>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</si>
  <si>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</si>
  <si>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</si>
  <si>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</si>
  <si>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</si>
  <si>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</si>
  <si>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</si>
  <si>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</si>
  <si>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</si>
  <si>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</si>
  <si>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</si>
  <si>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</si>
  <si>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</si>
  <si>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</si>
  <si>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</si>
  <si>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</si>
  <si>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</si>
  <si>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</si>
  <si>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</si>
  <si>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</si>
  <si>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</si>
  <si>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</si>
  <si>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</si>
  <si>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</si>
  <si>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</si>
  <si>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</si>
  <si>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</si>
  <si>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</si>
  <si>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</si>
  <si>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</si>
  <si>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</si>
  <si>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</si>
  <si>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</si>
  <si>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</si>
  <si>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</si>
  <si>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</si>
  <si>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</si>
  <si>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</si>
  <si>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</si>
  <si>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</si>
  <si>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</si>
  <si>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</si>
  <si>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</si>
  <si>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</si>
  <si>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</si>
  <si>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</si>
  <si>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</si>
  <si>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</si>
  <si>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</si>
  <si>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</si>
  <si>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</si>
  <si>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</si>
  <si>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</si>
  <si>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</si>
  <si>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</si>
  <si>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</si>
  <si>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</si>
  <si>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</si>
  <si>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</si>
  <si>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</si>
  <si>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</si>
  <si>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</si>
  <si>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</si>
  <si>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</si>
  <si>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</si>
  <si>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</si>
  <si>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</si>
  <si>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</si>
  <si>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</si>
  <si>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</si>
  <si>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</si>
  <si>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</si>
  <si>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</si>
  <si>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</si>
  <si>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</si>
  <si>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</si>
  <si>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</si>
  <si>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</si>
  <si>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</si>
  <si>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</si>
  <si>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</si>
  <si>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</si>
  <si>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</si>
  <si>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Saturation val.</t>
  </si>
  <si>
    <r>
      <t>t</t>
    </r>
    <r>
      <rPr>
        <i/>
        <strike/>
        <vertAlign val="subscript"/>
        <sz val="11"/>
        <color rgb="FF00B050"/>
        <rFont val="Calibri"/>
        <family val="2"/>
        <scheme val="minor"/>
      </rPr>
      <t>0</t>
    </r>
    <r>
      <rPr>
        <i/>
        <strike/>
        <sz val="11"/>
        <color rgb="FF00B050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</si>
  <si>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rgb="FF00B050"/>
        <rFont val="Calibri"/>
        <family val="2"/>
        <scheme val="minor"/>
      </rPr>
      <t>2</t>
    </r>
  </si>
  <si>
    <t>R_Upper CI</t>
  </si>
  <si>
    <t>R_Lower CI</t>
  </si>
  <si>
    <t>D_Upper CI</t>
  </si>
  <si>
    <t>D_Lower CI</t>
  </si>
  <si>
    <r>
      <t>t</t>
    </r>
    <r>
      <rPr>
        <i/>
        <strike/>
        <vertAlign val="subscript"/>
        <sz val="11"/>
        <color theme="8"/>
        <rFont val="Calibri"/>
        <family val="2"/>
        <scheme val="minor"/>
      </rPr>
      <t>0</t>
    </r>
    <r>
      <rPr>
        <i/>
        <strike/>
        <sz val="11"/>
        <color theme="8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</si>
  <si>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theme="8"/>
        <rFont val="Calibri"/>
        <family val="2"/>
        <scheme val="minor"/>
      </rPr>
      <t>2</t>
    </r>
  </si>
  <si>
    <t>k=</t>
  </si>
  <si>
    <t>pd-IT-0011</t>
  </si>
  <si>
    <t>pd-EN-0011</t>
  </si>
  <si>
    <t>dc-IT-0003</t>
  </si>
  <si>
    <t>dc-EN-0003</t>
  </si>
  <si>
    <t>Solver method: GRG2 non linear engine - option: default</t>
  </si>
  <si>
    <r>
      <t>t</t>
    </r>
    <r>
      <rPr>
        <i/>
        <vertAlign val="subscript"/>
        <sz val="11"/>
        <color rgb="FF00B050"/>
        <rFont val="Calibri"/>
        <family val="2"/>
        <scheme val="minor"/>
      </rPr>
      <t>0</t>
    </r>
    <r>
      <rPr>
        <i/>
        <sz val="11"/>
        <color rgb="FF00B050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</si>
</sst>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4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i/>
      <strike/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i/>
      <strike/>
      <vertAlign val="subscript"/>
      <sz val="11"/>
      <color rgb="FF00B050"/>
      <name val="Calibri"/>
      <family val="2"/>
      <scheme val="minor"/>
    </font>
    <font>
      <strike/>
      <vertAlign val="superscript"/>
      <sz val="11"/>
      <color rgb="FF00B050"/>
      <name val="Calibri"/>
      <family val="2"/>
      <scheme val="minor"/>
    </font>
    <font>
      <b/>
      <strike/>
      <sz val="11"/>
      <color rgb="FF00B050"/>
      <name val="Calibri"/>
      <family val="2"/>
      <scheme val="minor"/>
    </font>
    <font>
      <i/>
      <strike/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i/>
      <strike/>
      <vertAlign val="subscript"/>
      <sz val="11"/>
      <color theme="8"/>
      <name val="Calibri"/>
      <family val="2"/>
      <scheme val="minor"/>
    </font>
    <font>
      <strike/>
      <vertAlign val="superscript"/>
      <sz val="11"/>
      <color theme="8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vertAlign val="subscript"/>
      <sz val="11"/>
      <color rgb="FF00B05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3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0" fontId="5" fillId="6" borderId="0" xfId="8" applyAlignment="1">
      <alignment horizontal="center" wrapText="1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3" fillId="0" borderId="10" xfId="7" applyAlignment="1">
      <alignment horizontal="left" vertical="center"/>
    </xf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30" fillId="2" borderId="0" xfId="0" applyFont="1" applyFill="1"/>
    <xf numFmtId="2" fontId="31" fillId="2" borderId="0" xfId="0" applyNumberFormat="1" applyFont="1" applyFill="1"/>
    <xf numFmtId="0" fontId="31" fillId="0" borderId="0" xfId="0" applyFont="1"/>
    <xf numFmtId="1" fontId="31" fillId="0" borderId="0" xfId="0" applyNumberFormat="1" applyFont="1"/>
    <xf numFmtId="2" fontId="31" fillId="0" borderId="0" xfId="0" applyNumberFormat="1" applyFont="1"/>
    <xf numFmtId="164" fontId="31" fillId="0" borderId="0" xfId="0" applyNumberFormat="1" applyFont="1"/>
    <xf numFmtId="0" fontId="31" fillId="0" borderId="0" xfId="0" applyFont="1" applyFill="1"/>
    <xf numFmtId="165" fontId="34" fillId="0" borderId="0" xfId="0" applyNumberFormat="1" applyFont="1"/>
    <xf numFmtId="0" fontId="35" fillId="2" borderId="0" xfId="0" applyFont="1" applyFill="1"/>
    <xf numFmtId="2" fontId="36" fillId="2" borderId="0" xfId="0" applyNumberFormat="1" applyFont="1" applyFill="1"/>
    <xf numFmtId="0" fontId="36" fillId="0" borderId="0" xfId="0" applyFont="1" applyFill="1"/>
    <xf numFmtId="1" fontId="36" fillId="0" borderId="0" xfId="0" applyNumberFormat="1" applyFont="1"/>
    <xf numFmtId="2" fontId="36" fillId="0" borderId="0" xfId="0" applyNumberFormat="1" applyFont="1"/>
    <xf numFmtId="164" fontId="36" fillId="0" borderId="0" xfId="0" applyNumberFormat="1" applyFont="1"/>
    <xf numFmtId="165" fontId="39" fillId="0" borderId="0" xfId="0" applyNumberFormat="1" applyFont="1"/>
    <xf numFmtId="1" fontId="40" fillId="0" borderId="0" xfId="0" applyNumberFormat="1" applyFont="1"/>
    <xf numFmtId="0" fontId="0" fillId="8" borderId="2" xfId="0" applyFill="1" applyBorder="1" applyAlignment="1">
      <alignment wrapText="1"/>
    </xf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  <xf numFmtId="0" fontId="13" fillId="6" borderId="0" xfId="8" applyFont="1" applyAlignment="1">
      <alignment horizontal="center" wrapText="1"/>
    </xf>
    <xf numFmtId="0" fontId="0" fillId="9" borderId="2" xfId="0" applyFill="1" applyBorder="1" applyAlignment="1">
      <alignment wrapText="1"/>
    </xf>
    <xf numFmtId="164" fontId="1" fillId="9" borderId="3" xfId="0" applyNumberFormat="1" applyFont="1" applyFill="1" applyBorder="1"/>
    <xf numFmtId="0" fontId="1" fillId="9" borderId="3" xfId="0" applyFont="1" applyFill="1" applyBorder="1"/>
    <xf numFmtId="0" fontId="1" fillId="9" borderId="7" xfId="0" applyFont="1" applyFill="1" applyBorder="1"/>
    <xf numFmtId="0" fontId="23" fillId="0" borderId="10" xfId="7" applyAlignment="1">
      <alignment horizontal="left" vertical="center"/>
    </xf>
    <xf numFmtId="0" fontId="0" fillId="9" borderId="5" xfId="0" applyFill="1" applyBorder="1" applyAlignment="1">
      <alignment horizontal="center" vertical="center" textRotation="180" wrapText="1"/>
    </xf>
    <xf numFmtId="0" fontId="0" fillId="9" borderId="3" xfId="0" applyFill="1" applyBorder="1" applyAlignment="1">
      <alignment horizontal="center" vertical="center" textRotation="180" wrapText="1"/>
    </xf>
    <xf numFmtId="0" fontId="0" fillId="9" borderId="6" xfId="0" applyFill="1" applyBorder="1" applyAlignment="1">
      <alignment horizontal="center" vertical="center" textRotation="180" wrapText="1"/>
    </xf>
    <xf numFmtId="0" fontId="20" fillId="0" borderId="0" xfId="4"/>
    <xf numFmtId="0" fontId="5" fillId="5" borderId="0" xfId="3" applyBorder="1"/>
    <xf numFmtId="0" fontId="21" fillId="0" borderId="8" xfId="5"/>
    <xf numFmtId="0" fontId="22" fillId="0" borderId="9" xfId="6"/>
    <xf numFmtId="0" fontId="23" fillId="0" borderId="10" xfId="7" applyAlignment="1">
      <alignment horizontal="left" vertical="center"/>
    </xf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  <xf numFmtId="0" fontId="41" fillId="2" borderId="0" xfId="0" applyFont="1" applyFill="1"/>
    <xf numFmtId="2" fontId="15" fillId="2" borderId="0" xfId="0" applyNumberFormat="1" applyFont="1" applyFill="1"/>
    <xf numFmtId="0" fontId="15" fillId="0" borderId="0" xfId="0" applyFont="1" applyFill="1"/>
    <xf numFmtId="165" fontId="24" fillId="0" borderId="0" xfId="0" applyNumberFormat="1" applyFont="1"/>
    <xf numFmtId="164" fontId="40" fillId="9" borderId="3" xfId="0" applyNumberFormat="1" applyFont="1" applyFill="1" applyBorder="1"/>
    <xf numFmtId="0" fontId="40" fillId="9" borderId="3" xfId="0" applyFont="1" applyFill="1" applyBorder="1"/>
    <xf numFmtId="0" fontId="40" fillId="9" borderId="4" xfId="0" applyFont="1" applyFill="1" applyBorder="1"/>
    <xf numFmtId="0" fontId="43" fillId="9" borderId="5" xfId="0" applyFont="1" applyFill="1" applyBorder="1" applyAlignment="1">
      <alignment horizontal="center" vertical="center" textRotation="180" wrapText="1"/>
    </xf>
    <xf numFmtId="0" fontId="43" fillId="9" borderId="3" xfId="0" applyFont="1" applyFill="1" applyBorder="1" applyAlignment="1">
      <alignment horizontal="center" vertical="center" textRotation="180" wrapText="1"/>
    </xf>
    <xf numFmtId="0" fontId="43" fillId="9" borderId="6" xfId="0" applyFont="1" applyFill="1" applyBorder="1" applyAlignment="1">
      <alignment horizontal="center" vertical="center" textRotation="180" wrapText="1"/>
    </xf>
    <xf numFmtId="164" fontId="31" fillId="9" borderId="3" xfId="0" applyNumberFormat="1" applyFont="1" applyFill="1" applyBorder="1"/>
    <xf numFmtId="0" fontId="31" fillId="9" borderId="3" xfId="0" applyFont="1" applyFill="1" applyBorder="1"/>
    <xf numFmtId="0" fontId="31" fillId="9" borderId="7" xfId="0" applyFont="1" applyFill="1" applyBorder="1"/>
    <xf numFmtId="164" fontId="40" fillId="8" borderId="3" xfId="0" applyNumberFormat="1" applyFont="1" applyFill="1" applyBorder="1"/>
    <xf numFmtId="0" fontId="40" fillId="8" borderId="3" xfId="0" applyFont="1" applyFill="1" applyBorder="1"/>
    <xf numFmtId="0" fontId="40" fillId="8" borderId="4" xfId="0" applyFont="1" applyFill="1" applyBorder="1"/>
    <xf numFmtId="164" fontId="31" fillId="8" borderId="3" xfId="0" applyNumberFormat="1" applyFont="1" applyFill="1" applyBorder="1"/>
    <xf numFmtId="0" fontId="31" fillId="8" borderId="3" xfId="0" applyFont="1" applyFill="1" applyBorder="1"/>
    <xf numFmtId="0" fontId="31" fillId="8" borderId="7" xfId="0" applyFont="1" applyFill="1" applyBorder="1"/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ExpPwLaw'!$D$6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ExpPwLaw'!$E$6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ExpPwLaw'!$F$6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ExpPwLaw'!$G$6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2.6790828365744101E-2</c:v>
                </c:pt>
                <c:pt idx="3">
                  <c:v>0.95699010644626215</c:v>
                </c:pt>
                <c:pt idx="4">
                  <c:v>7.374321386941201</c:v>
                </c:pt>
                <c:pt idx="5">
                  <c:v>30.333597887774864</c:v>
                </c:pt>
                <c:pt idx="6">
                  <c:v>88.477460358257304</c:v>
                </c:pt>
                <c:pt idx="7">
                  <c:v>207.67319928891715</c:v>
                </c:pt>
                <c:pt idx="8">
                  <c:v>419.63520380497675</c:v>
                </c:pt>
                <c:pt idx="9">
                  <c:v>759.97807819054958</c:v>
                </c:pt>
                <c:pt idx="10">
                  <c:v>1266.0578410409928</c:v>
                </c:pt>
                <c:pt idx="11">
                  <c:v>1974.8613342616118</c:v>
                </c:pt>
                <c:pt idx="12">
                  <c:v>2921.1165074242931</c:v>
                </c:pt>
                <c:pt idx="13">
                  <c:v>4135.7247264594953</c:v>
                </c:pt>
                <c:pt idx="14">
                  <c:v>5644.5613464907883</c:v>
                </c:pt>
                <c:pt idx="15">
                  <c:v>7467.6508972314678</c:v>
                </c:pt>
                <c:pt idx="16">
                  <c:v>9618.6959608471316</c:v>
                </c:pt>
                <c:pt idx="17">
                  <c:v>12104.921655382574</c:v>
                </c:pt>
                <c:pt idx="18">
                  <c:v>14927.188236478683</c:v>
                </c:pt>
                <c:pt idx="19">
                  <c:v>18080.320674496241</c:v>
                </c:pt>
                <c:pt idx="20">
                  <c:v>21553.604478829315</c:v>
                </c:pt>
                <c:pt idx="21">
                  <c:v>25331.400185332339</c:v>
                </c:pt>
                <c:pt idx="22">
                  <c:v>29393.833754034298</c:v>
                </c:pt>
                <c:pt idx="23">
                  <c:v>33717.525855455606</c:v>
                </c:pt>
                <c:pt idx="24">
                  <c:v>38276.329078842056</c:v>
                </c:pt>
                <c:pt idx="25">
                  <c:v>43042.048068744916</c:v>
                </c:pt>
                <c:pt idx="26">
                  <c:v>47985.123215984298</c:v>
                </c:pt>
                <c:pt idx="27">
                  <c:v>53075.263626824664</c:v>
                </c:pt>
                <c:pt idx="28">
                  <c:v>58282.019579486412</c:v>
                </c:pt>
                <c:pt idx="29">
                  <c:v>63575.288516031142</c:v>
                </c:pt>
                <c:pt idx="30">
                  <c:v>68925.751816432428</c:v>
                </c:pt>
                <c:pt idx="31">
                  <c:v>74305.242193620506</c:v>
                </c:pt>
                <c:pt idx="32">
                  <c:v>79687.04358386551</c:v>
                </c:pt>
                <c:pt idx="33">
                  <c:v>85046.126945972501</c:v>
                </c:pt>
                <c:pt idx="34">
                  <c:v>90359.326489296829</c:v>
                </c:pt>
                <c:pt idx="35">
                  <c:v>95605.461588477483</c:v>
                </c:pt>
                <c:pt idx="36">
                  <c:v>100765.4100732755</c:v>
                </c:pt>
                <c:pt idx="37">
                  <c:v>105822.13876180045</c:v>
                </c:pt>
                <c:pt idx="38">
                  <c:v>110760.69708609102</c:v>
                </c:pt>
                <c:pt idx="39">
                  <c:v>115568.17948590679</c:v>
                </c:pt>
                <c:pt idx="40">
                  <c:v>120233.66195910878</c:v>
                </c:pt>
                <c:pt idx="41">
                  <c:v>124748.11778870685</c:v>
                </c:pt>
                <c:pt idx="42">
                  <c:v>129104.31704559058</c:v>
                </c:pt>
                <c:pt idx="43">
                  <c:v>133296.71401515396</c:v>
                </c:pt>
                <c:pt idx="44">
                  <c:v>137321.32623397795</c:v>
                </c:pt>
                <c:pt idx="45">
                  <c:v>141175.60836396867</c:v>
                </c:pt>
                <c:pt idx="46">
                  <c:v>144858.32368694126</c:v>
                </c:pt>
                <c:pt idx="47">
                  <c:v>148369.41558074084</c:v>
                </c:pt>
                <c:pt idx="48">
                  <c:v>151709.88094428022</c:v>
                </c:pt>
                <c:pt idx="49">
                  <c:v>154881.64717699765</c:v>
                </c:pt>
                <c:pt idx="50">
                  <c:v>157887.45399020263</c:v>
                </c:pt>
                <c:pt idx="51">
                  <c:v>160730.74103426683</c:v>
                </c:pt>
                <c:pt idx="52">
                  <c:v>163415.54206629383</c:v>
                </c:pt>
                <c:pt idx="53">
                  <c:v>165946.38615666609</c:v>
                </c:pt>
                <c:pt idx="54">
                  <c:v>168328.2062380412</c:v>
                </c:pt>
                <c:pt idx="55">
                  <c:v>170566.25513489638</c:v>
                </c:pt>
                <c:pt idx="56">
                  <c:v>172666.02907329728</c:v>
                </c:pt>
                <c:pt idx="57">
                  <c:v>174633.1985567438</c:v>
                </c:pt>
                <c:pt idx="58">
                  <c:v>176473.54640225641</c:v>
                </c:pt>
                <c:pt idx="59">
                  <c:v>178192.91265884382</c:v>
                </c:pt>
                <c:pt idx="60">
                  <c:v>179797.14607577593</c:v>
                </c:pt>
                <c:pt idx="61">
                  <c:v>181292.06174841727</c:v>
                </c:pt>
                <c:pt idx="62">
                  <c:v>182683.40454264599</c:v>
                </c:pt>
                <c:pt idx="63">
                  <c:v>183976.81788315435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ExpPwLaw'!$H$6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0.13963206978005366</c:v>
                </c:pt>
                <c:pt idx="3">
                  <c:v>2.4364074163428819</c:v>
                </c:pt>
                <c:pt idx="4">
                  <c:v>12.222933046851352</c:v>
                </c:pt>
                <c:pt idx="5">
                  <c:v>36.809964285572086</c:v>
                </c:pt>
                <c:pt idx="6">
                  <c:v>83.813014359412065</c:v>
                </c:pt>
                <c:pt idx="7">
                  <c:v>159.89749581571292</c:v>
                </c:pt>
                <c:pt idx="8">
                  <c:v>269.99887525156538</c:v>
                </c:pt>
                <c:pt idx="9">
                  <c:v>416.9484575737261</c:v>
                </c:pt>
                <c:pt idx="10">
                  <c:v>601.40727113756213</c:v>
                </c:pt>
                <c:pt idx="11">
                  <c:v>822.01393917406051</c:v>
                </c:pt>
                <c:pt idx="12">
                  <c:v>1075.6666353608193</c:v>
                </c:pt>
                <c:pt idx="13">
                  <c:v>1357.8760550042825</c:v>
                </c:pt>
                <c:pt idx="14">
                  <c:v>1663.1423649716255</c:v>
                </c:pt>
                <c:pt idx="15">
                  <c:v>1985.3229768279293</c:v>
                </c:pt>
                <c:pt idx="16">
                  <c:v>2317.9693366893043</c:v>
                </c:pt>
                <c:pt idx="17">
                  <c:v>2654.6198135266723</c:v>
                </c:pt>
                <c:pt idx="18">
                  <c:v>2989.0424660406079</c:v>
                </c:pt>
                <c:pt idx="19">
                  <c:v>3315.4263179687323</c:v>
                </c:pt>
                <c:pt idx="20">
                  <c:v>3628.5231184481031</c:v>
                </c:pt>
                <c:pt idx="21">
                  <c:v>3923.7437261026857</c:v>
                </c:pt>
                <c:pt idx="22">
                  <c:v>4197.2145102232498</c:v>
                </c:pt>
                <c:pt idx="23">
                  <c:v>4445.7997426347474</c:v>
                </c:pt>
                <c:pt idx="24">
                  <c:v>4667.096049636838</c:v>
                </c:pt>
                <c:pt idx="25">
                  <c:v>4859.404756100399</c:v>
                </c:pt>
                <c:pt idx="26">
                  <c:v>5021.6875012318742</c:v>
                </c:pt>
                <c:pt idx="27">
                  <c:v>5153.5099273076185</c:v>
                </c:pt>
                <c:pt idx="28">
                  <c:v>5254.9776052959041</c:v>
                </c:pt>
                <c:pt idx="29">
                  <c:v>5326.6677125317165</c:v>
                </c:pt>
                <c:pt idx="30">
                  <c:v>5369.5593505518118</c:v>
                </c:pt>
                <c:pt idx="31">
                  <c:v>5384.9648074574961</c:v>
                </c:pt>
                <c:pt idx="32">
                  <c:v>5374.4635416735646</c:v>
                </c:pt>
                <c:pt idx="33">
                  <c:v>5339.8401991635728</c:v>
                </c:pt>
                <c:pt idx="34">
                  <c:v>5283.0275758115986</c:v>
                </c:pt>
                <c:pt idx="35">
                  <c:v>5206.05509927617</c:v>
                </c:pt>
                <c:pt idx="36">
                  <c:v>5111.0031264706431</c:v>
                </c:pt>
                <c:pt idx="37">
                  <c:v>4999.9631288836272</c:v>
                </c:pt>
                <c:pt idx="38">
                  <c:v>4875.0036624576296</c:v>
                </c:pt>
                <c:pt idx="39">
                  <c:v>4738.1418856615019</c:v>
                </c:pt>
                <c:pt idx="40">
                  <c:v>4591.3202927461007</c:v>
                </c:pt>
                <c:pt idx="41">
                  <c:v>4436.3882632629438</c:v>
                </c:pt>
                <c:pt idx="42">
                  <c:v>4275.0879884705</c:v>
                </c:pt>
                <c:pt idx="43">
                  <c:v>4109.0443154677478</c:v>
                </c:pt>
                <c:pt idx="44">
                  <c:v>3939.758046531877</c:v>
                </c:pt>
                <c:pt idx="45">
                  <c:v>3768.6022404883138</c:v>
                </c:pt>
                <c:pt idx="46">
                  <c:v>3596.8210818228235</c:v>
                </c:pt>
                <c:pt idx="47">
                  <c:v>3425.5309089653151</c:v>
                </c:pt>
                <c:pt idx="48">
                  <c:v>3255.7230234932158</c:v>
                </c:pt>
                <c:pt idx="49">
                  <c:v>3088.2679350855069</c:v>
                </c:pt>
                <c:pt idx="50">
                  <c:v>2923.9207314327823</c:v>
                </c:pt>
                <c:pt idx="51">
                  <c:v>2763.3272968148772</c:v>
                </c:pt>
                <c:pt idx="52">
                  <c:v>2607.0311368042981</c:v>
                </c:pt>
                <c:pt idx="53">
                  <c:v>2455.4805988802568</c:v>
                </c:pt>
                <c:pt idx="54">
                  <c:v>2309.03630917275</c:v>
                </c:pt>
                <c:pt idx="55">
                  <c:v>2167.9786737865888</c:v>
                </c:pt>
                <c:pt idx="56">
                  <c:v>2032.5153189953214</c:v>
                </c:pt>
                <c:pt idx="57">
                  <c:v>1902.7883679622119</c:v>
                </c:pt>
                <c:pt idx="58">
                  <c:v>1778.8814725351508</c:v>
                </c:pt>
                <c:pt idx="59">
                  <c:v>1660.8265371330574</c:v>
                </c:pt>
                <c:pt idx="60">
                  <c:v>1548.6100878939328</c:v>
                </c:pt>
                <c:pt idx="61">
                  <c:v>1442.1792542242154</c:v>
                </c:pt>
                <c:pt idx="62">
                  <c:v>1341.4473418298132</c:v>
                </c:pt>
                <c:pt idx="63">
                  <c:v>1246.2989863885998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ExpPwLaw'!$I$6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2.6790828365744101E-2</c:v>
                </c:pt>
                <c:pt idx="3">
                  <c:v>0.95699010644626215</c:v>
                </c:pt>
                <c:pt idx="4">
                  <c:v>7.374321386941201</c:v>
                </c:pt>
                <c:pt idx="5">
                  <c:v>30.333597887774864</c:v>
                </c:pt>
                <c:pt idx="6">
                  <c:v>88.477460358257304</c:v>
                </c:pt>
                <c:pt idx="7">
                  <c:v>207.67319928891715</c:v>
                </c:pt>
                <c:pt idx="8">
                  <c:v>419.63520380497675</c:v>
                </c:pt>
                <c:pt idx="9">
                  <c:v>759.97807819054958</c:v>
                </c:pt>
                <c:pt idx="10">
                  <c:v>1266.0578410409928</c:v>
                </c:pt>
                <c:pt idx="11">
                  <c:v>1974.8613342616118</c:v>
                </c:pt>
                <c:pt idx="12">
                  <c:v>2921.1165074242931</c:v>
                </c:pt>
                <c:pt idx="13">
                  <c:v>4135.7247264594953</c:v>
                </c:pt>
                <c:pt idx="14">
                  <c:v>5644.5613464907883</c:v>
                </c:pt>
                <c:pt idx="15">
                  <c:v>7467.6508972314678</c:v>
                </c:pt>
                <c:pt idx="16">
                  <c:v>9618.6959608471316</c:v>
                </c:pt>
                <c:pt idx="17">
                  <c:v>12104.921655382574</c:v>
                </c:pt>
                <c:pt idx="18">
                  <c:v>14927.188236478683</c:v>
                </c:pt>
                <c:pt idx="19">
                  <c:v>18080.320674496241</c:v>
                </c:pt>
                <c:pt idx="20">
                  <c:v>21553.604478829315</c:v>
                </c:pt>
                <c:pt idx="21">
                  <c:v>25331.400185332339</c:v>
                </c:pt>
                <c:pt idx="22">
                  <c:v>29393.833754034298</c:v>
                </c:pt>
                <c:pt idx="23">
                  <c:v>33717.525855455606</c:v>
                </c:pt>
                <c:pt idx="24">
                  <c:v>38276.329078842056</c:v>
                </c:pt>
                <c:pt idx="25">
                  <c:v>43042.048068744916</c:v>
                </c:pt>
                <c:pt idx="26">
                  <c:v>47985.123215984298</c:v>
                </c:pt>
                <c:pt idx="27">
                  <c:v>53075.263626824664</c:v>
                </c:pt>
                <c:pt idx="28">
                  <c:v>58282.019579486412</c:v>
                </c:pt>
                <c:pt idx="29">
                  <c:v>63575.288516031142</c:v>
                </c:pt>
                <c:pt idx="30">
                  <c:v>68925.751816432428</c:v>
                </c:pt>
                <c:pt idx="31">
                  <c:v>74305.242193620506</c:v>
                </c:pt>
                <c:pt idx="32">
                  <c:v>79687.04358386551</c:v>
                </c:pt>
                <c:pt idx="33">
                  <c:v>85046.126945972501</c:v>
                </c:pt>
                <c:pt idx="34">
                  <c:v>90359.326489296829</c:v>
                </c:pt>
                <c:pt idx="35">
                  <c:v>95605.461588477483</c:v>
                </c:pt>
                <c:pt idx="36">
                  <c:v>100765.4100732755</c:v>
                </c:pt>
                <c:pt idx="37">
                  <c:v>105822.13876180045</c:v>
                </c:pt>
                <c:pt idx="38">
                  <c:v>110760.69708609102</c:v>
                </c:pt>
                <c:pt idx="39">
                  <c:v>115568.17948590679</c:v>
                </c:pt>
                <c:pt idx="40">
                  <c:v>120233.66195910878</c:v>
                </c:pt>
                <c:pt idx="41">
                  <c:v>124748.11778870685</c:v>
                </c:pt>
                <c:pt idx="42">
                  <c:v>129104.31704559058</c:v>
                </c:pt>
                <c:pt idx="43">
                  <c:v>133296.71401515396</c:v>
                </c:pt>
                <c:pt idx="44">
                  <c:v>137321.32623397795</c:v>
                </c:pt>
                <c:pt idx="45">
                  <c:v>141175.60836396867</c:v>
                </c:pt>
                <c:pt idx="46">
                  <c:v>144858.32368694126</c:v>
                </c:pt>
                <c:pt idx="47">
                  <c:v>148369.41558074084</c:v>
                </c:pt>
                <c:pt idx="48">
                  <c:v>151709.88094428022</c:v>
                </c:pt>
                <c:pt idx="49">
                  <c:v>154881.64717699765</c:v>
                </c:pt>
                <c:pt idx="50">
                  <c:v>157887.45399020263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ExpPwLaw'!$J$6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2571.0436265733724</c:v>
                </c:pt>
                <c:pt idx="2">
                  <c:v>2571.0704174017383</c:v>
                </c:pt>
                <c:pt idx="3">
                  <c:v>2572.0006166798189</c:v>
                </c:pt>
                <c:pt idx="4">
                  <c:v>2578.4179479603135</c:v>
                </c:pt>
                <c:pt idx="5">
                  <c:v>2601.3772244611473</c:v>
                </c:pt>
                <c:pt idx="6">
                  <c:v>2659.5210869316297</c:v>
                </c:pt>
                <c:pt idx="7">
                  <c:v>2778.7168258622896</c:v>
                </c:pt>
                <c:pt idx="8">
                  <c:v>2990.6788303783492</c:v>
                </c:pt>
                <c:pt idx="9">
                  <c:v>3331.0217047639221</c:v>
                </c:pt>
                <c:pt idx="10">
                  <c:v>3837.101467614365</c:v>
                </c:pt>
                <c:pt idx="11">
                  <c:v>4545.9049608349842</c:v>
                </c:pt>
                <c:pt idx="12">
                  <c:v>5492.160133997666</c:v>
                </c:pt>
                <c:pt idx="13">
                  <c:v>6706.7683530328677</c:v>
                </c:pt>
                <c:pt idx="14">
                  <c:v>8215.6049730641607</c:v>
                </c:pt>
                <c:pt idx="15">
                  <c:v>10038.694523804839</c:v>
                </c:pt>
                <c:pt idx="16">
                  <c:v>12189.739587420503</c:v>
                </c:pt>
                <c:pt idx="17">
                  <c:v>14675.965281955945</c:v>
                </c:pt>
                <c:pt idx="18">
                  <c:v>17498.231863052057</c:v>
                </c:pt>
                <c:pt idx="19">
                  <c:v>20651.364301069614</c:v>
                </c:pt>
                <c:pt idx="20">
                  <c:v>24124.648105402688</c:v>
                </c:pt>
                <c:pt idx="21">
                  <c:v>27902.443811905712</c:v>
                </c:pt>
                <c:pt idx="22">
                  <c:v>31964.877380607672</c:v>
                </c:pt>
                <c:pt idx="23">
                  <c:v>36288.569482028979</c:v>
                </c:pt>
                <c:pt idx="24">
                  <c:v>40847.37270541543</c:v>
                </c:pt>
                <c:pt idx="25">
                  <c:v>45613.09169531829</c:v>
                </c:pt>
                <c:pt idx="26">
                  <c:v>50556.166842557672</c:v>
                </c:pt>
                <c:pt idx="27">
                  <c:v>55646.307253398038</c:v>
                </c:pt>
                <c:pt idx="28">
                  <c:v>60853.063206059785</c:v>
                </c:pt>
                <c:pt idx="29">
                  <c:v>66146.332142604515</c:v>
                </c:pt>
                <c:pt idx="30">
                  <c:v>71496.795443005802</c:v>
                </c:pt>
                <c:pt idx="31">
                  <c:v>76876.28582019388</c:v>
                </c:pt>
                <c:pt idx="32">
                  <c:v>82258.087210438884</c:v>
                </c:pt>
                <c:pt idx="33">
                  <c:v>87617.170572545874</c:v>
                </c:pt>
                <c:pt idx="34">
                  <c:v>92930.370115870202</c:v>
                </c:pt>
                <c:pt idx="35">
                  <c:v>98176.505215050856</c:v>
                </c:pt>
                <c:pt idx="36">
                  <c:v>103336.45369984888</c:v>
                </c:pt>
                <c:pt idx="37">
                  <c:v>108393.18238837383</c:v>
                </c:pt>
                <c:pt idx="38">
                  <c:v>113331.7407126644</c:v>
                </c:pt>
                <c:pt idx="39">
                  <c:v>118139.22311248016</c:v>
                </c:pt>
                <c:pt idx="40">
                  <c:v>122804.70558568215</c:v>
                </c:pt>
                <c:pt idx="41">
                  <c:v>127319.16141528022</c:v>
                </c:pt>
                <c:pt idx="42">
                  <c:v>131675.36067216395</c:v>
                </c:pt>
                <c:pt idx="43">
                  <c:v>135867.75764172734</c:v>
                </c:pt>
                <c:pt idx="44">
                  <c:v>139892.36986055132</c:v>
                </c:pt>
                <c:pt idx="45">
                  <c:v>143746.65199054204</c:v>
                </c:pt>
                <c:pt idx="46">
                  <c:v>147429.36731351464</c:v>
                </c:pt>
                <c:pt idx="47">
                  <c:v>150940.45920731421</c:v>
                </c:pt>
                <c:pt idx="48">
                  <c:v>154280.92457085359</c:v>
                </c:pt>
                <c:pt idx="49">
                  <c:v>157452.69080357102</c:v>
                </c:pt>
                <c:pt idx="50">
                  <c:v>160458.497616776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ExpPwLaw'!$K$6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350.07288085092068</c:v>
                </c:pt>
                <c:pt idx="13">
                  <c:v>1564.6810998861229</c:v>
                </c:pt>
                <c:pt idx="14">
                  <c:v>3073.5177199174159</c:v>
                </c:pt>
                <c:pt idx="15">
                  <c:v>4896.6072706580953</c:v>
                </c:pt>
                <c:pt idx="16">
                  <c:v>7047.6523342737592</c:v>
                </c:pt>
                <c:pt idx="17">
                  <c:v>9533.8780288092021</c:v>
                </c:pt>
                <c:pt idx="18">
                  <c:v>12356.14460990531</c:v>
                </c:pt>
                <c:pt idx="19">
                  <c:v>15509.277047922867</c:v>
                </c:pt>
                <c:pt idx="20">
                  <c:v>18982.560852255941</c:v>
                </c:pt>
                <c:pt idx="21">
                  <c:v>22760.356558758966</c:v>
                </c:pt>
                <c:pt idx="22">
                  <c:v>26822.790127460925</c:v>
                </c:pt>
                <c:pt idx="23">
                  <c:v>31146.482228882232</c:v>
                </c:pt>
                <c:pt idx="24">
                  <c:v>35705.285452268683</c:v>
                </c:pt>
                <c:pt idx="25">
                  <c:v>40471.004442171543</c:v>
                </c:pt>
                <c:pt idx="26">
                  <c:v>45414.079589410925</c:v>
                </c:pt>
                <c:pt idx="27">
                  <c:v>50504.220000251291</c:v>
                </c:pt>
                <c:pt idx="28">
                  <c:v>55710.975952913039</c:v>
                </c:pt>
                <c:pt idx="29">
                  <c:v>61004.244889457768</c:v>
                </c:pt>
                <c:pt idx="30">
                  <c:v>66354.708189859055</c:v>
                </c:pt>
                <c:pt idx="31">
                  <c:v>71734.198567047133</c:v>
                </c:pt>
                <c:pt idx="32">
                  <c:v>77115.999957292137</c:v>
                </c:pt>
                <c:pt idx="33">
                  <c:v>82475.083319399128</c:v>
                </c:pt>
                <c:pt idx="34">
                  <c:v>87788.282862723456</c:v>
                </c:pt>
                <c:pt idx="35">
                  <c:v>93034.41796190411</c:v>
                </c:pt>
                <c:pt idx="36">
                  <c:v>98194.36644670213</c:v>
                </c:pt>
                <c:pt idx="37">
                  <c:v>103251.09513522708</c:v>
                </c:pt>
                <c:pt idx="38">
                  <c:v>108189.65345951765</c:v>
                </c:pt>
                <c:pt idx="39">
                  <c:v>112997.13585933342</c:v>
                </c:pt>
                <c:pt idx="40">
                  <c:v>117662.61833253541</c:v>
                </c:pt>
                <c:pt idx="41">
                  <c:v>122177.07416213347</c:v>
                </c:pt>
                <c:pt idx="42">
                  <c:v>126533.27341901721</c:v>
                </c:pt>
                <c:pt idx="43">
                  <c:v>130725.67038858059</c:v>
                </c:pt>
                <c:pt idx="44">
                  <c:v>134750.28260740457</c:v>
                </c:pt>
                <c:pt idx="45">
                  <c:v>138604.5647373953</c:v>
                </c:pt>
                <c:pt idx="46">
                  <c:v>142287.28006036789</c:v>
                </c:pt>
                <c:pt idx="47">
                  <c:v>145798.37195416747</c:v>
                </c:pt>
                <c:pt idx="48">
                  <c:v>149138.83731770684</c:v>
                </c:pt>
                <c:pt idx="49">
                  <c:v>152310.60355042428</c:v>
                </c:pt>
                <c:pt idx="50">
                  <c:v>155316.41036362926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ExpPwLaw'!$D$7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  <c:pt idx="47">
                  <c:v>152271</c:v>
                </c:pt>
                <c:pt idx="48">
                  <c:v>156363</c:v>
                </c:pt>
                <c:pt idx="49">
                  <c:v>159516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ExpPwLaw'!$O$7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  <c:pt idx="47">
                  <c:v>32534</c:v>
                </c:pt>
                <c:pt idx="48">
                  <c:v>34211</c:v>
                </c:pt>
                <c:pt idx="49">
                  <c:v>35435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ExpPwLaw'!$W$7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'Cumul_confirmed - ExpPwLaw'!$E$7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ExpPwLaw'!$E$8:$E$78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  <c:pt idx="47">
                        <c:v>4694</c:v>
                      </c:pt>
                      <c:pt idx="48">
                        <c:v>4092</c:v>
                      </c:pt>
                      <c:pt idx="49">
                        <c:v>3153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  <c:pt idx="47">
                        <c:v>1996</c:v>
                      </c:pt>
                      <c:pt idx="48">
                        <c:v>1984</c:v>
                      </c:pt>
                      <c:pt idx="49">
                        <c:v>1363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  <c:pt idx="47">
                        <c:v>2079</c:v>
                      </c:pt>
                      <c:pt idx="48">
                        <c:v>1677</c:v>
                      </c:pt>
                      <c:pt idx="49">
                        <c:v>1224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  <c:pt idx="47">
                        <c:v>619</c:v>
                      </c:pt>
                      <c:pt idx="48">
                        <c:v>431</c:v>
                      </c:pt>
                      <c:pt idx="49">
                        <c:v>566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5"/>
          <c:order val="15"/>
          <c:tx>
            <c:strRef>
              <c:f>'Cumul_confirmed - ExpPwLaw'!$G$7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ExpPwLaw'!$G$8:$G$78</c:f>
              <c:numCache>
                <c:formatCode>0</c:formatCode>
                <c:ptCount val="71"/>
                <c:pt idx="0">
                  <c:v>0</c:v>
                </c:pt>
                <c:pt idx="1">
                  <c:v>2.6790828365744101E-2</c:v>
                </c:pt>
                <c:pt idx="2">
                  <c:v>0.95699010644626215</c:v>
                </c:pt>
                <c:pt idx="3">
                  <c:v>7.374321386941201</c:v>
                </c:pt>
                <c:pt idx="4">
                  <c:v>30.333597887774864</c:v>
                </c:pt>
                <c:pt idx="5">
                  <c:v>88.477460358257304</c:v>
                </c:pt>
                <c:pt idx="6">
                  <c:v>207.67319928891715</c:v>
                </c:pt>
                <c:pt idx="7">
                  <c:v>419.63520380497675</c:v>
                </c:pt>
                <c:pt idx="8">
                  <c:v>759.97807819054958</c:v>
                </c:pt>
                <c:pt idx="9">
                  <c:v>1266.0578410409928</c:v>
                </c:pt>
                <c:pt idx="10">
                  <c:v>1974.8613342616118</c:v>
                </c:pt>
                <c:pt idx="11">
                  <c:v>2921.1165074242931</c:v>
                </c:pt>
                <c:pt idx="12">
                  <c:v>4135.7247264594953</c:v>
                </c:pt>
                <c:pt idx="13">
                  <c:v>5644.5613464907883</c:v>
                </c:pt>
                <c:pt idx="14">
                  <c:v>7467.6508972314678</c:v>
                </c:pt>
                <c:pt idx="15">
                  <c:v>9618.6959608471316</c:v>
                </c:pt>
                <c:pt idx="16">
                  <c:v>12104.921655382574</c:v>
                </c:pt>
                <c:pt idx="17">
                  <c:v>14927.188236478683</c:v>
                </c:pt>
                <c:pt idx="18">
                  <c:v>18080.320674496241</c:v>
                </c:pt>
                <c:pt idx="19">
                  <c:v>21553.604478829315</c:v>
                </c:pt>
                <c:pt idx="20">
                  <c:v>25331.400185332339</c:v>
                </c:pt>
                <c:pt idx="21">
                  <c:v>29393.833754034298</c:v>
                </c:pt>
                <c:pt idx="22">
                  <c:v>33717.525855455606</c:v>
                </c:pt>
                <c:pt idx="23">
                  <c:v>38276.329078842056</c:v>
                </c:pt>
                <c:pt idx="24">
                  <c:v>43042.048068744916</c:v>
                </c:pt>
                <c:pt idx="25">
                  <c:v>47985.123215984298</c:v>
                </c:pt>
                <c:pt idx="26">
                  <c:v>53075.263626824664</c:v>
                </c:pt>
                <c:pt idx="27">
                  <c:v>58282.019579486412</c:v>
                </c:pt>
                <c:pt idx="28">
                  <c:v>63575.288516031142</c:v>
                </c:pt>
                <c:pt idx="29">
                  <c:v>68925.751816432428</c:v>
                </c:pt>
                <c:pt idx="30">
                  <c:v>74305.242193620506</c:v>
                </c:pt>
                <c:pt idx="31">
                  <c:v>79687.04358386551</c:v>
                </c:pt>
                <c:pt idx="32">
                  <c:v>85046.126945972501</c:v>
                </c:pt>
                <c:pt idx="33">
                  <c:v>90359.326489296829</c:v>
                </c:pt>
                <c:pt idx="34">
                  <c:v>95605.461588477483</c:v>
                </c:pt>
                <c:pt idx="35">
                  <c:v>100765.4100732755</c:v>
                </c:pt>
                <c:pt idx="36">
                  <c:v>105822.13876180045</c:v>
                </c:pt>
                <c:pt idx="37">
                  <c:v>110760.69708609102</c:v>
                </c:pt>
                <c:pt idx="38">
                  <c:v>115568.17948590679</c:v>
                </c:pt>
                <c:pt idx="39">
                  <c:v>120233.66195910878</c:v>
                </c:pt>
                <c:pt idx="40">
                  <c:v>124748.11778870685</c:v>
                </c:pt>
                <c:pt idx="41">
                  <c:v>129104.31704559058</c:v>
                </c:pt>
                <c:pt idx="42">
                  <c:v>133296.71401515396</c:v>
                </c:pt>
                <c:pt idx="43">
                  <c:v>137321.32623397795</c:v>
                </c:pt>
                <c:pt idx="44">
                  <c:v>141175.60836396867</c:v>
                </c:pt>
                <c:pt idx="45">
                  <c:v>144858.32368694126</c:v>
                </c:pt>
                <c:pt idx="46">
                  <c:v>148369.41558074084</c:v>
                </c:pt>
                <c:pt idx="47">
                  <c:v>151709.88094428022</c:v>
                </c:pt>
                <c:pt idx="48">
                  <c:v>154881.64717699765</c:v>
                </c:pt>
                <c:pt idx="49">
                  <c:v>157887.45399020263</c:v>
                </c:pt>
                <c:pt idx="50">
                  <c:v>160730.74103426683</c:v>
                </c:pt>
                <c:pt idx="51">
                  <c:v>163415.54206629383</c:v>
                </c:pt>
                <c:pt idx="52">
                  <c:v>165946.38615666609</c:v>
                </c:pt>
                <c:pt idx="53">
                  <c:v>168328.2062380412</c:v>
                </c:pt>
                <c:pt idx="54">
                  <c:v>170566.25513489638</c:v>
                </c:pt>
                <c:pt idx="55">
                  <c:v>172666.02907329728</c:v>
                </c:pt>
                <c:pt idx="56">
                  <c:v>174633.1985567438</c:v>
                </c:pt>
                <c:pt idx="57">
                  <c:v>176473.54640225641</c:v>
                </c:pt>
                <c:pt idx="58">
                  <c:v>178192.91265884382</c:v>
                </c:pt>
                <c:pt idx="59">
                  <c:v>179797.14607577593</c:v>
                </c:pt>
                <c:pt idx="60">
                  <c:v>181292.06174841727</c:v>
                </c:pt>
                <c:pt idx="61">
                  <c:v>182683.40454264599</c:v>
                </c:pt>
                <c:pt idx="62">
                  <c:v>183976.81788315435</c:v>
                </c:pt>
                <c:pt idx="63">
                  <c:v>185177.81748441342</c:v>
                </c:pt>
                <c:pt idx="64">
                  <c:v>186291.76960419156</c:v>
                </c:pt>
                <c:pt idx="65">
                  <c:v>187323.87340681083</c:v>
                </c:pt>
                <c:pt idx="66">
                  <c:v>188279.14703553676</c:v>
                </c:pt>
                <c:pt idx="67">
                  <c:v>189162.4170095241</c:v>
                </c:pt>
                <c:pt idx="68">
                  <c:v>189978.31057961009</c:v>
                </c:pt>
                <c:pt idx="69">
                  <c:v>190731.25069814461</c:v>
                </c:pt>
                <c:pt idx="70">
                  <c:v>191425.45328025502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ExpPwLaw'!$Z$7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4.8168092625323027E-6</c:v>
                </c:pt>
                <c:pt idx="2">
                  <c:v>8.1594445980717517E-4</c:v>
                </c:pt>
                <c:pt idx="3">
                  <c:v>1.5274554569157533E-2</c:v>
                </c:pt>
                <c:pt idx="4">
                  <c:v>0.11607737638277885</c:v>
                </c:pt>
                <c:pt idx="5">
                  <c:v>0.53837736528505087</c:v>
                </c:pt>
                <c:pt idx="6">
                  <c:v>1.8275524127773504</c:v>
                </c:pt>
                <c:pt idx="7">
                  <c:v>5.0024031867590679</c:v>
                </c:pt>
                <c:pt idx="8">
                  <c:v>11.698636308628711</c:v>
                </c:pt>
                <c:pt idx="9">
                  <c:v>24.263089379382691</c:v>
                </c:pt>
                <c:pt idx="10">
                  <c:v>45.78037316419384</c:v>
                </c:pt>
                <c:pt idx="11">
                  <c:v>80.02606831143062</c:v>
                </c:pt>
                <c:pt idx="12">
                  <c:v>131.35152143874689</c:v>
                </c:pt>
                <c:pt idx="13">
                  <c:v>204.51324838514489</c:v>
                </c:pt>
                <c:pt idx="14">
                  <c:v>304.46460741422607</c:v>
                </c:pt>
                <c:pt idx="15">
                  <c:v>436.1290315539116</c:v>
                </c:pt>
                <c:pt idx="16">
                  <c:v>604.17331952961706</c:v>
                </c:pt>
                <c:pt idx="17">
                  <c:v>812.79700408447763</c:v>
                </c:pt>
                <c:pt idx="18">
                  <c:v>1065.5503428413692</c:v>
                </c:pt>
                <c:pt idx="19">
                  <c:v>1365.189603904184</c:v>
                </c:pt>
                <c:pt idx="20">
                  <c:v>1713.574503183816</c:v>
                </c:pt>
                <c:pt idx="21">
                  <c:v>2111.6092103268288</c:v>
                </c:pt>
                <c:pt idx="22">
                  <c:v>2559.225466730119</c:v>
                </c:pt>
                <c:pt idx="23">
                  <c:v>3055.4041405950684</c:v>
                </c:pt>
                <c:pt idx="24">
                  <c:v>3598.2299898000206</c:v>
                </c:pt>
                <c:pt idx="25">
                  <c:v>4184.973468064336</c:v>
                </c:pt>
                <c:pt idx="26">
                  <c:v>4812.1930135948587</c:v>
                </c:pt>
                <c:pt idx="27">
                  <c:v>5475.8513046403714</c:v>
                </c:pt>
                <c:pt idx="28">
                  <c:v>6171.4393506477199</c:v>
                </c:pt>
                <c:pt idx="29">
                  <c:v>6894.1029125236855</c:v>
                </c:pt>
                <c:pt idx="30">
                  <c:v>7638.7665221683283</c:v>
                </c:pt>
                <c:pt idx="31">
                  <c:v>8400.2512243200163</c:v>
                </c:pt>
                <c:pt idx="32">
                  <c:v>9173.3830315638043</c:v>
                </c:pt>
                <c:pt idx="33">
                  <c:v>9953.08991910228</c:v>
                </c:pt>
                <c:pt idx="34">
                  <c:v>10734.485955825689</c:v>
                </c:pt>
                <c:pt idx="35">
                  <c:v>11512.941850277233</c:v>
                </c:pt>
                <c:pt idx="36">
                  <c:v>12284.141772045245</c:v>
                </c:pt>
                <c:pt idx="37">
                  <c:v>13044.126786593126</c:v>
                </c:pt>
                <c:pt idx="38">
                  <c:v>13789.325616299981</c:v>
                </c:pt>
                <c:pt idx="39">
                  <c:v>14516.573718680251</c:v>
                </c:pt>
                <c:pt idx="40">
                  <c:v>15223.121863492852</c:v>
                </c:pt>
                <c:pt idx="41">
                  <c:v>15906.635504613081</c:v>
                </c:pt>
                <c:pt idx="42">
                  <c:v>16565.186291789378</c:v>
                </c:pt>
                <c:pt idx="43">
                  <c:v>17197.237063454428</c:v>
                </c:pt>
                <c:pt idx="44">
                  <c:v>17801.621615823795</c:v>
                </c:pt>
                <c:pt idx="45">
                  <c:v>18377.52046593307</c:v>
                </c:pt>
                <c:pt idx="46">
                  <c:v>18924.433726277333</c:v>
                </c:pt>
                <c:pt idx="47">
                  <c:v>19442.152094325742</c:v>
                </c:pt>
                <c:pt idx="48">
                  <c:v>19930.72683814236</c:v>
                </c:pt>
                <c:pt idx="49">
                  <c:v>20390.439535164809</c:v>
                </c:pt>
                <c:pt idx="50">
                  <c:v>20821.772199245297</c:v>
                </c:pt>
                <c:pt idx="51">
                  <c:v>21225.378314662048</c:v>
                </c:pt>
                <c:pt idx="52">
                  <c:v>21602.05518736365</c:v>
                </c:pt>
                <c:pt idx="53">
                  <c:v>21952.717924817371</c:v>
                </c:pt>
                <c:pt idx="54">
                  <c:v>22278.375267436826</c:v>
                </c:pt>
                <c:pt idx="55">
                  <c:v>22580.107417062172</c:v>
                </c:pt>
                <c:pt idx="56">
                  <c:v>22859.045941325192</c:v>
                </c:pt>
                <c:pt idx="57">
                  <c:v>23116.3557765931</c:v>
                </c:pt>
                <c:pt idx="58">
                  <c:v>23353.219305947332</c:v>
                </c:pt>
                <c:pt idx="59">
                  <c:v>23570.822451552318</c:v>
                </c:pt>
                <c:pt idx="60">
                  <c:v>23770.342691935672</c:v>
                </c:pt>
                <c:pt idx="61">
                  <c:v>23952.938893217681</c:v>
                </c:pt>
                <c:pt idx="62">
                  <c:v>24119.742828263308</c:v>
                </c:pt>
                <c:pt idx="63">
                  <c:v>24271.852248176892</c:v>
                </c:pt>
                <c:pt idx="64">
                  <c:v>24410.32536565022</c:v>
                </c:pt>
                <c:pt idx="65">
                  <c:v>24536.176608604354</c:v>
                </c:pt>
                <c:pt idx="66">
                  <c:v>24650.373504595598</c:v>
                </c:pt>
                <c:pt idx="67">
                  <c:v>24753.834560926036</c:v>
                </c:pt>
                <c:pt idx="68">
                  <c:v>24847.428011723707</c:v>
                </c:pt>
                <c:pt idx="69">
                  <c:v>24931.971310929242</c:v>
                </c:pt>
                <c:pt idx="70">
                  <c:v>25008.2312587091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ExpPwLaw'!$R$7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0.59606597495286373</c:v>
                </c:pt>
                <c:pt idx="2">
                  <c:v>4.2634817496890847</c:v>
                </c:pt>
                <c:pt idx="3">
                  <c:v>13.472725353599897</c:v>
                </c:pt>
                <c:pt idx="4">
                  <c:v>30.471412682240938</c:v>
                </c:pt>
                <c:pt idx="5">
                  <c:v>57.377114250510729</c:v>
                </c:pt>
                <c:pt idx="6">
                  <c:v>96.214782050587829</c:v>
                </c:pt>
                <c:pt idx="7">
                  <c:v>148.93736336493882</c:v>
                </c:pt>
                <c:pt idx="8">
                  <c:v>217.43885612885748</c:v>
                </c:pt>
                <c:pt idx="9">
                  <c:v>303.56330539203248</c:v>
                </c:pt>
                <c:pt idx="10">
                  <c:v>409.11136895637776</c:v>
                </c:pt>
                <c:pt idx="11">
                  <c:v>535.84531364392672</c:v>
                </c:pt>
                <c:pt idx="12">
                  <c:v>685.49294072104158</c:v>
                </c:pt>
                <c:pt idx="13">
                  <c:v>859.75074882848457</c:v>
                </c:pt>
                <c:pt idx="14">
                  <c:v>1060.2865352455403</c:v>
                </c:pt>
                <c:pt idx="15">
                  <c:v>1288.7415718103616</c:v>
                </c:pt>
                <c:pt idx="16">
                  <c:v>1546.7324512254772</c:v>
                </c:pt>
                <c:pt idx="17">
                  <c:v>1835.8526729062066</c:v>
                </c:pt>
                <c:pt idx="18">
                  <c:v>2157.6740195524776</c:v>
                </c:pt>
                <c:pt idx="19">
                  <c:v>2513.7477631139136</c:v>
                </c:pt>
                <c:pt idx="20">
                  <c:v>2905.6057298970891</c:v>
                </c:pt>
                <c:pt idx="21">
                  <c:v>3334.7612480665989</c:v>
                </c:pt>
                <c:pt idx="22">
                  <c:v>3802.7099959696893</c:v>
                </c:pt>
                <c:pt idx="23">
                  <c:v>4310.930766076367</c:v>
                </c:pt>
                <c:pt idx="24">
                  <c:v>4860.8861565408424</c:v>
                </c:pt>
                <c:pt idx="25">
                  <c:v>5454.0232002284938</c:v>
                </c:pt>
                <c:pt idx="26">
                  <c:v>6091.7739393540396</c:v>
                </c:pt>
                <c:pt idx="27">
                  <c:v>6775.5559525285034</c:v>
                </c:pt>
                <c:pt idx="28">
                  <c:v>7506.7728399306498</c:v>
                </c:pt>
                <c:pt idx="29">
                  <c:v>8286.8146714433042</c:v>
                </c:pt>
                <c:pt idx="30">
                  <c:v>9117.05840187998</c:v>
                </c:pt>
                <c:pt idx="31">
                  <c:v>9998.8682568394561</c:v>
                </c:pt>
                <c:pt idx="32">
                  <c:v>10933.596092238768</c:v>
                </c:pt>
                <c:pt idx="33">
                  <c:v>11922.581730168369</c:v>
                </c:pt>
                <c:pt idx="34">
                  <c:v>12967.153273372067</c:v>
                </c:pt>
                <c:pt idx="35">
                  <c:v>14068.627400366786</c:v>
                </c:pt>
                <c:pt idx="36">
                  <c:v>15228.309642971481</c:v>
                </c:pt>
                <c:pt idx="37">
                  <c:v>16447.494647807536</c:v>
                </c:pt>
                <c:pt idx="38">
                  <c:v>17727.466423152258</c:v>
                </c:pt>
                <c:pt idx="39">
                  <c:v>19069.498572374247</c:v>
                </c:pt>
                <c:pt idx="40">
                  <c:v>20474.854515046009</c:v>
                </c:pt>
                <c:pt idx="41">
                  <c:v>21944.787696712501</c:v>
                </c:pt>
                <c:pt idx="42">
                  <c:v>23480.541788194714</c:v>
                </c:pt>
                <c:pt idx="43">
                  <c:v>25083.350875218195</c:v>
                </c:pt>
                <c:pt idx="44">
                  <c:v>26754.439639079279</c:v>
                </c:pt>
                <c:pt idx="45">
                  <c:v>28495.023528993628</c:v>
                </c:pt>
                <c:pt idx="46">
                  <c:v>30306.308926710881</c:v>
                </c:pt>
                <c:pt idx="47">
                  <c:v>32189.493303926301</c:v>
                </c:pt>
                <c:pt idx="48">
                  <c:v>34145.76537297367</c:v>
                </c:pt>
                <c:pt idx="49">
                  <c:v>36176.305231238097</c:v>
                </c:pt>
                <c:pt idx="50">
                  <c:v>38282.284499694855</c:v>
                </c:pt>
                <c:pt idx="51">
                  <c:v>40464.866455940864</c:v>
                </c:pt>
                <c:pt idx="52">
                  <c:v>42725.206162059992</c:v>
                </c:pt>
                <c:pt idx="53">
                  <c:v>45064.450587632506</c:v>
                </c:pt>
                <c:pt idx="54">
                  <c:v>47483.73872817654</c:v>
                </c:pt>
                <c:pt idx="55">
                  <c:v>49984.201719285295</c:v>
                </c:pt>
                <c:pt idx="56">
                  <c:v>52566.962946706524</c:v>
                </c:pt>
                <c:pt idx="57">
                  <c:v>55233.138152588872</c:v>
                </c:pt>
                <c:pt idx="58">
                  <c:v>57983.835538105661</c:v>
                </c:pt>
                <c:pt idx="59">
                  <c:v>60820.155862651249</c:v>
                </c:pt>
                <c:pt idx="60">
                  <c:v>63743.192539789787</c:v>
                </c:pt>
                <c:pt idx="61">
                  <c:v>66754.031730126648</c:v>
                </c:pt>
                <c:pt idx="62">
                  <c:v>69853.752431256551</c:v>
                </c:pt>
                <c:pt idx="63">
                  <c:v>73043.426564938127</c:v>
                </c:pt>
                <c:pt idx="64">
                  <c:v>76324.119061628779</c:v>
                </c:pt>
                <c:pt idx="65">
                  <c:v>79696.887942508547</c:v>
                </c:pt>
                <c:pt idx="66">
                  <c:v>83162.784399113647</c:v>
                </c:pt>
                <c:pt idx="67">
                  <c:v>86722.852870689734</c:v>
                </c:pt>
                <c:pt idx="68">
                  <c:v>90378.131119371974</c:v>
                </c:pt>
                <c:pt idx="69">
                  <c:v>94129.650303289323</c:v>
                </c:pt>
                <c:pt idx="70">
                  <c:v>97978.435047686144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'Cumul_confirmed - ExpPwLaw'!$H$7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'Cumul_confirmed - ExpPwLaw'!$H$8:$H$78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0.13963206978005366</c:v>
                      </c:pt>
                      <c:pt idx="2">
                        <c:v>2.4364074163428819</c:v>
                      </c:pt>
                      <c:pt idx="3">
                        <c:v>12.222933046851352</c:v>
                      </c:pt>
                      <c:pt idx="4">
                        <c:v>36.809964285572086</c:v>
                      </c:pt>
                      <c:pt idx="5">
                        <c:v>83.813014359412065</c:v>
                      </c:pt>
                      <c:pt idx="6">
                        <c:v>159.89749581571292</c:v>
                      </c:pt>
                      <c:pt idx="7">
                        <c:v>269.99887525156538</c:v>
                      </c:pt>
                      <c:pt idx="8">
                        <c:v>416.9484575737261</c:v>
                      </c:pt>
                      <c:pt idx="9">
                        <c:v>601.40727113756213</c:v>
                      </c:pt>
                      <c:pt idx="10">
                        <c:v>822.01393917406051</c:v>
                      </c:pt>
                      <c:pt idx="11">
                        <c:v>1075.6666353608193</c:v>
                      </c:pt>
                      <c:pt idx="12">
                        <c:v>1357.8760550042825</c:v>
                      </c:pt>
                      <c:pt idx="13">
                        <c:v>1663.1423649716255</c:v>
                      </c:pt>
                      <c:pt idx="14">
                        <c:v>1985.3229768279293</c:v>
                      </c:pt>
                      <c:pt idx="15">
                        <c:v>2317.9693366893043</c:v>
                      </c:pt>
                      <c:pt idx="16">
                        <c:v>2654.6198135266723</c:v>
                      </c:pt>
                      <c:pt idx="17">
                        <c:v>2989.0424660406079</c:v>
                      </c:pt>
                      <c:pt idx="18">
                        <c:v>3315.4263179687323</c:v>
                      </c:pt>
                      <c:pt idx="19">
                        <c:v>3628.5231184481031</c:v>
                      </c:pt>
                      <c:pt idx="20">
                        <c:v>3923.7437261026857</c:v>
                      </c:pt>
                      <c:pt idx="21">
                        <c:v>4197.2145102232498</c:v>
                      </c:pt>
                      <c:pt idx="22">
                        <c:v>4445.7997426347474</c:v>
                      </c:pt>
                      <c:pt idx="23">
                        <c:v>4667.096049636838</c:v>
                      </c:pt>
                      <c:pt idx="24">
                        <c:v>4859.404756100399</c:v>
                      </c:pt>
                      <c:pt idx="25">
                        <c:v>5021.6875012318742</c:v>
                      </c:pt>
                      <c:pt idx="26">
                        <c:v>5153.5099273076185</c:v>
                      </c:pt>
                      <c:pt idx="27">
                        <c:v>5254.9776052959041</c:v>
                      </c:pt>
                      <c:pt idx="28">
                        <c:v>5326.6677125317165</c:v>
                      </c:pt>
                      <c:pt idx="29">
                        <c:v>5369.5593505518118</c:v>
                      </c:pt>
                      <c:pt idx="30">
                        <c:v>5384.9648074574961</c:v>
                      </c:pt>
                      <c:pt idx="31">
                        <c:v>5374.4635416735646</c:v>
                      </c:pt>
                      <c:pt idx="32">
                        <c:v>5339.8401991635728</c:v>
                      </c:pt>
                      <c:pt idx="33">
                        <c:v>5283.0275758115986</c:v>
                      </c:pt>
                      <c:pt idx="34">
                        <c:v>5206.05509927617</c:v>
                      </c:pt>
                      <c:pt idx="35">
                        <c:v>5111.0031264706431</c:v>
                      </c:pt>
                      <c:pt idx="36">
                        <c:v>4999.9631288836272</c:v>
                      </c:pt>
                      <c:pt idx="37">
                        <c:v>4875.0036624576296</c:v>
                      </c:pt>
                      <c:pt idx="38">
                        <c:v>4738.1418856615019</c:v>
                      </c:pt>
                      <c:pt idx="39">
                        <c:v>4591.3202927461007</c:v>
                      </c:pt>
                      <c:pt idx="40">
                        <c:v>4436.3882632629438</c:v>
                      </c:pt>
                      <c:pt idx="41">
                        <c:v>4275.0879884705</c:v>
                      </c:pt>
                      <c:pt idx="42">
                        <c:v>4109.0443154677478</c:v>
                      </c:pt>
                      <c:pt idx="43">
                        <c:v>3939.758046531877</c:v>
                      </c:pt>
                      <c:pt idx="44">
                        <c:v>3768.6022404883138</c:v>
                      </c:pt>
                      <c:pt idx="45">
                        <c:v>3596.8210818228235</c:v>
                      </c:pt>
                      <c:pt idx="46">
                        <c:v>3425.5309089653151</c:v>
                      </c:pt>
                      <c:pt idx="47">
                        <c:v>3255.7230234932158</c:v>
                      </c:pt>
                      <c:pt idx="48">
                        <c:v>3088.2679350855069</c:v>
                      </c:pt>
                      <c:pt idx="49">
                        <c:v>2923.9207314327823</c:v>
                      </c:pt>
                      <c:pt idx="50">
                        <c:v>2763.3272968148772</c:v>
                      </c:pt>
                      <c:pt idx="51">
                        <c:v>2607.0311368042981</c:v>
                      </c:pt>
                      <c:pt idx="52">
                        <c:v>2455.4805988802568</c:v>
                      </c:pt>
                      <c:pt idx="53">
                        <c:v>2309.03630917275</c:v>
                      </c:pt>
                      <c:pt idx="54">
                        <c:v>2167.9786737865888</c:v>
                      </c:pt>
                      <c:pt idx="55">
                        <c:v>2032.5153189953214</c:v>
                      </c:pt>
                      <c:pt idx="56">
                        <c:v>1902.7883679622119</c:v>
                      </c:pt>
                      <c:pt idx="57">
                        <c:v>1778.8814725351508</c:v>
                      </c:pt>
                      <c:pt idx="58">
                        <c:v>1660.8265371330574</c:v>
                      </c:pt>
                      <c:pt idx="59">
                        <c:v>1548.6100878939328</c:v>
                      </c:pt>
                      <c:pt idx="60">
                        <c:v>1442.1792542242154</c:v>
                      </c:pt>
                      <c:pt idx="61">
                        <c:v>1341.4473418298132</c:v>
                      </c:pt>
                      <c:pt idx="62">
                        <c:v>1246.2989863885998</c:v>
                      </c:pt>
                      <c:pt idx="63">
                        <c:v>1156.5948854146247</c:v>
                      </c:pt>
                      <c:pt idx="64">
                        <c:v>1072.176112738754</c:v>
                      </c:pt>
                      <c:pt idx="65">
                        <c:v>992.86802555676297</c:v>
                      </c:pt>
                      <c:pt idx="66">
                        <c:v>918.48377833621487</c:v>
                      </c:pt>
                      <c:pt idx="67">
                        <c:v>848.82746117904333</c:v>
                      </c:pt>
                      <c:pt idx="68">
                        <c:v>783.69688264996466</c:v>
                      </c:pt>
                      <c:pt idx="69">
                        <c:v>722.88601873137986</c:v>
                      </c:pt>
                      <c:pt idx="70">
                        <c:v>666.18715057173608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-1.5525379342105803</c:v>
                      </c:pt>
                      <c:pt idx="2">
                        <c:v>-3.6165593786580423</c:v>
                      </c:pt>
                      <c:pt idx="3">
                        <c:v>-0.55526587353159129</c:v>
                      </c:pt>
                      <c:pt idx="4">
                        <c:v>15.000170440691509</c:v>
                      </c:pt>
                      <c:pt idx="5">
                        <c:v>50.541550824028185</c:v>
                      </c:pt>
                      <c:pt idx="6">
                        <c:v>112.42265651958354</c:v>
                      </c:pt>
                      <c:pt idx="7">
                        <c:v>205.09232710855969</c:v>
                      </c:pt>
                      <c:pt idx="8">
                        <c:v>330.76163828973336</c:v>
                      </c:pt>
                      <c:pt idx="9">
                        <c:v>489.40136316218133</c:v>
                      </c:pt>
                      <c:pt idx="10">
                        <c:v>678.96429019798438</c:v>
                      </c:pt>
                      <c:pt idx="11">
                        <c:v>895.74097904851874</c:v>
                      </c:pt>
                      <c:pt idx="12">
                        <c:v>1134.776572527458</c:v>
                      </c:pt>
                      <c:pt idx="13">
                        <c:v>1390.2954632841397</c:v>
                      </c:pt>
                      <c:pt idx="14">
                        <c:v>1656.0976837454882</c:v>
                      </c:pt>
                      <c:pt idx="15">
                        <c:v>1925.9049622234838</c:v>
                      </c:pt>
                      <c:pt idx="16">
                        <c:v>2193.6453166027754</c:v>
                      </c:pt>
                      <c:pt idx="17">
                        <c:v>2453.6730738228525</c:v>
                      </c:pt>
                      <c:pt idx="18">
                        <c:v>2700.9267212159439</c:v>
                      </c:pt>
                      <c:pt idx="19">
                        <c:v>2931.0304851633041</c:v>
                      </c:pt>
                      <c:pt idx="20">
                        <c:v>3140.3474527151066</c:v>
                      </c:pt>
                      <c:pt idx="21">
                        <c:v>3325.9928143485181</c:v>
                      </c:pt>
                      <c:pt idx="22">
                        <c:v>3485.8157588946815</c:v>
                      </c:pt>
                      <c:pt idx="23">
                        <c:v>3618.3579757919688</c:v>
                      </c:pt>
                      <c:pt idx="24">
                        <c:v>3722.7958328617647</c:v>
                      </c:pt>
                      <c:pt idx="25">
                        <c:v>3798.8722615525439</c:v>
                      </c:pt>
                      <c:pt idx="26">
                        <c:v>3846.823310962176</c:v>
                      </c:pt>
                      <c:pt idx="27">
                        <c:v>3867.3033040180267</c:v>
                      </c:pt>
                      <c:pt idx="28">
                        <c:v>3861.3115916656843</c:v>
                      </c:pt>
                      <c:pt idx="29">
                        <c:v>3830.1230794603807</c:v>
                      </c:pt>
                      <c:pt idx="30">
                        <c:v>3775.2240053806686</c:v>
                      </c:pt>
                      <c:pt idx="31">
                        <c:v>3698.2538769220173</c:v>
                      </c:pt>
                      <c:pt idx="32">
                        <c:v>3600.9540215117786</c:v>
                      </c:pt>
                      <c:pt idx="33">
                        <c:v>3485.1228548923032</c:v>
                      </c:pt>
                      <c:pt idx="34">
                        <c:v>3352.5777132969915</c:v>
                      </c:pt>
                      <c:pt idx="35">
                        <c:v>3205.1229125227264</c:v>
                      </c:pt>
                      <c:pt idx="36">
                        <c:v>3044.5235764730301</c:v>
                      </c:pt>
                      <c:pt idx="37">
                        <c:v>2872.484706671888</c:v>
                      </c:pt>
                      <c:pt idx="38">
                        <c:v>2690.6349313871365</c:v>
                      </c:pt>
                      <c:pt idx="39">
                        <c:v>2500.5143687288646</c:v>
                      </c:pt>
                      <c:pt idx="40">
                        <c:v>2303.5660543806839</c:v>
                      </c:pt>
                      <c:pt idx="41">
                        <c:v>2101.1304149603579</c:v>
                      </c:pt>
                      <c:pt idx="42">
                        <c:v>1894.442307221133</c:v>
                      </c:pt>
                      <c:pt idx="43">
                        <c:v>1684.6301874044325</c:v>
                      </c:pt>
                      <c:pt idx="44">
                        <c:v>1472.7170210408817</c:v>
                      </c:pt>
                      <c:pt idx="45">
                        <c:v>1259.6225891975462</c:v>
                      </c:pt>
                      <c:pt idx="46">
                        <c:v>1046.1668910762114</c:v>
                      </c:pt>
                      <c:pt idx="47">
                        <c:v>833.07438399730688</c:v>
                      </c:pt>
                      <c:pt idx="48">
                        <c:v>620.97883957665613</c:v>
                      </c:pt>
                      <c:pt idx="49">
                        <c:v>410.42862904014959</c:v>
                      </c:pt>
                      <c:pt idx="50">
                        <c:v>201.89228106777546</c:v>
                      </c:pt>
                      <c:pt idx="51">
                        <c:v>-4.2358175924401849</c:v>
                      </c:pt>
                      <c:pt idx="52">
                        <c:v>-207.62968505058171</c:v>
                      </c:pt>
                      <c:pt idx="53">
                        <c:v>-408.02605674468225</c:v>
                      </c:pt>
                      <c:pt idx="54">
                        <c:v>-605.21881600494817</c:v>
                      </c:pt>
                      <c:pt idx="55">
                        <c:v>-799.0535963655492</c:v>
                      </c:pt>
                      <c:pt idx="56">
                        <c:v>-989.42259664086419</c:v>
                      </c:pt>
                      <c:pt idx="57">
                        <c:v>-1176.2596391298248</c:v>
                      </c:pt>
                      <c:pt idx="58">
                        <c:v>-1359.5354923836794</c:v>
                      </c:pt>
                      <c:pt idx="59">
                        <c:v>-1539.2534725354694</c:v>
                      </c:pt>
                      <c:pt idx="60">
                        <c:v>-1715.445331035188</c:v>
                      </c:pt>
                      <c:pt idx="61">
                        <c:v>-1888.1674315781756</c:v>
                      </c:pt>
                      <c:pt idx="62">
                        <c:v>-2057.4972148956731</c:v>
                      </c:pt>
                      <c:pt idx="63">
                        <c:v>-2223.5299467557547</c:v>
                      </c:pt>
                      <c:pt idx="64">
                        <c:v>-2386.3757418796204</c:v>
                      </c:pt>
                      <c:pt idx="65">
                        <c:v>-2546.1568544102197</c:v>
                      </c:pt>
                      <c:pt idx="66">
                        <c:v>-2703.0052239879624</c:v>
                      </c:pt>
                      <c:pt idx="67">
                        <c:v>-2857.0602653176679</c:v>
                      </c:pt>
                      <c:pt idx="68">
                        <c:v>-3008.4668882866058</c:v>
                      </c:pt>
                      <c:pt idx="69">
                        <c:v>-3157.3737351608675</c:v>
                      </c:pt>
                      <c:pt idx="70">
                        <c:v>-3303.9316210993925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1.6921339650576079</c:v>
                      </c:pt>
                      <c:pt idx="2">
                        <c:v>6.0499858848339967</c:v>
                      </c:pt>
                      <c:pt idx="3">
                        <c:v>12.741884641152168</c:v>
                      </c:pt>
                      <c:pt idx="4">
                        <c:v>21.607850340151245</c:v>
                      </c:pt>
                      <c:pt idx="5">
                        <c:v>32.540718806584955</c:v>
                      </c:pt>
                      <c:pt idx="6">
                        <c:v>45.459897679512515</c:v>
                      </c:pt>
                      <c:pt idx="7">
                        <c:v>60.300784859889681</c:v>
                      </c:pt>
                      <c:pt idx="8">
                        <c:v>77.009433997534757</c:v>
                      </c:pt>
                      <c:pt idx="9">
                        <c:v>95.539492017744976</c:v>
                      </c:pt>
                      <c:pt idx="10">
                        <c:v>115.85028152860755</c:v>
                      </c:pt>
                      <c:pt idx="11">
                        <c:v>137.90552247108829</c:v>
                      </c:pt>
                      <c:pt idx="12">
                        <c:v>161.67243841787854</c:v>
                      </c:pt>
                      <c:pt idx="13">
                        <c:v>187.12110796753612</c:v>
                      </c:pt>
                      <c:pt idx="14">
                        <c:v>214.22397956257677</c:v>
                      </c:pt>
                      <c:pt idx="15">
                        <c:v>242.95549937312268</c:v>
                      </c:pt>
                      <c:pt idx="16">
                        <c:v>273.29181984082834</c:v>
                      </c:pt>
                      <c:pt idx="17">
                        <c:v>305.21056727442567</c:v>
                      </c:pt>
                      <c:pt idx="18">
                        <c:v>338.69065364597901</c:v>
                      </c:pt>
                      <c:pt idx="19">
                        <c:v>373.71212211305919</c:v>
                      </c:pt>
                      <c:pt idx="20">
                        <c:v>410.2560187102053</c:v>
                      </c:pt>
                      <c:pt idx="21">
                        <c:v>448.3042846493662</c:v>
                      </c:pt>
                      <c:pt idx="22">
                        <c:v>487.83966506572091</c:v>
                      </c:pt>
                      <c:pt idx="23">
                        <c:v>528.84563104213998</c:v>
                      </c:pt>
                      <c:pt idx="24">
                        <c:v>571.3063124698208</c:v>
                      </c:pt>
                      <c:pt idx="25">
                        <c:v>615.20643983734351</c:v>
                      </c:pt>
                      <c:pt idx="26">
                        <c:v>660.53129344084914</c:v>
                      </c:pt>
                      <c:pt idx="27">
                        <c:v>707.26665881202996</c:v>
                      </c:pt>
                      <c:pt idx="28">
                        <c:v>755.39878739401581</c:v>
                      </c:pt>
                      <c:pt idx="29">
                        <c:v>804.91436167654319</c:v>
                      </c:pt>
                      <c:pt idx="30">
                        <c:v>855.80046414397907</c:v>
                      </c:pt>
                      <c:pt idx="31">
                        <c:v>908.04454950235447</c:v>
                      </c:pt>
                      <c:pt idx="32">
                        <c:v>961.63441974147497</c:v>
                      </c:pt>
                      <c:pt idx="33">
                        <c:v>1016.5582016605618</c:v>
                      </c:pt>
                      <c:pt idx="34">
                        <c:v>1072.8043265445654</c:v>
                      </c:pt>
                      <c:pt idx="35">
                        <c:v>1130.361511726275</c:v>
                      </c:pt>
                      <c:pt idx="36">
                        <c:v>1189.2187438087144</c:v>
                      </c:pt>
                      <c:pt idx="37">
                        <c:v>1249.3652633549702</c:v>
                      </c:pt>
                      <c:pt idx="38">
                        <c:v>1310.7905508796703</c:v>
                      </c:pt>
                      <c:pt idx="39">
                        <c:v>1373.4843139990301</c:v>
                      </c:pt>
                      <c:pt idx="40">
                        <c:v>1437.4364756154696</c:v>
                      </c:pt>
                      <c:pt idx="41">
                        <c:v>1502.637163028865</c:v>
                      </c:pt>
                      <c:pt idx="42">
                        <c:v>1569.076697880206</c:v>
                      </c:pt>
                      <c:pt idx="43">
                        <c:v>1636.7455868450475</c:v>
                      </c:pt>
                      <c:pt idx="44">
                        <c:v>1705.6345130041389</c:v>
                      </c:pt>
                      <c:pt idx="45">
                        <c:v>1775.7343278271285</c:v>
                      </c:pt>
                      <c:pt idx="46">
                        <c:v>1847.0360437126717</c:v>
                      </c:pt>
                      <c:pt idx="47">
                        <c:v>1919.5308270346168</c:v>
                      </c:pt>
                      <c:pt idx="48">
                        <c:v>1993.2099916495263</c:v>
                      </c:pt>
                      <c:pt idx="49">
                        <c:v>2068.0649928255652</c:v>
                      </c:pt>
                      <c:pt idx="50">
                        <c:v>2144.0874215570734</c:v>
                      </c:pt>
                      <c:pt idx="51">
                        <c:v>2221.268999232766</c:v>
                      </c:pt>
                      <c:pt idx="52">
                        <c:v>2299.6015726288197</c:v>
                      </c:pt>
                      <c:pt idx="53">
                        <c:v>2379.0771092009022</c:v>
                      </c:pt>
                      <c:pt idx="54">
                        <c:v>2459.6876926517921</c:v>
                      </c:pt>
                      <c:pt idx="55">
                        <c:v>2541.4255187533781</c:v>
                      </c:pt>
                      <c:pt idx="56">
                        <c:v>2624.2828914039783</c:v>
                      </c:pt>
                      <c:pt idx="57">
                        <c:v>2708.2522189034603</c:v>
                      </c:pt>
                      <c:pt idx="58">
                        <c:v>2793.3260104304613</c:v>
                      </c:pt>
                      <c:pt idx="59">
                        <c:v>2879.4968727071828</c:v>
                      </c:pt>
                      <c:pt idx="60">
                        <c:v>2966.7575068387109</c:v>
                      </c:pt>
                      <c:pt idx="61">
                        <c:v>3055.1007053147691</c:v>
                      </c:pt>
                      <c:pt idx="62">
                        <c:v>3144.5193491629175</c:v>
                      </c:pt>
                      <c:pt idx="63">
                        <c:v>3235.0064052431439</c:v>
                      </c:pt>
                      <c:pt idx="64">
                        <c:v>3326.5549236745119</c:v>
                      </c:pt>
                      <c:pt idx="65">
                        <c:v>3419.1580353854088</c:v>
                      </c:pt>
                      <c:pt idx="66">
                        <c:v>3512.8089497795186</c:v>
                      </c:pt>
                      <c:pt idx="67">
                        <c:v>3607.5009525102937</c:v>
                      </c:pt>
                      <c:pt idx="68">
                        <c:v>3703.2274033572617</c:v>
                      </c:pt>
                      <c:pt idx="69">
                        <c:v>3799.981734197976</c:v>
                      </c:pt>
                      <c:pt idx="70">
                        <c:v>3897.7574470699005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795.96899168956941</c:v>
                      </c:pt>
                      <c:pt idx="1">
                        <c:v>796.56505766452221</c:v>
                      </c:pt>
                      <c:pt idx="2">
                        <c:v>800.23247343925846</c:v>
                      </c:pt>
                      <c:pt idx="3">
                        <c:v>809.44171704316932</c:v>
                      </c:pt>
                      <c:pt idx="4">
                        <c:v>826.44040437181036</c:v>
                      </c:pt>
                      <c:pt idx="5">
                        <c:v>853.34610594008018</c:v>
                      </c:pt>
                      <c:pt idx="6">
                        <c:v>892.18377374015722</c:v>
                      </c:pt>
                      <c:pt idx="7">
                        <c:v>944.90635505450825</c:v>
                      </c:pt>
                      <c:pt idx="8">
                        <c:v>1013.4078478184269</c:v>
                      </c:pt>
                      <c:pt idx="9">
                        <c:v>1099.5322970816019</c:v>
                      </c:pt>
                      <c:pt idx="10">
                        <c:v>1205.0803606459472</c:v>
                      </c:pt>
                      <c:pt idx="11">
                        <c:v>1331.8143053334961</c:v>
                      </c:pt>
                      <c:pt idx="12">
                        <c:v>1481.4619324106111</c:v>
                      </c:pt>
                      <c:pt idx="13">
                        <c:v>1655.7197405180541</c:v>
                      </c:pt>
                      <c:pt idx="14">
                        <c:v>1856.2555269351096</c:v>
                      </c:pt>
                      <c:pt idx="15">
                        <c:v>2084.7105634999311</c:v>
                      </c:pt>
                      <c:pt idx="16">
                        <c:v>2342.7014429150468</c:v>
                      </c:pt>
                      <c:pt idx="17">
                        <c:v>2631.8216645957759</c:v>
                      </c:pt>
                      <c:pt idx="18">
                        <c:v>2953.6430112420471</c:v>
                      </c:pt>
                      <c:pt idx="19">
                        <c:v>3309.7167548034831</c:v>
                      </c:pt>
                      <c:pt idx="20">
                        <c:v>3701.5747215866586</c:v>
                      </c:pt>
                      <c:pt idx="21">
                        <c:v>4130.730239756168</c:v>
                      </c:pt>
                      <c:pt idx="22">
                        <c:v>4598.6789876592584</c:v>
                      </c:pt>
                      <c:pt idx="23">
                        <c:v>5106.8997577659366</c:v>
                      </c:pt>
                      <c:pt idx="24">
                        <c:v>5656.8551482304119</c:v>
                      </c:pt>
                      <c:pt idx="25">
                        <c:v>6249.9921919180633</c:v>
                      </c:pt>
                      <c:pt idx="26">
                        <c:v>6887.7429310436091</c:v>
                      </c:pt>
                      <c:pt idx="27">
                        <c:v>7571.524944218073</c:v>
                      </c:pt>
                      <c:pt idx="28">
                        <c:v>8302.7418316202184</c:v>
                      </c:pt>
                      <c:pt idx="29">
                        <c:v>9082.7836631328737</c:v>
                      </c:pt>
                      <c:pt idx="30">
                        <c:v>9913.0273935695495</c:v>
                      </c:pt>
                      <c:pt idx="31">
                        <c:v>10794.837248529026</c:v>
                      </c:pt>
                      <c:pt idx="32">
                        <c:v>11729.565083928337</c:v>
                      </c:pt>
                      <c:pt idx="33">
                        <c:v>12718.550721857939</c:v>
                      </c:pt>
                      <c:pt idx="34">
                        <c:v>13763.122265061636</c:v>
                      </c:pt>
                      <c:pt idx="35">
                        <c:v>14864.596392056355</c:v>
                      </c:pt>
                      <c:pt idx="36">
                        <c:v>16024.27863466105</c:v>
                      </c:pt>
                      <c:pt idx="37">
                        <c:v>17243.463639497106</c:v>
                      </c:pt>
                      <c:pt idx="38">
                        <c:v>18523.435414841828</c:v>
                      </c:pt>
                      <c:pt idx="39">
                        <c:v>19865.467564063816</c:v>
                      </c:pt>
                      <c:pt idx="40">
                        <c:v>21270.823506735578</c:v>
                      </c:pt>
                      <c:pt idx="41">
                        <c:v>22740.756688402071</c:v>
                      </c:pt>
                      <c:pt idx="42">
                        <c:v>24276.510779884284</c:v>
                      </c:pt>
                      <c:pt idx="43">
                        <c:v>25879.319866907765</c:v>
                      </c:pt>
                      <c:pt idx="44">
                        <c:v>27550.408630768849</c:v>
                      </c:pt>
                      <c:pt idx="45">
                        <c:v>29290.992520683198</c:v>
                      </c:pt>
                      <c:pt idx="46">
                        <c:v>31102.27791840045</c:v>
                      </c:pt>
                      <c:pt idx="47">
                        <c:v>32985.462295615871</c:v>
                      </c:pt>
                      <c:pt idx="48">
                        <c:v>34941.734364663236</c:v>
                      </c:pt>
                      <c:pt idx="49">
                        <c:v>36972.274222927663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63.781757138915168</c:v>
                      </c:pt>
                      <c:pt idx="14">
                        <c:v>264.31754355597093</c:v>
                      </c:pt>
                      <c:pt idx="15">
                        <c:v>492.77258012079221</c:v>
                      </c:pt>
                      <c:pt idx="16">
                        <c:v>750.76345953590783</c:v>
                      </c:pt>
                      <c:pt idx="17">
                        <c:v>1039.8836812166373</c:v>
                      </c:pt>
                      <c:pt idx="18">
                        <c:v>1361.7050278629081</c:v>
                      </c:pt>
                      <c:pt idx="19">
                        <c:v>1717.7787714243441</c:v>
                      </c:pt>
                      <c:pt idx="20">
                        <c:v>2109.6367382075196</c:v>
                      </c:pt>
                      <c:pt idx="21">
                        <c:v>2538.7922563770294</c:v>
                      </c:pt>
                      <c:pt idx="22">
                        <c:v>3006.7410042801198</c:v>
                      </c:pt>
                      <c:pt idx="23">
                        <c:v>3514.9617743867975</c:v>
                      </c:pt>
                      <c:pt idx="24">
                        <c:v>4064.9171648512729</c:v>
                      </c:pt>
                      <c:pt idx="25">
                        <c:v>4658.0542085389243</c:v>
                      </c:pt>
                      <c:pt idx="26">
                        <c:v>5295.8049476644701</c:v>
                      </c:pt>
                      <c:pt idx="27">
                        <c:v>5979.5869608389339</c:v>
                      </c:pt>
                      <c:pt idx="28">
                        <c:v>6710.8038482410802</c:v>
                      </c:pt>
                      <c:pt idx="29">
                        <c:v>7490.8456797537347</c:v>
                      </c:pt>
                      <c:pt idx="30">
                        <c:v>8321.0894101904105</c:v>
                      </c:pt>
                      <c:pt idx="31">
                        <c:v>9202.8992651498866</c:v>
                      </c:pt>
                      <c:pt idx="32">
                        <c:v>10137.627100549198</c:v>
                      </c:pt>
                      <c:pt idx="33">
                        <c:v>11126.6127384788</c:v>
                      </c:pt>
                      <c:pt idx="34">
                        <c:v>12171.184281682497</c:v>
                      </c:pt>
                      <c:pt idx="35">
                        <c:v>13272.658408677216</c:v>
                      </c:pt>
                      <c:pt idx="36">
                        <c:v>14432.340651281911</c:v>
                      </c:pt>
                      <c:pt idx="37">
                        <c:v>15651.525656117967</c:v>
                      </c:pt>
                      <c:pt idx="38">
                        <c:v>16931.497431462689</c:v>
                      </c:pt>
                      <c:pt idx="39">
                        <c:v>18273.529580684677</c:v>
                      </c:pt>
                      <c:pt idx="40">
                        <c:v>19678.885523356439</c:v>
                      </c:pt>
                      <c:pt idx="41">
                        <c:v>21148.818705022932</c:v>
                      </c:pt>
                      <c:pt idx="42">
                        <c:v>22684.572796505145</c:v>
                      </c:pt>
                      <c:pt idx="43">
                        <c:v>24287.381883528626</c:v>
                      </c:pt>
                      <c:pt idx="44">
                        <c:v>25958.470647389709</c:v>
                      </c:pt>
                      <c:pt idx="45">
                        <c:v>27699.054537304059</c:v>
                      </c:pt>
                      <c:pt idx="46">
                        <c:v>29510.339935021311</c:v>
                      </c:pt>
                      <c:pt idx="47">
                        <c:v>31393.524312236732</c:v>
                      </c:pt>
                      <c:pt idx="48">
                        <c:v>33349.796381284104</c:v>
                      </c:pt>
                      <c:pt idx="49">
                        <c:v>35380.336239548531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3.6038933026031066E-5</c:v>
                      </c:pt>
                      <c:pt idx="2">
                        <c:v>2.9809101669276772E-3</c:v>
                      </c:pt>
                      <c:pt idx="3">
                        <c:v>3.6314279230775195E-2</c:v>
                      </c:pt>
                      <c:pt idx="4">
                        <c:v>0.20194350472933142</c:v>
                      </c:pt>
                      <c:pt idx="5">
                        <c:v>0.73074472879892316</c:v>
                      </c:pt>
                      <c:pt idx="6">
                        <c:v>2.0149416166168534</c:v>
                      </c:pt>
                      <c:pt idx="7">
                        <c:v>4.6057632831160014</c:v>
                      </c:pt>
                      <c:pt idx="8">
                        <c:v>9.1773852864579926</c:v>
                      </c:pt>
                      <c:pt idx="9">
                        <c:v>16.466415957635853</c:v>
                      </c:pt>
                      <c:pt idx="10">
                        <c:v>27.199367447468546</c:v>
                      </c:pt>
                      <c:pt idx="11">
                        <c:v>42.020133841212385</c:v>
                      </c:pt>
                      <c:pt idx="12">
                        <c:v>61.427044058946052</c:v>
                      </c:pt>
                      <c:pt idx="13">
                        <c:v>85.725793719949607</c:v>
                      </c:pt>
                      <c:pt idx="14">
                        <c:v>115.00131351986445</c:v>
                      </c:pt>
                      <c:pt idx="15">
                        <c:v>149.10887509269799</c:v>
                      </c:pt>
                      <c:pt idx="16">
                        <c:v>187.68267708306851</c:v>
                      </c:pt>
                      <c:pt idx="17">
                        <c:v>230.15882494332973</c:v>
                      </c:pt>
                      <c:pt idx="18">
                        <c:v>275.80894310680929</c:v>
                      </c:pt>
                      <c:pt idx="19">
                        <c:v>323.78051117173976</c:v>
                      </c:pt>
                      <c:pt idx="20">
                        <c:v>373.14025467737366</c:v>
                      </c:pt>
                      <c:pt idx="21">
                        <c:v>422.91741122536547</c:v>
                      </c:pt>
                      <c:pt idx="22">
                        <c:v>472.14431867434485</c:v>
                      </c:pt>
                      <c:pt idx="23">
                        <c:v>519.89244280272931</c:v>
                      </c:pt>
                      <c:pt idx="24">
                        <c:v>565.30261076881345</c:v>
                      </c:pt>
                      <c:pt idx="25">
                        <c:v>607.60879984198721</c:v>
                      </c:pt>
                      <c:pt idx="26">
                        <c:v>646.15532290459316</c:v>
                      </c:pt>
                      <c:pt idx="27">
                        <c:v>680.40764246584752</c:v>
                      </c:pt>
                      <c:pt idx="28">
                        <c:v>709.95733347201599</c:v>
                      </c:pt>
                      <c:pt idx="29">
                        <c:v>734.521909414888</c:v>
                      </c:pt>
                      <c:pt idx="30">
                        <c:v>753.94033793284837</c:v>
                      </c:pt>
                      <c:pt idx="31">
                        <c:v>768.16511524919326</c:v>
                      </c:pt>
                      <c:pt idx="32">
                        <c:v>777.25175791031961</c:v>
                      </c:pt>
                      <c:pt idx="33">
                        <c:v>781.34651925873322</c:v>
                      </c:pt>
                      <c:pt idx="34">
                        <c:v>780.67305943461292</c:v>
                      </c:pt>
                      <c:pt idx="35">
                        <c:v>775.51870222164143</c:v>
                      </c:pt>
                      <c:pt idx="36">
                        <c:v>766.2208086018826</c:v>
                      </c:pt>
                      <c:pt idx="37">
                        <c:v>753.15369243077168</c:v>
                      </c:pt>
                      <c:pt idx="38">
                        <c:v>736.71640339469513</c:v>
                      </c:pt>
                      <c:pt idx="39">
                        <c:v>717.32161001820612</c:v>
                      </c:pt>
                      <c:pt idx="40">
                        <c:v>695.38573326679045</c:v>
                      </c:pt>
                      <c:pt idx="41">
                        <c:v>671.32041048127701</c:v>
                      </c:pt>
                      <c:pt idx="42">
                        <c:v>645.52531036640892</c:v>
                      </c:pt>
                      <c:pt idx="43">
                        <c:v>618.38227228239714</c:v>
                      </c:pt>
                      <c:pt idx="44">
                        <c:v>590.25070644329355</c:v>
                      </c:pt>
                      <c:pt idx="45">
                        <c:v>561.46416479814889</c:v>
                      </c:pt>
                      <c:pt idx="46">
                        <c:v>532.32797417643189</c:v>
                      </c:pt>
                      <c:pt idx="47">
                        <c:v>503.11781246129215</c:v>
                      </c:pt>
                      <c:pt idx="48">
                        <c:v>474.0791038593245</c:v>
                      </c:pt>
                      <c:pt idx="49">
                        <c:v>445.42710956706748</c:v>
                      </c:pt>
                      <c:pt idx="50">
                        <c:v>417.3475941900283</c:v>
                      </c:pt>
                      <c:pt idx="51">
                        <c:v>389.99795516397228</c:v>
                      </c:pt>
                      <c:pt idx="52">
                        <c:v>363.50871130201887</c:v>
                      </c:pt>
                      <c:pt idx="53">
                        <c:v>337.98525671652999</c:v>
                      </c:pt>
                      <c:pt idx="54">
                        <c:v>313.50979713974499</c:v>
                      </c:pt>
                      <c:pt idx="55">
                        <c:v>290.14339660749249</c:v>
                      </c:pt>
                      <c:pt idx="56">
                        <c:v>267.9280731990977</c:v>
                      </c:pt>
                      <c:pt idx="57">
                        <c:v>246.88889276151531</c:v>
                      </c:pt>
                      <c:pt idx="58">
                        <c:v>227.03601908627545</c:v>
                      </c:pt>
                      <c:pt idx="59">
                        <c:v>208.36668772221935</c:v>
                      </c:pt>
                      <c:pt idx="60">
                        <c:v>190.86707842069254</c:v>
                      </c:pt>
                      <c:pt idx="61">
                        <c:v>174.51406809321972</c:v>
                      </c:pt>
                      <c:pt idx="62">
                        <c:v>159.27685212135557</c:v>
                      </c:pt>
                      <c:pt idx="63">
                        <c:v>145.11842692723565</c:v>
                      </c:pt>
                      <c:pt idx="64">
                        <c:v>131.99693094386228</c:v>
                      </c:pt>
                      <c:pt idx="65">
                        <c:v>119.86684458157391</c:v>
                      </c:pt>
                      <c:pt idx="66">
                        <c:v>108.68005254465882</c:v>
                      </c:pt>
                      <c:pt idx="67">
                        <c:v>98.386773986417779</c:v>
                      </c:pt>
                      <c:pt idx="68">
                        <c:v>88.936367579308637</c:v>
                      </c:pt>
                      <c:pt idx="69">
                        <c:v>80.278019694271237</c:v>
                      </c:pt>
                      <c:pt idx="70">
                        <c:v>72.361324601227906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227.94311246820683</c:v>
                      </c:pt>
                      <c:pt idx="1">
                        <c:v>227.94311728501609</c:v>
                      </c:pt>
                      <c:pt idx="2">
                        <c:v>227.94392841266665</c:v>
                      </c:pt>
                      <c:pt idx="3">
                        <c:v>227.95838702277598</c:v>
                      </c:pt>
                      <c:pt idx="4">
                        <c:v>228.05918984458961</c:v>
                      </c:pt>
                      <c:pt idx="5">
                        <c:v>228.48148983349188</c:v>
                      </c:pt>
                      <c:pt idx="6">
                        <c:v>229.77066488098419</c:v>
                      </c:pt>
                      <c:pt idx="7">
                        <c:v>232.9455156549659</c:v>
                      </c:pt>
                      <c:pt idx="8">
                        <c:v>239.64174877683556</c:v>
                      </c:pt>
                      <c:pt idx="9">
                        <c:v>252.20620184758951</c:v>
                      </c:pt>
                      <c:pt idx="10">
                        <c:v>273.7234856324007</c:v>
                      </c:pt>
                      <c:pt idx="11">
                        <c:v>307.96918077963744</c:v>
                      </c:pt>
                      <c:pt idx="12">
                        <c:v>359.29463390695372</c:v>
                      </c:pt>
                      <c:pt idx="13">
                        <c:v>432.45636085335173</c:v>
                      </c:pt>
                      <c:pt idx="14">
                        <c:v>532.40771988243296</c:v>
                      </c:pt>
                      <c:pt idx="15">
                        <c:v>664.07214402211844</c:v>
                      </c:pt>
                      <c:pt idx="16">
                        <c:v>832.11643199782384</c:v>
                      </c:pt>
                      <c:pt idx="17">
                        <c:v>1040.7401165526844</c:v>
                      </c:pt>
                      <c:pt idx="18">
                        <c:v>1293.4934553095761</c:v>
                      </c:pt>
                      <c:pt idx="19">
                        <c:v>1593.1327163723909</c:v>
                      </c:pt>
                      <c:pt idx="20">
                        <c:v>1941.5176156520229</c:v>
                      </c:pt>
                      <c:pt idx="21">
                        <c:v>2339.5523227950357</c:v>
                      </c:pt>
                      <c:pt idx="22">
                        <c:v>2787.1685791983259</c:v>
                      </c:pt>
                      <c:pt idx="23">
                        <c:v>3283.3472530632753</c:v>
                      </c:pt>
                      <c:pt idx="24">
                        <c:v>3826.1731022682275</c:v>
                      </c:pt>
                      <c:pt idx="25">
                        <c:v>4412.9165805325429</c:v>
                      </c:pt>
                      <c:pt idx="26">
                        <c:v>5040.1361260630656</c:v>
                      </c:pt>
                      <c:pt idx="27">
                        <c:v>5703.7944171085783</c:v>
                      </c:pt>
                      <c:pt idx="28">
                        <c:v>6399.3824631159268</c:v>
                      </c:pt>
                      <c:pt idx="29">
                        <c:v>7122.0460249918924</c:v>
                      </c:pt>
                      <c:pt idx="30">
                        <c:v>7866.7096346365352</c:v>
                      </c:pt>
                      <c:pt idx="31">
                        <c:v>8628.1943367882232</c:v>
                      </c:pt>
                      <c:pt idx="32">
                        <c:v>9401.3261440320111</c:v>
                      </c:pt>
                      <c:pt idx="33">
                        <c:v>10181.033031570487</c:v>
                      </c:pt>
                      <c:pt idx="34">
                        <c:v>10962.429068293895</c:v>
                      </c:pt>
                      <c:pt idx="35">
                        <c:v>11740.88496274544</c:v>
                      </c:pt>
                      <c:pt idx="36">
                        <c:v>12512.084884513451</c:v>
                      </c:pt>
                      <c:pt idx="37">
                        <c:v>13272.069899061333</c:v>
                      </c:pt>
                      <c:pt idx="38">
                        <c:v>14017.268728768187</c:v>
                      </c:pt>
                      <c:pt idx="39">
                        <c:v>14744.516831148458</c:v>
                      </c:pt>
                      <c:pt idx="40">
                        <c:v>15451.064975961059</c:v>
                      </c:pt>
                      <c:pt idx="41">
                        <c:v>16134.578617081288</c:v>
                      </c:pt>
                      <c:pt idx="42">
                        <c:v>16793.129404257583</c:v>
                      </c:pt>
                      <c:pt idx="43">
                        <c:v>17425.180175922633</c:v>
                      </c:pt>
                      <c:pt idx="44">
                        <c:v>18029.564728292</c:v>
                      </c:pt>
                      <c:pt idx="45">
                        <c:v>18605.463578401275</c:v>
                      </c:pt>
                      <c:pt idx="46">
                        <c:v>19152.376838745538</c:v>
                      </c:pt>
                      <c:pt idx="47">
                        <c:v>19670.095206793947</c:v>
                      </c:pt>
                      <c:pt idx="48">
                        <c:v>20158.669950610565</c:v>
                      </c:pt>
                      <c:pt idx="49">
                        <c:v>20618.382647633014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76.521494946019232</c:v>
                      </c:pt>
                      <c:pt idx="15">
                        <c:v>208.18591908570477</c:v>
                      </c:pt>
                      <c:pt idx="16">
                        <c:v>376.23020706141023</c:v>
                      </c:pt>
                      <c:pt idx="17">
                        <c:v>584.85389161627086</c:v>
                      </c:pt>
                      <c:pt idx="18">
                        <c:v>837.60723037316234</c:v>
                      </c:pt>
                      <c:pt idx="19">
                        <c:v>1137.2464914359771</c:v>
                      </c:pt>
                      <c:pt idx="20">
                        <c:v>1485.6313907156091</c:v>
                      </c:pt>
                      <c:pt idx="21">
                        <c:v>1883.6660978586219</c:v>
                      </c:pt>
                      <c:pt idx="22">
                        <c:v>2331.2823542619121</c:v>
                      </c:pt>
                      <c:pt idx="23">
                        <c:v>2827.4610281268615</c:v>
                      </c:pt>
                      <c:pt idx="24">
                        <c:v>3370.2868773318137</c:v>
                      </c:pt>
                      <c:pt idx="25">
                        <c:v>3957.0303555961291</c:v>
                      </c:pt>
                      <c:pt idx="26">
                        <c:v>4584.2499011266518</c:v>
                      </c:pt>
                      <c:pt idx="27">
                        <c:v>5247.9081921721645</c:v>
                      </c:pt>
                      <c:pt idx="28">
                        <c:v>5943.4962381795131</c:v>
                      </c:pt>
                      <c:pt idx="29">
                        <c:v>6666.1598000554786</c:v>
                      </c:pt>
                      <c:pt idx="30">
                        <c:v>7410.8234097001214</c:v>
                      </c:pt>
                      <c:pt idx="31">
                        <c:v>8172.3081118518094</c:v>
                      </c:pt>
                      <c:pt idx="32">
                        <c:v>8945.4399190955974</c:v>
                      </c:pt>
                      <c:pt idx="33">
                        <c:v>9725.1468066340731</c:v>
                      </c:pt>
                      <c:pt idx="34">
                        <c:v>10506.542843357482</c:v>
                      </c:pt>
                      <c:pt idx="35">
                        <c:v>11284.998737809026</c:v>
                      </c:pt>
                      <c:pt idx="36">
                        <c:v>12056.198659577038</c:v>
                      </c:pt>
                      <c:pt idx="37">
                        <c:v>12816.183674124919</c:v>
                      </c:pt>
                      <c:pt idx="38">
                        <c:v>13561.382503831774</c:v>
                      </c:pt>
                      <c:pt idx="39">
                        <c:v>14288.630606212044</c:v>
                      </c:pt>
                      <c:pt idx="40">
                        <c:v>14995.178751024645</c:v>
                      </c:pt>
                      <c:pt idx="41">
                        <c:v>15678.692392144874</c:v>
                      </c:pt>
                      <c:pt idx="42">
                        <c:v>16337.243179321171</c:v>
                      </c:pt>
                      <c:pt idx="43">
                        <c:v>16969.293950986223</c:v>
                      </c:pt>
                      <c:pt idx="44">
                        <c:v>17573.67850335559</c:v>
                      </c:pt>
                      <c:pt idx="45">
                        <c:v>18149.577353464865</c:v>
                      </c:pt>
                      <c:pt idx="46">
                        <c:v>18696.490613809128</c:v>
                      </c:pt>
                      <c:pt idx="47">
                        <c:v>19214.208981857537</c:v>
                      </c:pt>
                      <c:pt idx="48">
                        <c:v>19702.783725674155</c:v>
                      </c:pt>
                      <c:pt idx="49">
                        <c:v>20162.496422696604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  <c15:filteredScatterSeries>
              <c15:ser>
                <c:idx val="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2571.0436265733724</c:v>
                      </c:pt>
                      <c:pt idx="1">
                        <c:v>2571.0704174017383</c:v>
                      </c:pt>
                      <c:pt idx="2">
                        <c:v>2572.0006166798189</c:v>
                      </c:pt>
                      <c:pt idx="3">
                        <c:v>2578.4179479603135</c:v>
                      </c:pt>
                      <c:pt idx="4">
                        <c:v>2601.3772244611473</c:v>
                      </c:pt>
                      <c:pt idx="5">
                        <c:v>2659.5210869316297</c:v>
                      </c:pt>
                      <c:pt idx="6">
                        <c:v>2778.7168258622896</c:v>
                      </c:pt>
                      <c:pt idx="7">
                        <c:v>2990.6788303783492</c:v>
                      </c:pt>
                      <c:pt idx="8">
                        <c:v>3331.0217047639221</c:v>
                      </c:pt>
                      <c:pt idx="9">
                        <c:v>3837.101467614365</c:v>
                      </c:pt>
                      <c:pt idx="10">
                        <c:v>4545.9049608349842</c:v>
                      </c:pt>
                      <c:pt idx="11">
                        <c:v>5492.160133997666</c:v>
                      </c:pt>
                      <c:pt idx="12">
                        <c:v>6706.7683530328677</c:v>
                      </c:pt>
                      <c:pt idx="13">
                        <c:v>8215.6049730641607</c:v>
                      </c:pt>
                      <c:pt idx="14">
                        <c:v>10038.694523804839</c:v>
                      </c:pt>
                      <c:pt idx="15">
                        <c:v>12189.739587420503</c:v>
                      </c:pt>
                      <c:pt idx="16">
                        <c:v>14675.965281955945</c:v>
                      </c:pt>
                      <c:pt idx="17">
                        <c:v>17498.231863052057</c:v>
                      </c:pt>
                      <c:pt idx="18">
                        <c:v>20651.364301069614</c:v>
                      </c:pt>
                      <c:pt idx="19">
                        <c:v>24124.648105402688</c:v>
                      </c:pt>
                      <c:pt idx="20">
                        <c:v>27902.443811905712</c:v>
                      </c:pt>
                      <c:pt idx="21">
                        <c:v>31964.877380607672</c:v>
                      </c:pt>
                      <c:pt idx="22">
                        <c:v>36288.569482028979</c:v>
                      </c:pt>
                      <c:pt idx="23">
                        <c:v>40847.37270541543</c:v>
                      </c:pt>
                      <c:pt idx="24">
                        <c:v>45613.09169531829</c:v>
                      </c:pt>
                      <c:pt idx="25">
                        <c:v>50556.166842557672</c:v>
                      </c:pt>
                      <c:pt idx="26">
                        <c:v>55646.307253398038</c:v>
                      </c:pt>
                      <c:pt idx="27">
                        <c:v>60853.063206059785</c:v>
                      </c:pt>
                      <c:pt idx="28">
                        <c:v>66146.332142604515</c:v>
                      </c:pt>
                      <c:pt idx="29">
                        <c:v>71496.795443005802</c:v>
                      </c:pt>
                      <c:pt idx="30">
                        <c:v>76876.28582019388</c:v>
                      </c:pt>
                      <c:pt idx="31">
                        <c:v>82258.087210438884</c:v>
                      </c:pt>
                      <c:pt idx="32">
                        <c:v>87617.170572545874</c:v>
                      </c:pt>
                      <c:pt idx="33">
                        <c:v>92930.370115870202</c:v>
                      </c:pt>
                      <c:pt idx="34">
                        <c:v>98176.505215050856</c:v>
                      </c:pt>
                      <c:pt idx="35">
                        <c:v>103336.45369984888</c:v>
                      </c:pt>
                      <c:pt idx="36">
                        <c:v>108393.18238837383</c:v>
                      </c:pt>
                      <c:pt idx="37">
                        <c:v>113331.7407126644</c:v>
                      </c:pt>
                      <c:pt idx="38">
                        <c:v>118139.22311248016</c:v>
                      </c:pt>
                      <c:pt idx="39">
                        <c:v>122804.70558568215</c:v>
                      </c:pt>
                      <c:pt idx="40">
                        <c:v>127319.16141528022</c:v>
                      </c:pt>
                      <c:pt idx="41">
                        <c:v>131675.36067216395</c:v>
                      </c:pt>
                      <c:pt idx="42">
                        <c:v>135867.75764172734</c:v>
                      </c:pt>
                      <c:pt idx="43">
                        <c:v>139892.36986055132</c:v>
                      </c:pt>
                      <c:pt idx="44">
                        <c:v>143746.65199054204</c:v>
                      </c:pt>
                      <c:pt idx="45">
                        <c:v>147429.36731351464</c:v>
                      </c:pt>
                      <c:pt idx="46">
                        <c:v>150940.45920731421</c:v>
                      </c:pt>
                      <c:pt idx="47">
                        <c:v>154280.92457085359</c:v>
                      </c:pt>
                      <c:pt idx="48">
                        <c:v>157452.69080357102</c:v>
                      </c:pt>
                      <c:pt idx="49">
                        <c:v>160458.497616776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480-4003-A92A-241054E60060}"/>
                  </c:ext>
                </c:extLst>
              </c15:ser>
            </c15:filteredScatterSeries>
            <c15:filteredScatterSeries>
              <c15:ser>
                <c:idx val="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350.07288085092068</c:v>
                      </c:pt>
                      <c:pt idx="12">
                        <c:v>1564.6810998861229</c:v>
                      </c:pt>
                      <c:pt idx="13">
                        <c:v>3073.5177199174159</c:v>
                      </c:pt>
                      <c:pt idx="14">
                        <c:v>4896.6072706580953</c:v>
                      </c:pt>
                      <c:pt idx="15">
                        <c:v>7047.6523342737592</c:v>
                      </c:pt>
                      <c:pt idx="16">
                        <c:v>9533.8780288092021</c:v>
                      </c:pt>
                      <c:pt idx="17">
                        <c:v>12356.14460990531</c:v>
                      </c:pt>
                      <c:pt idx="18">
                        <c:v>15509.277047922867</c:v>
                      </c:pt>
                      <c:pt idx="19">
                        <c:v>18982.560852255941</c:v>
                      </c:pt>
                      <c:pt idx="20">
                        <c:v>22760.356558758966</c:v>
                      </c:pt>
                      <c:pt idx="21">
                        <c:v>26822.790127460925</c:v>
                      </c:pt>
                      <c:pt idx="22">
                        <c:v>31146.482228882232</c:v>
                      </c:pt>
                      <c:pt idx="23">
                        <c:v>35705.285452268683</c:v>
                      </c:pt>
                      <c:pt idx="24">
                        <c:v>40471.004442171543</c:v>
                      </c:pt>
                      <c:pt idx="25">
                        <c:v>45414.079589410925</c:v>
                      </c:pt>
                      <c:pt idx="26">
                        <c:v>50504.220000251291</c:v>
                      </c:pt>
                      <c:pt idx="27">
                        <c:v>55710.975952913039</c:v>
                      </c:pt>
                      <c:pt idx="28">
                        <c:v>61004.244889457768</c:v>
                      </c:pt>
                      <c:pt idx="29">
                        <c:v>66354.708189859055</c:v>
                      </c:pt>
                      <c:pt idx="30">
                        <c:v>71734.198567047133</c:v>
                      </c:pt>
                      <c:pt idx="31">
                        <c:v>77115.999957292137</c:v>
                      </c:pt>
                      <c:pt idx="32">
                        <c:v>82475.083319399128</c:v>
                      </c:pt>
                      <c:pt idx="33">
                        <c:v>87788.282862723456</c:v>
                      </c:pt>
                      <c:pt idx="34">
                        <c:v>93034.41796190411</c:v>
                      </c:pt>
                      <c:pt idx="35">
                        <c:v>98194.36644670213</c:v>
                      </c:pt>
                      <c:pt idx="36">
                        <c:v>103251.09513522708</c:v>
                      </c:pt>
                      <c:pt idx="37">
                        <c:v>108189.65345951765</c:v>
                      </c:pt>
                      <c:pt idx="38">
                        <c:v>112997.13585933342</c:v>
                      </c:pt>
                      <c:pt idx="39">
                        <c:v>117662.61833253541</c:v>
                      </c:pt>
                      <c:pt idx="40">
                        <c:v>122177.07416213347</c:v>
                      </c:pt>
                      <c:pt idx="41">
                        <c:v>126533.27341901721</c:v>
                      </c:pt>
                      <c:pt idx="42">
                        <c:v>130725.67038858059</c:v>
                      </c:pt>
                      <c:pt idx="43">
                        <c:v>134750.28260740457</c:v>
                      </c:pt>
                      <c:pt idx="44">
                        <c:v>138604.5647373953</c:v>
                      </c:pt>
                      <c:pt idx="45">
                        <c:v>142287.28006036789</c:v>
                      </c:pt>
                      <c:pt idx="46">
                        <c:v>145798.37195416747</c:v>
                      </c:pt>
                      <c:pt idx="47">
                        <c:v>149138.83731770684</c:v>
                      </c:pt>
                      <c:pt idx="48">
                        <c:v>152310.60355042428</c:v>
                      </c:pt>
                      <c:pt idx="49">
                        <c:v>155316.41036362926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ExpPwLaw'!$AG$38</c:f>
              <c:numCache>
                <c:formatCode>00,000</c:formatCode>
                <c:ptCount val="1"/>
                <c:pt idx="0">
                  <c:v>0.99982322112815314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ExpPwLaw'!$AG$40</c:f>
              <c:numCache>
                <c:formatCode>0</c:formatCode>
                <c:ptCount val="1"/>
                <c:pt idx="0">
                  <c:v>227.94311246820683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ExpPwLaw'!$AF$41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ExpPwLaw'!$AG$41</c:f>
              <c:numCache>
                <c:formatCode>0</c:formatCode>
                <c:ptCount val="1"/>
                <c:pt idx="0">
                  <c:v>25644.083179051395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ExpPwLaw'!$AG$26</c:f>
              <c:numCache>
                <c:formatCode>0.0000</c:formatCode>
                <c:ptCount val="1"/>
                <c:pt idx="0">
                  <c:v>0.99904449654497796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ExpPwLaw'!$AG$28</c:f>
              <c:numCache>
                <c:formatCode>0</c:formatCode>
                <c:ptCount val="1"/>
                <c:pt idx="0">
                  <c:v>795.96899168956941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ExpPwLaw'!$AF$29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ExpPwLaw'!$AG$29</c:f>
              <c:numCache>
                <c:formatCode>0</c:formatCode>
                <c:ptCount val="1"/>
                <c:pt idx="0">
                  <c:v>811713507.8027637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ExpPwLaw'!$AG$14</c:f>
              <c:numCache>
                <c:formatCode>0.0000</c:formatCode>
                <c:ptCount val="1"/>
                <c:pt idx="0">
                  <c:v>0.99965629112793208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ExpPwLaw'!$AG$16</c:f>
              <c:numCache>
                <c:formatCode>0</c:formatCode>
                <c:ptCount val="1"/>
                <c:pt idx="0">
                  <c:v>2571.0436265733724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ExpPwLaw'!$AF$17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ExpPwLaw'!$AG$17</c:f>
              <c:numCache>
                <c:formatCode>0</c:formatCode>
                <c:ptCount val="1"/>
                <c:pt idx="0">
                  <c:v>198868.80666380809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ExpPwLaw'!$H$7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0.13963206978005366</c:v>
                </c:pt>
                <c:pt idx="2">
                  <c:v>2.4364074163428819</c:v>
                </c:pt>
                <c:pt idx="3">
                  <c:v>12.222933046851352</c:v>
                </c:pt>
                <c:pt idx="4">
                  <c:v>36.809964285572086</c:v>
                </c:pt>
                <c:pt idx="5">
                  <c:v>83.813014359412065</c:v>
                </c:pt>
                <c:pt idx="6">
                  <c:v>159.89749581571292</c:v>
                </c:pt>
                <c:pt idx="7">
                  <c:v>269.99887525156538</c:v>
                </c:pt>
                <c:pt idx="8">
                  <c:v>416.9484575737261</c:v>
                </c:pt>
                <c:pt idx="9">
                  <c:v>601.40727113756213</c:v>
                </c:pt>
                <c:pt idx="10">
                  <c:v>822.01393917406051</c:v>
                </c:pt>
                <c:pt idx="11">
                  <c:v>1075.6666353608193</c:v>
                </c:pt>
                <c:pt idx="12">
                  <c:v>1357.8760550042825</c:v>
                </c:pt>
                <c:pt idx="13">
                  <c:v>1663.1423649716255</c:v>
                </c:pt>
                <c:pt idx="14">
                  <c:v>1985.3229768279293</c:v>
                </c:pt>
                <c:pt idx="15">
                  <c:v>2317.9693366893043</c:v>
                </c:pt>
                <c:pt idx="16">
                  <c:v>2654.6198135266723</c:v>
                </c:pt>
                <c:pt idx="17">
                  <c:v>2989.0424660406079</c:v>
                </c:pt>
                <c:pt idx="18">
                  <c:v>3315.4263179687323</c:v>
                </c:pt>
                <c:pt idx="19">
                  <c:v>3628.5231184481031</c:v>
                </c:pt>
                <c:pt idx="20">
                  <c:v>3923.7437261026857</c:v>
                </c:pt>
                <c:pt idx="21">
                  <c:v>4197.2145102232498</c:v>
                </c:pt>
                <c:pt idx="22">
                  <c:v>4445.7997426347474</c:v>
                </c:pt>
                <c:pt idx="23">
                  <c:v>4667.096049636838</c:v>
                </c:pt>
                <c:pt idx="24">
                  <c:v>4859.404756100399</c:v>
                </c:pt>
                <c:pt idx="25">
                  <c:v>5021.6875012318742</c:v>
                </c:pt>
                <c:pt idx="26">
                  <c:v>5153.5099273076185</c:v>
                </c:pt>
                <c:pt idx="27">
                  <c:v>5254.9776052959041</c:v>
                </c:pt>
                <c:pt idx="28">
                  <c:v>5326.6677125317165</c:v>
                </c:pt>
                <c:pt idx="29">
                  <c:v>5369.5593505518118</c:v>
                </c:pt>
                <c:pt idx="30">
                  <c:v>5384.9648074574961</c:v>
                </c:pt>
                <c:pt idx="31">
                  <c:v>5374.4635416735646</c:v>
                </c:pt>
                <c:pt idx="32">
                  <c:v>5339.8401991635728</c:v>
                </c:pt>
                <c:pt idx="33">
                  <c:v>5283.0275758115986</c:v>
                </c:pt>
                <c:pt idx="34">
                  <c:v>5206.05509927617</c:v>
                </c:pt>
                <c:pt idx="35">
                  <c:v>5111.0031264706431</c:v>
                </c:pt>
                <c:pt idx="36">
                  <c:v>4999.9631288836272</c:v>
                </c:pt>
                <c:pt idx="37">
                  <c:v>4875.0036624576296</c:v>
                </c:pt>
                <c:pt idx="38">
                  <c:v>4738.1418856615019</c:v>
                </c:pt>
                <c:pt idx="39">
                  <c:v>4591.3202927461007</c:v>
                </c:pt>
                <c:pt idx="40">
                  <c:v>4436.3882632629438</c:v>
                </c:pt>
                <c:pt idx="41">
                  <c:v>4275.0879884705</c:v>
                </c:pt>
                <c:pt idx="42">
                  <c:v>4109.0443154677478</c:v>
                </c:pt>
                <c:pt idx="43">
                  <c:v>3939.758046531877</c:v>
                </c:pt>
                <c:pt idx="44">
                  <c:v>3768.6022404883138</c:v>
                </c:pt>
                <c:pt idx="45">
                  <c:v>3596.8210818228235</c:v>
                </c:pt>
                <c:pt idx="46">
                  <c:v>3425.5309089653151</c:v>
                </c:pt>
                <c:pt idx="47">
                  <c:v>3255.7230234932158</c:v>
                </c:pt>
                <c:pt idx="48">
                  <c:v>3088.2679350855069</c:v>
                </c:pt>
                <c:pt idx="49">
                  <c:v>2923.9207314327823</c:v>
                </c:pt>
                <c:pt idx="50">
                  <c:v>2763.3272968148772</c:v>
                </c:pt>
                <c:pt idx="51">
                  <c:v>2607.0311368042981</c:v>
                </c:pt>
                <c:pt idx="52">
                  <c:v>2455.4805988802568</c:v>
                </c:pt>
                <c:pt idx="53">
                  <c:v>2309.03630917275</c:v>
                </c:pt>
                <c:pt idx="54">
                  <c:v>2167.9786737865888</c:v>
                </c:pt>
                <c:pt idx="55">
                  <c:v>2032.5153189953214</c:v>
                </c:pt>
                <c:pt idx="56">
                  <c:v>1902.7883679622119</c:v>
                </c:pt>
                <c:pt idx="57">
                  <c:v>1778.8814725351508</c:v>
                </c:pt>
                <c:pt idx="58">
                  <c:v>1660.8265371330574</c:v>
                </c:pt>
                <c:pt idx="59">
                  <c:v>1548.6100878939328</c:v>
                </c:pt>
                <c:pt idx="60">
                  <c:v>1442.1792542242154</c:v>
                </c:pt>
                <c:pt idx="61">
                  <c:v>1341.4473418298132</c:v>
                </c:pt>
                <c:pt idx="62">
                  <c:v>1246.2989863885998</c:v>
                </c:pt>
                <c:pt idx="63">
                  <c:v>1156.5948854146247</c:v>
                </c:pt>
                <c:pt idx="64">
                  <c:v>1072.176112738754</c:v>
                </c:pt>
                <c:pt idx="65">
                  <c:v>992.86802555676297</c:v>
                </c:pt>
                <c:pt idx="66">
                  <c:v>918.48377833621487</c:v>
                </c:pt>
                <c:pt idx="67">
                  <c:v>848.82746117904333</c:v>
                </c:pt>
                <c:pt idx="68">
                  <c:v>783.69688264996466</c:v>
                </c:pt>
                <c:pt idx="69">
                  <c:v>722.88601873137986</c:v>
                </c:pt>
                <c:pt idx="70">
                  <c:v>666.18715057173608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ExpPwLaw'!$N$7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-1.5525379342105803</c:v>
                </c:pt>
                <c:pt idx="2">
                  <c:v>-3.6165593786580423</c:v>
                </c:pt>
                <c:pt idx="3">
                  <c:v>-0.55526587353159129</c:v>
                </c:pt>
                <c:pt idx="4">
                  <c:v>15.000170440691509</c:v>
                </c:pt>
                <c:pt idx="5">
                  <c:v>50.541550824028185</c:v>
                </c:pt>
                <c:pt idx="6">
                  <c:v>112.42265651958354</c:v>
                </c:pt>
                <c:pt idx="7">
                  <c:v>205.09232710855969</c:v>
                </c:pt>
                <c:pt idx="8">
                  <c:v>330.76163828973336</c:v>
                </c:pt>
                <c:pt idx="9">
                  <c:v>489.40136316218133</c:v>
                </c:pt>
                <c:pt idx="10">
                  <c:v>678.96429019798438</c:v>
                </c:pt>
                <c:pt idx="11">
                  <c:v>895.74097904851874</c:v>
                </c:pt>
                <c:pt idx="12">
                  <c:v>1134.776572527458</c:v>
                </c:pt>
                <c:pt idx="13">
                  <c:v>1390.2954632841397</c:v>
                </c:pt>
                <c:pt idx="14">
                  <c:v>1656.0976837454882</c:v>
                </c:pt>
                <c:pt idx="15">
                  <c:v>1925.9049622234838</c:v>
                </c:pt>
                <c:pt idx="16">
                  <c:v>2193.6453166027754</c:v>
                </c:pt>
                <c:pt idx="17">
                  <c:v>2453.6730738228525</c:v>
                </c:pt>
                <c:pt idx="18">
                  <c:v>2700.9267212159439</c:v>
                </c:pt>
                <c:pt idx="19">
                  <c:v>2931.0304851633041</c:v>
                </c:pt>
                <c:pt idx="20">
                  <c:v>3140.3474527151066</c:v>
                </c:pt>
                <c:pt idx="21">
                  <c:v>3325.9928143485181</c:v>
                </c:pt>
                <c:pt idx="22">
                  <c:v>3485.8157588946815</c:v>
                </c:pt>
                <c:pt idx="23">
                  <c:v>3618.3579757919688</c:v>
                </c:pt>
                <c:pt idx="24">
                  <c:v>3722.7958328617647</c:v>
                </c:pt>
                <c:pt idx="25">
                  <c:v>3798.8722615525439</c:v>
                </c:pt>
                <c:pt idx="26">
                  <c:v>3846.823310962176</c:v>
                </c:pt>
                <c:pt idx="27">
                  <c:v>3867.3033040180267</c:v>
                </c:pt>
                <c:pt idx="28">
                  <c:v>3861.3115916656843</c:v>
                </c:pt>
                <c:pt idx="29">
                  <c:v>3830.1230794603807</c:v>
                </c:pt>
                <c:pt idx="30">
                  <c:v>3775.2240053806686</c:v>
                </c:pt>
                <c:pt idx="31">
                  <c:v>3698.2538769220173</c:v>
                </c:pt>
                <c:pt idx="32">
                  <c:v>3600.9540215117786</c:v>
                </c:pt>
                <c:pt idx="33">
                  <c:v>3485.1228548923032</c:v>
                </c:pt>
                <c:pt idx="34">
                  <c:v>3352.5777132969915</c:v>
                </c:pt>
                <c:pt idx="35">
                  <c:v>3205.1229125227264</c:v>
                </c:pt>
                <c:pt idx="36">
                  <c:v>3044.5235764730301</c:v>
                </c:pt>
                <c:pt idx="37">
                  <c:v>2872.484706671888</c:v>
                </c:pt>
                <c:pt idx="38">
                  <c:v>2690.6349313871365</c:v>
                </c:pt>
                <c:pt idx="39">
                  <c:v>2500.5143687288646</c:v>
                </c:pt>
                <c:pt idx="40">
                  <c:v>2303.5660543806839</c:v>
                </c:pt>
                <c:pt idx="41">
                  <c:v>2101.1304149603579</c:v>
                </c:pt>
                <c:pt idx="42">
                  <c:v>1894.442307221133</c:v>
                </c:pt>
                <c:pt idx="43">
                  <c:v>1684.6301874044325</c:v>
                </c:pt>
                <c:pt idx="44">
                  <c:v>1472.7170210408817</c:v>
                </c:pt>
                <c:pt idx="45">
                  <c:v>1259.6225891975462</c:v>
                </c:pt>
                <c:pt idx="46">
                  <c:v>1046.1668910762114</c:v>
                </c:pt>
                <c:pt idx="47">
                  <c:v>833.07438399730688</c:v>
                </c:pt>
                <c:pt idx="48">
                  <c:v>620.97883957665613</c:v>
                </c:pt>
                <c:pt idx="49">
                  <c:v>410.42862904014959</c:v>
                </c:pt>
                <c:pt idx="50">
                  <c:v>201.89228106777546</c:v>
                </c:pt>
                <c:pt idx="51">
                  <c:v>-4.2358175924401849</c:v>
                </c:pt>
                <c:pt idx="52">
                  <c:v>-207.62968505058171</c:v>
                </c:pt>
                <c:pt idx="53">
                  <c:v>-408.02605674468225</c:v>
                </c:pt>
                <c:pt idx="54">
                  <c:v>-605.21881600494817</c:v>
                </c:pt>
                <c:pt idx="55">
                  <c:v>-799.0535963655492</c:v>
                </c:pt>
                <c:pt idx="56">
                  <c:v>-989.42259664086419</c:v>
                </c:pt>
                <c:pt idx="57">
                  <c:v>-1176.2596391298248</c:v>
                </c:pt>
                <c:pt idx="58">
                  <c:v>-1359.5354923836794</c:v>
                </c:pt>
                <c:pt idx="59">
                  <c:v>-1539.2534725354694</c:v>
                </c:pt>
                <c:pt idx="60">
                  <c:v>-1715.445331035188</c:v>
                </c:pt>
                <c:pt idx="61">
                  <c:v>-1888.1674315781756</c:v>
                </c:pt>
                <c:pt idx="62">
                  <c:v>-2057.4972148956731</c:v>
                </c:pt>
                <c:pt idx="63">
                  <c:v>-2223.5299467557547</c:v>
                </c:pt>
                <c:pt idx="64">
                  <c:v>-2386.3757418796204</c:v>
                </c:pt>
                <c:pt idx="65">
                  <c:v>-2546.1568544102197</c:v>
                </c:pt>
                <c:pt idx="66">
                  <c:v>-2703.0052239879624</c:v>
                </c:pt>
                <c:pt idx="67">
                  <c:v>-2857.0602653176679</c:v>
                </c:pt>
                <c:pt idx="68">
                  <c:v>-3008.4668882866058</c:v>
                </c:pt>
                <c:pt idx="69">
                  <c:v>-3157.3737351608675</c:v>
                </c:pt>
                <c:pt idx="70">
                  <c:v>-3303.9316210993925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ExpPwLaw'!$S$7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ExpPwLaw'!$S$8:$S$78</c:f>
              <c:numCache>
                <c:formatCode>0</c:formatCode>
                <c:ptCount val="71"/>
                <c:pt idx="0">
                  <c:v>0</c:v>
                </c:pt>
                <c:pt idx="1">
                  <c:v>1.6921339650576079</c:v>
                </c:pt>
                <c:pt idx="2">
                  <c:v>6.0499858848339967</c:v>
                </c:pt>
                <c:pt idx="3">
                  <c:v>12.741884641152168</c:v>
                </c:pt>
                <c:pt idx="4">
                  <c:v>21.607850340151245</c:v>
                </c:pt>
                <c:pt idx="5">
                  <c:v>32.540718806584955</c:v>
                </c:pt>
                <c:pt idx="6">
                  <c:v>45.459897679512515</c:v>
                </c:pt>
                <c:pt idx="7">
                  <c:v>60.300784859889681</c:v>
                </c:pt>
                <c:pt idx="8">
                  <c:v>77.009433997534757</c:v>
                </c:pt>
                <c:pt idx="9">
                  <c:v>95.539492017744976</c:v>
                </c:pt>
                <c:pt idx="10">
                  <c:v>115.85028152860755</c:v>
                </c:pt>
                <c:pt idx="11">
                  <c:v>137.90552247108829</c:v>
                </c:pt>
                <c:pt idx="12">
                  <c:v>161.67243841787854</c:v>
                </c:pt>
                <c:pt idx="13">
                  <c:v>187.12110796753612</c:v>
                </c:pt>
                <c:pt idx="14">
                  <c:v>214.22397956257677</c:v>
                </c:pt>
                <c:pt idx="15">
                  <c:v>242.95549937312268</c:v>
                </c:pt>
                <c:pt idx="16">
                  <c:v>273.29181984082834</c:v>
                </c:pt>
                <c:pt idx="17">
                  <c:v>305.21056727442567</c:v>
                </c:pt>
                <c:pt idx="18">
                  <c:v>338.69065364597901</c:v>
                </c:pt>
                <c:pt idx="19">
                  <c:v>373.71212211305919</c:v>
                </c:pt>
                <c:pt idx="20">
                  <c:v>410.2560187102053</c:v>
                </c:pt>
                <c:pt idx="21">
                  <c:v>448.3042846493662</c:v>
                </c:pt>
                <c:pt idx="22">
                  <c:v>487.83966506572091</c:v>
                </c:pt>
                <c:pt idx="23">
                  <c:v>528.84563104213998</c:v>
                </c:pt>
                <c:pt idx="24">
                  <c:v>571.3063124698208</c:v>
                </c:pt>
                <c:pt idx="25">
                  <c:v>615.20643983734351</c:v>
                </c:pt>
                <c:pt idx="26">
                  <c:v>660.53129344084914</c:v>
                </c:pt>
                <c:pt idx="27">
                  <c:v>707.26665881202996</c:v>
                </c:pt>
                <c:pt idx="28">
                  <c:v>755.39878739401581</c:v>
                </c:pt>
                <c:pt idx="29">
                  <c:v>804.91436167654319</c:v>
                </c:pt>
                <c:pt idx="30">
                  <c:v>855.80046414397907</c:v>
                </c:pt>
                <c:pt idx="31">
                  <c:v>908.04454950235447</c:v>
                </c:pt>
                <c:pt idx="32">
                  <c:v>961.63441974147497</c:v>
                </c:pt>
                <c:pt idx="33">
                  <c:v>1016.5582016605618</c:v>
                </c:pt>
                <c:pt idx="34">
                  <c:v>1072.8043265445654</c:v>
                </c:pt>
                <c:pt idx="35">
                  <c:v>1130.361511726275</c:v>
                </c:pt>
                <c:pt idx="36">
                  <c:v>1189.2187438087144</c:v>
                </c:pt>
                <c:pt idx="37">
                  <c:v>1249.3652633549702</c:v>
                </c:pt>
                <c:pt idx="38">
                  <c:v>1310.7905508796703</c:v>
                </c:pt>
                <c:pt idx="39">
                  <c:v>1373.4843139990301</c:v>
                </c:pt>
                <c:pt idx="40">
                  <c:v>1437.4364756154696</c:v>
                </c:pt>
                <c:pt idx="41">
                  <c:v>1502.637163028865</c:v>
                </c:pt>
                <c:pt idx="42">
                  <c:v>1569.076697880206</c:v>
                </c:pt>
                <c:pt idx="43">
                  <c:v>1636.7455868450475</c:v>
                </c:pt>
                <c:pt idx="44">
                  <c:v>1705.6345130041389</c:v>
                </c:pt>
                <c:pt idx="45">
                  <c:v>1775.7343278271285</c:v>
                </c:pt>
                <c:pt idx="46">
                  <c:v>1847.0360437126717</c:v>
                </c:pt>
                <c:pt idx="47">
                  <c:v>1919.5308270346168</c:v>
                </c:pt>
                <c:pt idx="48">
                  <c:v>1993.2099916495263</c:v>
                </c:pt>
                <c:pt idx="49">
                  <c:v>2068.0649928255652</c:v>
                </c:pt>
                <c:pt idx="50">
                  <c:v>2144.0874215570734</c:v>
                </c:pt>
                <c:pt idx="51">
                  <c:v>2221.268999232766</c:v>
                </c:pt>
                <c:pt idx="52">
                  <c:v>2299.6015726288197</c:v>
                </c:pt>
                <c:pt idx="53">
                  <c:v>2379.0771092009022</c:v>
                </c:pt>
                <c:pt idx="54">
                  <c:v>2459.6876926517921</c:v>
                </c:pt>
                <c:pt idx="55">
                  <c:v>2541.4255187533781</c:v>
                </c:pt>
                <c:pt idx="56">
                  <c:v>2624.2828914039783</c:v>
                </c:pt>
                <c:pt idx="57">
                  <c:v>2708.2522189034603</c:v>
                </c:pt>
                <c:pt idx="58">
                  <c:v>2793.3260104304613</c:v>
                </c:pt>
                <c:pt idx="59">
                  <c:v>2879.4968727071828</c:v>
                </c:pt>
                <c:pt idx="60">
                  <c:v>2966.7575068387109</c:v>
                </c:pt>
                <c:pt idx="61">
                  <c:v>3055.1007053147691</c:v>
                </c:pt>
                <c:pt idx="62">
                  <c:v>3144.5193491629175</c:v>
                </c:pt>
                <c:pt idx="63">
                  <c:v>3235.0064052431439</c:v>
                </c:pt>
                <c:pt idx="64">
                  <c:v>3326.5549236745119</c:v>
                </c:pt>
                <c:pt idx="65">
                  <c:v>3419.1580353854088</c:v>
                </c:pt>
                <c:pt idx="66">
                  <c:v>3512.8089497795186</c:v>
                </c:pt>
                <c:pt idx="67">
                  <c:v>3607.5009525102937</c:v>
                </c:pt>
                <c:pt idx="68">
                  <c:v>3703.2274033572617</c:v>
                </c:pt>
                <c:pt idx="69">
                  <c:v>3799.981734197976</c:v>
                </c:pt>
                <c:pt idx="70">
                  <c:v>3897.7574470699005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ExpPwLaw'!$AA$7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ExpPwLaw'!$AA$8:$AA$78</c:f>
              <c:numCache>
                <c:formatCode>0</c:formatCode>
                <c:ptCount val="71"/>
                <c:pt idx="0">
                  <c:v>0</c:v>
                </c:pt>
                <c:pt idx="1">
                  <c:v>3.6038933026031066E-5</c:v>
                </c:pt>
                <c:pt idx="2">
                  <c:v>2.9809101669276772E-3</c:v>
                </c:pt>
                <c:pt idx="3">
                  <c:v>3.6314279230775195E-2</c:v>
                </c:pt>
                <c:pt idx="4">
                  <c:v>0.20194350472933142</c:v>
                </c:pt>
                <c:pt idx="5">
                  <c:v>0.73074472879892316</c:v>
                </c:pt>
                <c:pt idx="6">
                  <c:v>2.0149416166168534</c:v>
                </c:pt>
                <c:pt idx="7">
                  <c:v>4.6057632831160014</c:v>
                </c:pt>
                <c:pt idx="8">
                  <c:v>9.1773852864579926</c:v>
                </c:pt>
                <c:pt idx="9">
                  <c:v>16.466415957635853</c:v>
                </c:pt>
                <c:pt idx="10">
                  <c:v>27.199367447468546</c:v>
                </c:pt>
                <c:pt idx="11">
                  <c:v>42.020133841212385</c:v>
                </c:pt>
                <c:pt idx="12">
                  <c:v>61.427044058946052</c:v>
                </c:pt>
                <c:pt idx="13">
                  <c:v>85.725793719949607</c:v>
                </c:pt>
                <c:pt idx="14">
                  <c:v>115.00131351986445</c:v>
                </c:pt>
                <c:pt idx="15">
                  <c:v>149.10887509269799</c:v>
                </c:pt>
                <c:pt idx="16">
                  <c:v>187.68267708306851</c:v>
                </c:pt>
                <c:pt idx="17">
                  <c:v>230.15882494332973</c:v>
                </c:pt>
                <c:pt idx="18">
                  <c:v>275.80894310680929</c:v>
                </c:pt>
                <c:pt idx="19">
                  <c:v>323.78051117173976</c:v>
                </c:pt>
                <c:pt idx="20">
                  <c:v>373.14025467737366</c:v>
                </c:pt>
                <c:pt idx="21">
                  <c:v>422.91741122536547</c:v>
                </c:pt>
                <c:pt idx="22">
                  <c:v>472.14431867434485</c:v>
                </c:pt>
                <c:pt idx="23">
                  <c:v>519.89244280272931</c:v>
                </c:pt>
                <c:pt idx="24">
                  <c:v>565.30261076881345</c:v>
                </c:pt>
                <c:pt idx="25">
                  <c:v>607.60879984198721</c:v>
                </c:pt>
                <c:pt idx="26">
                  <c:v>646.15532290459316</c:v>
                </c:pt>
                <c:pt idx="27">
                  <c:v>680.40764246584752</c:v>
                </c:pt>
                <c:pt idx="28">
                  <c:v>709.95733347201599</c:v>
                </c:pt>
                <c:pt idx="29">
                  <c:v>734.521909414888</c:v>
                </c:pt>
                <c:pt idx="30">
                  <c:v>753.94033793284837</c:v>
                </c:pt>
                <c:pt idx="31">
                  <c:v>768.16511524919326</c:v>
                </c:pt>
                <c:pt idx="32">
                  <c:v>777.25175791031961</c:v>
                </c:pt>
                <c:pt idx="33">
                  <c:v>781.34651925873322</c:v>
                </c:pt>
                <c:pt idx="34">
                  <c:v>780.67305943461292</c:v>
                </c:pt>
                <c:pt idx="35">
                  <c:v>775.51870222164143</c:v>
                </c:pt>
                <c:pt idx="36">
                  <c:v>766.2208086018826</c:v>
                </c:pt>
                <c:pt idx="37">
                  <c:v>753.15369243077168</c:v>
                </c:pt>
                <c:pt idx="38">
                  <c:v>736.71640339469513</c:v>
                </c:pt>
                <c:pt idx="39">
                  <c:v>717.32161001820612</c:v>
                </c:pt>
                <c:pt idx="40">
                  <c:v>695.38573326679045</c:v>
                </c:pt>
                <c:pt idx="41">
                  <c:v>671.32041048127701</c:v>
                </c:pt>
                <c:pt idx="42">
                  <c:v>645.52531036640892</c:v>
                </c:pt>
                <c:pt idx="43">
                  <c:v>618.38227228239714</c:v>
                </c:pt>
                <c:pt idx="44">
                  <c:v>590.25070644329355</c:v>
                </c:pt>
                <c:pt idx="45">
                  <c:v>561.46416479814889</c:v>
                </c:pt>
                <c:pt idx="46">
                  <c:v>532.32797417643189</c:v>
                </c:pt>
                <c:pt idx="47">
                  <c:v>503.11781246129215</c:v>
                </c:pt>
                <c:pt idx="48">
                  <c:v>474.0791038593245</c:v>
                </c:pt>
                <c:pt idx="49">
                  <c:v>445.42710956706748</c:v>
                </c:pt>
                <c:pt idx="50">
                  <c:v>417.3475941900283</c:v>
                </c:pt>
                <c:pt idx="51">
                  <c:v>389.99795516397228</c:v>
                </c:pt>
                <c:pt idx="52">
                  <c:v>363.50871130201887</c:v>
                </c:pt>
                <c:pt idx="53">
                  <c:v>337.98525671652999</c:v>
                </c:pt>
                <c:pt idx="54">
                  <c:v>313.50979713974499</c:v>
                </c:pt>
                <c:pt idx="55">
                  <c:v>290.14339660749249</c:v>
                </c:pt>
                <c:pt idx="56">
                  <c:v>267.9280731990977</c:v>
                </c:pt>
                <c:pt idx="57">
                  <c:v>246.88889276151531</c:v>
                </c:pt>
                <c:pt idx="58">
                  <c:v>227.03601908627545</c:v>
                </c:pt>
                <c:pt idx="59">
                  <c:v>208.36668772221935</c:v>
                </c:pt>
                <c:pt idx="60">
                  <c:v>190.86707842069254</c:v>
                </c:pt>
                <c:pt idx="61">
                  <c:v>174.51406809321972</c:v>
                </c:pt>
                <c:pt idx="62">
                  <c:v>159.27685212135557</c:v>
                </c:pt>
                <c:pt idx="63">
                  <c:v>145.11842692723565</c:v>
                </c:pt>
                <c:pt idx="64">
                  <c:v>131.99693094386228</c:v>
                </c:pt>
                <c:pt idx="65">
                  <c:v>119.86684458157391</c:v>
                </c:pt>
                <c:pt idx="66">
                  <c:v>108.68005254465882</c:v>
                </c:pt>
                <c:pt idx="67">
                  <c:v>98.386773986417779</c:v>
                </c:pt>
                <c:pt idx="68">
                  <c:v>88.936367579308637</c:v>
                </c:pt>
                <c:pt idx="69">
                  <c:v>80.278019694271237</c:v>
                </c:pt>
                <c:pt idx="70">
                  <c:v>72.361324601227906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1220.2615761355837</c:v>
                      </c:pt>
                      <c:pt idx="1">
                        <c:v>1220.4012082053637</c:v>
                      </c:pt>
                      <c:pt idx="2">
                        <c:v>1222.6979835519267</c:v>
                      </c:pt>
                      <c:pt idx="3">
                        <c:v>1232.484509182435</c:v>
                      </c:pt>
                      <c:pt idx="4">
                        <c:v>1257.0715404211558</c:v>
                      </c:pt>
                      <c:pt idx="5">
                        <c:v>1304.0745904949958</c:v>
                      </c:pt>
                      <c:pt idx="6">
                        <c:v>1380.1590719512967</c:v>
                      </c:pt>
                      <c:pt idx="7">
                        <c:v>1490.260451387149</c:v>
                      </c:pt>
                      <c:pt idx="8">
                        <c:v>1637.2100337093098</c:v>
                      </c:pt>
                      <c:pt idx="9">
                        <c:v>1821.6688472731457</c:v>
                      </c:pt>
                      <c:pt idx="10">
                        <c:v>2042.2755153096441</c:v>
                      </c:pt>
                      <c:pt idx="11">
                        <c:v>2295.928211496403</c:v>
                      </c:pt>
                      <c:pt idx="12">
                        <c:v>2578.1376311398662</c:v>
                      </c:pt>
                      <c:pt idx="13">
                        <c:v>2883.403941107209</c:v>
                      </c:pt>
                      <c:pt idx="14">
                        <c:v>3205.584552963513</c:v>
                      </c:pt>
                      <c:pt idx="15">
                        <c:v>3538.230912824888</c:v>
                      </c:pt>
                      <c:pt idx="16">
                        <c:v>3874.881389662256</c:v>
                      </c:pt>
                      <c:pt idx="17">
                        <c:v>4209.3040421761916</c:v>
                      </c:pt>
                      <c:pt idx="18">
                        <c:v>4535.687894104316</c:v>
                      </c:pt>
                      <c:pt idx="19">
                        <c:v>4848.7846945836864</c:v>
                      </c:pt>
                      <c:pt idx="20">
                        <c:v>5144.005302238269</c:v>
                      </c:pt>
                      <c:pt idx="21">
                        <c:v>5417.4760863588335</c:v>
                      </c:pt>
                      <c:pt idx="22">
                        <c:v>5666.0613187703311</c:v>
                      </c:pt>
                      <c:pt idx="23">
                        <c:v>5887.3576257724217</c:v>
                      </c:pt>
                      <c:pt idx="24">
                        <c:v>6079.6663322359827</c:v>
                      </c:pt>
                      <c:pt idx="25">
                        <c:v>6241.9490773674579</c:v>
                      </c:pt>
                      <c:pt idx="26">
                        <c:v>6373.7715034432022</c:v>
                      </c:pt>
                      <c:pt idx="27">
                        <c:v>6475.2391814314879</c:v>
                      </c:pt>
                      <c:pt idx="28">
                        <c:v>6546.9292886673002</c:v>
                      </c:pt>
                      <c:pt idx="29">
                        <c:v>6589.8209266873955</c:v>
                      </c:pt>
                      <c:pt idx="30">
                        <c:v>6605.2263835930798</c:v>
                      </c:pt>
                      <c:pt idx="31">
                        <c:v>6594.7251178091483</c:v>
                      </c:pt>
                      <c:pt idx="32">
                        <c:v>6560.1017752991565</c:v>
                      </c:pt>
                      <c:pt idx="33">
                        <c:v>6503.2891519471823</c:v>
                      </c:pt>
                      <c:pt idx="34">
                        <c:v>6426.3166754117537</c:v>
                      </c:pt>
                      <c:pt idx="35">
                        <c:v>6331.2647026062268</c:v>
                      </c:pt>
                      <c:pt idx="36">
                        <c:v>6220.2247050192109</c:v>
                      </c:pt>
                      <c:pt idx="37">
                        <c:v>6095.2652385932133</c:v>
                      </c:pt>
                      <c:pt idx="38">
                        <c:v>5958.4034617970856</c:v>
                      </c:pt>
                      <c:pt idx="39">
                        <c:v>5811.5818688816844</c:v>
                      </c:pt>
                      <c:pt idx="40">
                        <c:v>5656.6498393985275</c:v>
                      </c:pt>
                      <c:pt idx="41">
                        <c:v>5495.3495646060837</c:v>
                      </c:pt>
                      <c:pt idx="42">
                        <c:v>5329.3058916033315</c:v>
                      </c:pt>
                      <c:pt idx="43">
                        <c:v>5160.0196226674607</c:v>
                      </c:pt>
                      <c:pt idx="44">
                        <c:v>4988.8638166238979</c:v>
                      </c:pt>
                      <c:pt idx="45">
                        <c:v>4817.0826579584073</c:v>
                      </c:pt>
                      <c:pt idx="46">
                        <c:v>4645.7924851008993</c:v>
                      </c:pt>
                      <c:pt idx="47">
                        <c:v>4475.9845996287995</c:v>
                      </c:pt>
                      <c:pt idx="48">
                        <c:v>4308.5295112210906</c:v>
                      </c:pt>
                      <c:pt idx="49">
                        <c:v>4144.182307568366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137.61447886869882</c:v>
                      </c:pt>
                      <c:pt idx="13">
                        <c:v>442.8807888360418</c:v>
                      </c:pt>
                      <c:pt idx="14">
                        <c:v>765.06140069234561</c:v>
                      </c:pt>
                      <c:pt idx="15">
                        <c:v>1097.7077605537206</c:v>
                      </c:pt>
                      <c:pt idx="16">
                        <c:v>1434.3582373910886</c:v>
                      </c:pt>
                      <c:pt idx="17">
                        <c:v>1768.7808899050242</c:v>
                      </c:pt>
                      <c:pt idx="18">
                        <c:v>2095.1647418331486</c:v>
                      </c:pt>
                      <c:pt idx="19">
                        <c:v>2408.2615423125194</c:v>
                      </c:pt>
                      <c:pt idx="20">
                        <c:v>2703.482149967102</c:v>
                      </c:pt>
                      <c:pt idx="21">
                        <c:v>2976.9529340876661</c:v>
                      </c:pt>
                      <c:pt idx="22">
                        <c:v>3225.5381664991637</c:v>
                      </c:pt>
                      <c:pt idx="23">
                        <c:v>3446.8344735012543</c:v>
                      </c:pt>
                      <c:pt idx="24">
                        <c:v>3639.1431799648153</c:v>
                      </c:pt>
                      <c:pt idx="25">
                        <c:v>3801.4259250962905</c:v>
                      </c:pt>
                      <c:pt idx="26">
                        <c:v>3933.2483511720347</c:v>
                      </c:pt>
                      <c:pt idx="27">
                        <c:v>4034.7160291603204</c:v>
                      </c:pt>
                      <c:pt idx="28">
                        <c:v>4106.4061363961328</c:v>
                      </c:pt>
                      <c:pt idx="29">
                        <c:v>4149.2977744162281</c:v>
                      </c:pt>
                      <c:pt idx="30">
                        <c:v>4164.7032313219124</c:v>
                      </c:pt>
                      <c:pt idx="31">
                        <c:v>4154.2019655379809</c:v>
                      </c:pt>
                      <c:pt idx="32">
                        <c:v>4119.5786230279891</c:v>
                      </c:pt>
                      <c:pt idx="33">
                        <c:v>4062.7659996760149</c:v>
                      </c:pt>
                      <c:pt idx="34">
                        <c:v>3985.7935231405863</c:v>
                      </c:pt>
                      <c:pt idx="35">
                        <c:v>3890.7415503350594</c:v>
                      </c:pt>
                      <c:pt idx="36">
                        <c:v>3779.7015527480435</c:v>
                      </c:pt>
                      <c:pt idx="37">
                        <c:v>3654.7420863220459</c:v>
                      </c:pt>
                      <c:pt idx="38">
                        <c:v>3517.8803095259182</c:v>
                      </c:pt>
                      <c:pt idx="39">
                        <c:v>3371.058716610517</c:v>
                      </c:pt>
                      <c:pt idx="40">
                        <c:v>3216.1266871273601</c:v>
                      </c:pt>
                      <c:pt idx="41">
                        <c:v>3054.8264123349163</c:v>
                      </c:pt>
                      <c:pt idx="42">
                        <c:v>2888.7827393321641</c:v>
                      </c:pt>
                      <c:pt idx="43">
                        <c:v>2719.4964703962933</c:v>
                      </c:pt>
                      <c:pt idx="44">
                        <c:v>2548.3406643527301</c:v>
                      </c:pt>
                      <c:pt idx="45">
                        <c:v>2376.5595056872398</c:v>
                      </c:pt>
                      <c:pt idx="46">
                        <c:v>2205.2693328297314</c:v>
                      </c:pt>
                      <c:pt idx="47">
                        <c:v>2035.4614473576321</c:v>
                      </c:pt>
                      <c:pt idx="48">
                        <c:v>1868.0063589499232</c:v>
                      </c:pt>
                      <c:pt idx="49">
                        <c:v>1703.6591552971986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557.27075024032013</c:v>
                      </c:pt>
                      <c:pt idx="1">
                        <c:v>558.96288420537769</c:v>
                      </c:pt>
                      <c:pt idx="2">
                        <c:v>563.3207361251541</c:v>
                      </c:pt>
                      <c:pt idx="3">
                        <c:v>570.01263488147231</c:v>
                      </c:pt>
                      <c:pt idx="4">
                        <c:v>578.87860058047136</c:v>
                      </c:pt>
                      <c:pt idx="5">
                        <c:v>589.81146904690513</c:v>
                      </c:pt>
                      <c:pt idx="6">
                        <c:v>602.73064791983268</c:v>
                      </c:pt>
                      <c:pt idx="7">
                        <c:v>617.57153510020976</c:v>
                      </c:pt>
                      <c:pt idx="8">
                        <c:v>634.28018423785488</c:v>
                      </c:pt>
                      <c:pt idx="9">
                        <c:v>652.81024225806505</c:v>
                      </c:pt>
                      <c:pt idx="10">
                        <c:v>673.12103176892765</c:v>
                      </c:pt>
                      <c:pt idx="11">
                        <c:v>695.17627271140839</c:v>
                      </c:pt>
                      <c:pt idx="12">
                        <c:v>718.94318865819866</c:v>
                      </c:pt>
                      <c:pt idx="13">
                        <c:v>744.39185820785622</c:v>
                      </c:pt>
                      <c:pt idx="14">
                        <c:v>771.49472980289693</c:v>
                      </c:pt>
                      <c:pt idx="15">
                        <c:v>800.22624961344286</c:v>
                      </c:pt>
                      <c:pt idx="16">
                        <c:v>830.56257008114846</c:v>
                      </c:pt>
                      <c:pt idx="17">
                        <c:v>862.4813175147458</c:v>
                      </c:pt>
                      <c:pt idx="18">
                        <c:v>895.96140388629919</c:v>
                      </c:pt>
                      <c:pt idx="19">
                        <c:v>930.98287235337932</c:v>
                      </c:pt>
                      <c:pt idx="20">
                        <c:v>967.52676895052537</c:v>
                      </c:pt>
                      <c:pt idx="21">
                        <c:v>1005.5750348896863</c:v>
                      </c:pt>
                      <c:pt idx="22">
                        <c:v>1045.110415306041</c:v>
                      </c:pt>
                      <c:pt idx="23">
                        <c:v>1086.1163812824602</c:v>
                      </c:pt>
                      <c:pt idx="24">
                        <c:v>1128.577062710141</c:v>
                      </c:pt>
                      <c:pt idx="25">
                        <c:v>1172.4771900776636</c:v>
                      </c:pt>
                      <c:pt idx="26">
                        <c:v>1217.8020436811694</c:v>
                      </c:pt>
                      <c:pt idx="27">
                        <c:v>1264.5374090523501</c:v>
                      </c:pt>
                      <c:pt idx="28">
                        <c:v>1312.6695376343359</c:v>
                      </c:pt>
                      <c:pt idx="29">
                        <c:v>1362.1851119168632</c:v>
                      </c:pt>
                      <c:pt idx="30">
                        <c:v>1413.0712143842993</c:v>
                      </c:pt>
                      <c:pt idx="31">
                        <c:v>1465.3152997426746</c:v>
                      </c:pt>
                      <c:pt idx="32">
                        <c:v>1518.9051699817951</c:v>
                      </c:pt>
                      <c:pt idx="33">
                        <c:v>1573.828951900882</c:v>
                      </c:pt>
                      <c:pt idx="34">
                        <c:v>1630.0750767848854</c:v>
                      </c:pt>
                      <c:pt idx="35">
                        <c:v>1687.6322619665953</c:v>
                      </c:pt>
                      <c:pt idx="36">
                        <c:v>1746.4894940490344</c:v>
                      </c:pt>
                      <c:pt idx="37">
                        <c:v>1806.6360135952905</c:v>
                      </c:pt>
                      <c:pt idx="38">
                        <c:v>1868.0613011199903</c:v>
                      </c:pt>
                      <c:pt idx="39">
                        <c:v>1930.7550642393503</c:v>
                      </c:pt>
                      <c:pt idx="40">
                        <c:v>1994.7072258557896</c:v>
                      </c:pt>
                      <c:pt idx="41">
                        <c:v>2059.907913269185</c:v>
                      </c:pt>
                      <c:pt idx="42">
                        <c:v>2126.3474481205262</c:v>
                      </c:pt>
                      <c:pt idx="43">
                        <c:v>2194.0163370853675</c:v>
                      </c:pt>
                      <c:pt idx="44">
                        <c:v>2262.9052632444591</c:v>
                      </c:pt>
                      <c:pt idx="45">
                        <c:v>2333.0050780674487</c:v>
                      </c:pt>
                      <c:pt idx="46">
                        <c:v>2404.3067939529919</c:v>
                      </c:pt>
                      <c:pt idx="47">
                        <c:v>2476.8015772749368</c:v>
                      </c:pt>
                      <c:pt idx="48">
                        <c:v>2550.4807418898463</c:v>
                      </c:pt>
                      <c:pt idx="49">
                        <c:v>2625.3357430658853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14.03556222950067</c:v>
                      </c:pt>
                      <c:pt idx="25">
                        <c:v>57.935689597023384</c:v>
                      </c:pt>
                      <c:pt idx="26">
                        <c:v>103.26054320052901</c:v>
                      </c:pt>
                      <c:pt idx="27">
                        <c:v>149.99590857170983</c:v>
                      </c:pt>
                      <c:pt idx="28">
                        <c:v>198.12803715369569</c:v>
                      </c:pt>
                      <c:pt idx="29">
                        <c:v>247.64361143622307</c:v>
                      </c:pt>
                      <c:pt idx="30">
                        <c:v>298.52971390365894</c:v>
                      </c:pt>
                      <c:pt idx="31">
                        <c:v>350.77379926203434</c:v>
                      </c:pt>
                      <c:pt idx="32">
                        <c:v>404.36366950115485</c:v>
                      </c:pt>
                      <c:pt idx="33">
                        <c:v>459.28745142024172</c:v>
                      </c:pt>
                      <c:pt idx="34">
                        <c:v>515.53357630424523</c:v>
                      </c:pt>
                      <c:pt idx="35">
                        <c:v>573.09076148595489</c:v>
                      </c:pt>
                      <c:pt idx="36">
                        <c:v>631.94799356839428</c:v>
                      </c:pt>
                      <c:pt idx="37">
                        <c:v>692.09451311465011</c:v>
                      </c:pt>
                      <c:pt idx="38">
                        <c:v>753.51980063935014</c:v>
                      </c:pt>
                      <c:pt idx="39">
                        <c:v>816.21356375870994</c:v>
                      </c:pt>
                      <c:pt idx="40">
                        <c:v>880.16572537514946</c:v>
                      </c:pt>
                      <c:pt idx="41">
                        <c:v>945.36641278854484</c:v>
                      </c:pt>
                      <c:pt idx="42">
                        <c:v>1011.8059476398859</c:v>
                      </c:pt>
                      <c:pt idx="43">
                        <c:v>1079.4748366047274</c:v>
                      </c:pt>
                      <c:pt idx="44">
                        <c:v>1148.3637627638186</c:v>
                      </c:pt>
                      <c:pt idx="45">
                        <c:v>1218.4635775868082</c:v>
                      </c:pt>
                      <c:pt idx="46">
                        <c:v>1289.7652934723515</c:v>
                      </c:pt>
                      <c:pt idx="47">
                        <c:v>1362.2600767942968</c:v>
                      </c:pt>
                      <c:pt idx="48">
                        <c:v>1435.9392414092063</c:v>
                      </c:pt>
                      <c:pt idx="49">
                        <c:v>1510.7942425852452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145.30412522783331</c:v>
                      </c:pt>
                      <c:pt idx="1">
                        <c:v>145.30416126676633</c:v>
                      </c:pt>
                      <c:pt idx="2">
                        <c:v>145.30710613800025</c:v>
                      </c:pt>
                      <c:pt idx="3">
                        <c:v>145.34043950706408</c:v>
                      </c:pt>
                      <c:pt idx="4">
                        <c:v>145.50606873256265</c:v>
                      </c:pt>
                      <c:pt idx="5">
                        <c:v>146.03486995663224</c:v>
                      </c:pt>
                      <c:pt idx="6">
                        <c:v>147.31906684445016</c:v>
                      </c:pt>
                      <c:pt idx="7">
                        <c:v>149.90988851094932</c:v>
                      </c:pt>
                      <c:pt idx="8">
                        <c:v>154.4815105142913</c:v>
                      </c:pt>
                      <c:pt idx="9">
                        <c:v>161.77054118546917</c:v>
                      </c:pt>
                      <c:pt idx="10">
                        <c:v>172.50349267530186</c:v>
                      </c:pt>
                      <c:pt idx="11">
                        <c:v>187.3242590690457</c:v>
                      </c:pt>
                      <c:pt idx="12">
                        <c:v>206.73116928677936</c:v>
                      </c:pt>
                      <c:pt idx="13">
                        <c:v>231.0299189477829</c:v>
                      </c:pt>
                      <c:pt idx="14">
                        <c:v>260.30543874769774</c:v>
                      </c:pt>
                      <c:pt idx="15">
                        <c:v>294.4130003205313</c:v>
                      </c:pt>
                      <c:pt idx="16">
                        <c:v>332.98680231090179</c:v>
                      </c:pt>
                      <c:pt idx="17">
                        <c:v>375.46295017116302</c:v>
                      </c:pt>
                      <c:pt idx="18">
                        <c:v>421.11306833464261</c:v>
                      </c:pt>
                      <c:pt idx="19">
                        <c:v>469.08463639957307</c:v>
                      </c:pt>
                      <c:pt idx="20">
                        <c:v>518.44437990520692</c:v>
                      </c:pt>
                      <c:pt idx="21">
                        <c:v>568.22153645319872</c:v>
                      </c:pt>
                      <c:pt idx="22">
                        <c:v>617.44844390217816</c:v>
                      </c:pt>
                      <c:pt idx="23">
                        <c:v>665.19656803056262</c:v>
                      </c:pt>
                      <c:pt idx="24">
                        <c:v>710.60673599664676</c:v>
                      </c:pt>
                      <c:pt idx="25">
                        <c:v>752.91292506982052</c:v>
                      </c:pt>
                      <c:pt idx="26">
                        <c:v>791.45944813242647</c:v>
                      </c:pt>
                      <c:pt idx="27">
                        <c:v>825.71176769368083</c:v>
                      </c:pt>
                      <c:pt idx="28">
                        <c:v>855.2614586998493</c:v>
                      </c:pt>
                      <c:pt idx="29">
                        <c:v>879.82603464272131</c:v>
                      </c:pt>
                      <c:pt idx="30">
                        <c:v>899.24446316068168</c:v>
                      </c:pt>
                      <c:pt idx="31">
                        <c:v>913.46924047702657</c:v>
                      </c:pt>
                      <c:pt idx="32">
                        <c:v>922.55588313815292</c:v>
                      </c:pt>
                      <c:pt idx="33">
                        <c:v>926.65064448656653</c:v>
                      </c:pt>
                      <c:pt idx="34">
                        <c:v>925.97718466244623</c:v>
                      </c:pt>
                      <c:pt idx="35">
                        <c:v>920.82282744947474</c:v>
                      </c:pt>
                      <c:pt idx="36">
                        <c:v>911.52493382971591</c:v>
                      </c:pt>
                      <c:pt idx="37">
                        <c:v>898.45781765860499</c:v>
                      </c:pt>
                      <c:pt idx="38">
                        <c:v>882.02052862252845</c:v>
                      </c:pt>
                      <c:pt idx="39">
                        <c:v>862.62573524603943</c:v>
                      </c:pt>
                      <c:pt idx="40">
                        <c:v>840.68985849462376</c:v>
                      </c:pt>
                      <c:pt idx="41">
                        <c:v>816.62453570911032</c:v>
                      </c:pt>
                      <c:pt idx="42">
                        <c:v>790.82943559424223</c:v>
                      </c:pt>
                      <c:pt idx="43">
                        <c:v>763.68639751023045</c:v>
                      </c:pt>
                      <c:pt idx="44">
                        <c:v>735.55483167112686</c:v>
                      </c:pt>
                      <c:pt idx="45">
                        <c:v>706.7682900259822</c:v>
                      </c:pt>
                      <c:pt idx="46">
                        <c:v>677.6320994042652</c:v>
                      </c:pt>
                      <c:pt idx="47">
                        <c:v>648.42193768912546</c:v>
                      </c:pt>
                      <c:pt idx="48">
                        <c:v>619.38322908715782</c:v>
                      </c:pt>
                      <c:pt idx="49">
                        <c:v>590.73123479490073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3.8047498648646751</c:v>
                      </c:pt>
                      <c:pt idx="16">
                        <c:v>42.378551855235202</c:v>
                      </c:pt>
                      <c:pt idx="17">
                        <c:v>84.854699715496423</c:v>
                      </c:pt>
                      <c:pt idx="18">
                        <c:v>130.50481787897598</c:v>
                      </c:pt>
                      <c:pt idx="19">
                        <c:v>178.47638594390645</c:v>
                      </c:pt>
                      <c:pt idx="20">
                        <c:v>227.83612944954035</c:v>
                      </c:pt>
                      <c:pt idx="21">
                        <c:v>277.61328599753216</c:v>
                      </c:pt>
                      <c:pt idx="22">
                        <c:v>326.84019344651153</c:v>
                      </c:pt>
                      <c:pt idx="23">
                        <c:v>374.588317574896</c:v>
                      </c:pt>
                      <c:pt idx="24">
                        <c:v>419.99848554098014</c:v>
                      </c:pt>
                      <c:pt idx="25">
                        <c:v>462.3046746141539</c:v>
                      </c:pt>
                      <c:pt idx="26">
                        <c:v>500.85119767675985</c:v>
                      </c:pt>
                      <c:pt idx="27">
                        <c:v>535.10351723801421</c:v>
                      </c:pt>
                      <c:pt idx="28">
                        <c:v>564.65320824418268</c:v>
                      </c:pt>
                      <c:pt idx="29">
                        <c:v>589.21778418705469</c:v>
                      </c:pt>
                      <c:pt idx="30">
                        <c:v>608.63621270501505</c:v>
                      </c:pt>
                      <c:pt idx="31">
                        <c:v>622.86099002135995</c:v>
                      </c:pt>
                      <c:pt idx="32">
                        <c:v>631.9476326824863</c:v>
                      </c:pt>
                      <c:pt idx="33">
                        <c:v>636.04239403089991</c:v>
                      </c:pt>
                      <c:pt idx="34">
                        <c:v>635.36893420677961</c:v>
                      </c:pt>
                      <c:pt idx="35">
                        <c:v>630.21457699380812</c:v>
                      </c:pt>
                      <c:pt idx="36">
                        <c:v>620.91668337404928</c:v>
                      </c:pt>
                      <c:pt idx="37">
                        <c:v>607.84956720293837</c:v>
                      </c:pt>
                      <c:pt idx="38">
                        <c:v>591.41227816686182</c:v>
                      </c:pt>
                      <c:pt idx="39">
                        <c:v>572.01748479037281</c:v>
                      </c:pt>
                      <c:pt idx="40">
                        <c:v>550.08160803895714</c:v>
                      </c:pt>
                      <c:pt idx="41">
                        <c:v>526.0162852534437</c:v>
                      </c:pt>
                      <c:pt idx="42">
                        <c:v>500.22118513857561</c:v>
                      </c:pt>
                      <c:pt idx="43">
                        <c:v>473.07814705456383</c:v>
                      </c:pt>
                      <c:pt idx="44">
                        <c:v>444.94658121546024</c:v>
                      </c:pt>
                      <c:pt idx="45">
                        <c:v>416.16003957031558</c:v>
                      </c:pt>
                      <c:pt idx="46">
                        <c:v>387.02384894859858</c:v>
                      </c:pt>
                      <c:pt idx="47">
                        <c:v>357.81368723345884</c:v>
                      </c:pt>
                      <c:pt idx="48">
                        <c:v>328.77497863149119</c:v>
                      </c:pt>
                      <c:pt idx="49">
                        <c:v>300.12298433923416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ExpPwLaw'!$E$7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8"/>
          <c:order val="4"/>
          <c:tx>
            <c:strRef>
              <c:f>'New_confirmed - ExpPwLaw'!$M$7</c:f>
              <c:strCache>
                <c:ptCount val="1"/>
                <c:pt idx="0">
                  <c:v>New_positive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ExpPwLaw'!$M$8:$M$78</c:f>
              <c:numCache>
                <c:formatCode>0</c:formatCode>
                <c:ptCount val="71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F5B-4E09-90F1-E61A18B2A20F}"/>
            </c:ext>
          </c:extLst>
        </c:ser>
        <c:ser>
          <c:idx val="10"/>
          <c:order val="6"/>
          <c:tx>
            <c:strRef>
              <c:f>'New_confirmed - ExpPwLaw'!$P$7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ExpPwLaw'!$X$7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ExpPwLaw'!$AG$38</c:f>
              <c:numCache>
                <c:formatCode>0.0000</c:formatCode>
                <c:ptCount val="1"/>
                <c:pt idx="0">
                  <c:v>0.97116808659904663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ExpPwLaw'!$AG$40</c:f>
              <c:numCache>
                <c:formatCode>0</c:formatCode>
                <c:ptCount val="1"/>
                <c:pt idx="0">
                  <c:v>145.30412522783331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ExpPwLaw'!$AF$41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ExpPwLaw'!$AG$41</c:f>
              <c:numCache>
                <c:formatCode>0</c:formatCode>
                <c:ptCount val="1"/>
                <c:pt idx="0">
                  <c:v>781.63971217744881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ExpPwLaw'!$AF$42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ExpPwLaw'!$AG$42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ExpPwLaw'!$AG$26</c:f>
              <c:numCache>
                <c:formatCode>0.0000</c:formatCode>
                <c:ptCount val="1"/>
                <c:pt idx="0">
                  <c:v>0.8898591740730819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ExpPwLaw'!$AG$28</c:f>
              <c:numCache>
                <c:formatCode>0</c:formatCode>
                <c:ptCount val="1"/>
                <c:pt idx="0">
                  <c:v>557.27075024032013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ExpPwLaw'!$AF$29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ExpPwLaw'!$AG$29</c:f>
              <c:numCache>
                <c:formatCode>0</c:formatCode>
                <c:ptCount val="1"/>
                <c:pt idx="0">
                  <c:v>243054.95668854893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ExpPwLaw'!$AF$30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ExpPwLaw'!$AG$30</c:f>
              <c:numCache>
                <c:formatCode>[$-409]mmmm\ d\,\ yyyy;@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ExpPwLaw'!$AG$14</c:f>
              <c:numCache>
                <c:formatCode>0.0000</c:formatCode>
                <c:ptCount val="1"/>
                <c:pt idx="0">
                  <c:v>0.95791856388863628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ExpPwLaw'!$AG$16</c:f>
              <c:numCache>
                <c:formatCode>0</c:formatCode>
                <c:ptCount val="1"/>
                <c:pt idx="0">
                  <c:v>1220.2615761355837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ExpPwLaw'!$AF$17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ExpPwLaw'!$AG$17</c:f>
              <c:numCache>
                <c:formatCode>0</c:formatCode>
                <c:ptCount val="1"/>
                <c:pt idx="0">
                  <c:v>5385.0557767610362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ExpPwLaw'!$AF$18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ExpPwLaw'!$AG$18</c:f>
              <c:numCache>
                <c:formatCode>[$-409]mmmm\ d\,\ yyyy;@</c:formatCode>
                <c:ptCount val="1"/>
                <c:pt idx="0">
                  <c:v>43915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image" Target="../media/image1.emf"/><Relationship Id="rId4" Type="http://schemas.openxmlformats.org/officeDocument/2006/relationships/chart" Target="../charts/chart9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20747" y="21807055"/>
          <a:ext cx="6935586" cy="6213071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31" name="Gruppo 30">
          <a:extLst>
            <a:ext uri="{FF2B5EF4-FFF2-40B4-BE49-F238E27FC236}">
              <a16:creationId xmlns:a16="http://schemas.microsoft.com/office/drawing/2014/main" id="{B57A70EB-05F2-43B2-A20E-677507A1A2BC}"/>
            </a:ext>
          </a:extLst>
        </xdr:cNvPr>
        <xdr:cNvGrpSpPr/>
      </xdr:nvGrpSpPr>
      <xdr:grpSpPr>
        <a:xfrm>
          <a:off x="23532638" y="1440873"/>
          <a:ext cx="6797040" cy="6379325"/>
          <a:chOff x="29739475" y="1440873"/>
          <a:chExt cx="6935585" cy="6296198"/>
        </a:xfrm>
      </xdr:grpSpPr>
      <xdr:graphicFrame macro="">
        <xdr:nvGraphicFramePr>
          <xdr:cNvPr id="32" name="Grafico 31">
            <a:extLst>
              <a:ext uri="{FF2B5EF4-FFF2-40B4-BE49-F238E27FC236}">
                <a16:creationId xmlns:a16="http://schemas.microsoft.com/office/drawing/2014/main" id="{BBD4254D-3BE4-4697-819B-C838F05A34E9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B8">
        <xdr:nvSpPr>
          <xdr:cNvPr id="33" name="CasellaDiTesto 32">
            <a:extLst>
              <a:ext uri="{FF2B5EF4-FFF2-40B4-BE49-F238E27FC236}">
                <a16:creationId xmlns:a16="http://schemas.microsoft.com/office/drawing/2014/main" id="{CD5A74C9-CD9C-4528-B079-1488F676FCE7}"/>
              </a:ext>
            </a:extLst>
          </xdr:cNvPr>
          <xdr:cNvSpPr txBox="1"/>
        </xdr:nvSpPr>
        <xdr:spPr>
          <a:xfrm>
            <a:off x="33049029" y="7384473"/>
            <a:ext cx="587829" cy="2404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45D5262-0BAC-46B5-80DC-680C0C6DA885}" type="TxLink">
              <a:rPr lang="en-US" sz="1100" b="0" i="0" u="none" strike="noStrike">
                <a:ln>
                  <a:noFill/>
                </a:ln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>
              <a:ln>
                <a:noFill/>
              </a:ln>
            </a:endParaRPr>
          </a:p>
        </xdr:txBody>
      </xdr:sp>
      <xdr:graphicFrame macro="">
        <xdr:nvGraphicFramePr>
          <xdr:cNvPr id="35" name="Grafico 34">
            <a:extLst>
              <a:ext uri="{FF2B5EF4-FFF2-40B4-BE49-F238E27FC236}">
                <a16:creationId xmlns:a16="http://schemas.microsoft.com/office/drawing/2014/main" id="{13BD03EE-302E-450A-8189-549E378AC614}"/>
              </a:ext>
            </a:extLst>
          </xdr:cNvPr>
          <xdr:cNvGraphicFramePr>
            <a:graphicFrameLocks/>
          </xdr:cNvGraphicFramePr>
        </xdr:nvGraphicFramePr>
        <xdr:xfrm>
          <a:off x="35270982" y="6007994"/>
          <a:ext cx="1359548" cy="10235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36" name="Grafico 35">
            <a:extLst>
              <a:ext uri="{FF2B5EF4-FFF2-40B4-BE49-F238E27FC236}">
                <a16:creationId xmlns:a16="http://schemas.microsoft.com/office/drawing/2014/main" id="{C69E4C5D-8BF8-41F5-A847-FCA9A16F63C8}"/>
              </a:ext>
            </a:extLst>
          </xdr:cNvPr>
          <xdr:cNvGraphicFramePr>
            <a:graphicFrameLocks/>
          </xdr:cNvGraphicFramePr>
        </xdr:nvGraphicFramePr>
        <xdr:xfrm>
          <a:off x="33649999" y="3396256"/>
          <a:ext cx="1549082" cy="10018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37" name="Grafico 36">
            <a:extLst>
              <a:ext uri="{FF2B5EF4-FFF2-40B4-BE49-F238E27FC236}">
                <a16:creationId xmlns:a16="http://schemas.microsoft.com/office/drawing/2014/main" id="{55A99F2A-C875-4AC3-84F4-7692E0485EC1}"/>
              </a:ext>
            </a:extLst>
          </xdr:cNvPr>
          <xdr:cNvGraphicFramePr>
            <a:graphicFrameLocks/>
          </xdr:cNvGraphicFramePr>
        </xdr:nvGraphicFramePr>
        <xdr:xfrm>
          <a:off x="30792631" y="3218494"/>
          <a:ext cx="1558636" cy="95353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42</xdr:col>
      <xdr:colOff>0</xdr:colOff>
      <xdr:row>16</xdr:row>
      <xdr:rowOff>27709</xdr:rowOff>
    </xdr:from>
    <xdr:to>
      <xdr:col>43</xdr:col>
      <xdr:colOff>563308</xdr:colOff>
      <xdr:row>20</xdr:row>
      <xdr:rowOff>119618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8D865A94-ABA7-463C-BB9A-7BF088B0D50B}"/>
                </a:ext>
              </a:extLst>
            </xdr:cNvPr>
            <xdr:cNvSpPr txBox="1"/>
          </xdr:nvSpPr>
          <xdr:spPr>
            <a:xfrm>
              <a:off x="29011418" y="3505200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8D865A94-ABA7-463C-BB9A-7BF088B0D50B}"/>
                </a:ext>
              </a:extLst>
            </xdr:cNvPr>
            <xdr:cNvSpPr txBox="1"/>
          </xdr:nvSpPr>
          <xdr:spPr>
            <a:xfrm>
              <a:off x="29011418" y="3505200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0</xdr:colOff>
      <xdr:row>2</xdr:row>
      <xdr:rowOff>0</xdr:rowOff>
    </xdr:from>
    <xdr:to>
      <xdr:col>8</xdr:col>
      <xdr:colOff>9126</xdr:colOff>
      <xdr:row>5</xdr:row>
      <xdr:rowOff>188891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sellaDiTesto 37">
              <a:extLst>
                <a:ext uri="{FF2B5EF4-FFF2-40B4-BE49-F238E27FC236}">
                  <a16:creationId xmlns:a16="http://schemas.microsoft.com/office/drawing/2014/main" id="{E41D4EE8-35B8-4BB0-87C4-64F808358992}"/>
                </a:ext>
              </a:extLst>
            </xdr:cNvPr>
            <xdr:cNvSpPr txBox="1"/>
          </xdr:nvSpPr>
          <xdr:spPr>
            <a:xfrm>
              <a:off x="5001491" y="471055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8" name="CasellaDiTesto 37">
              <a:extLst>
                <a:ext uri="{FF2B5EF4-FFF2-40B4-BE49-F238E27FC236}">
                  <a16:creationId xmlns:a16="http://schemas.microsoft.com/office/drawing/2014/main" id="{E41D4EE8-35B8-4BB0-87C4-64F808358992}"/>
                </a:ext>
              </a:extLst>
            </xdr:cNvPr>
            <xdr:cNvSpPr txBox="1"/>
          </xdr:nvSpPr>
          <xdr:spPr>
            <a:xfrm>
              <a:off x="5001491" y="471055"/>
              <a:ext cx="1172908" cy="909327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34</xdr:col>
      <xdr:colOff>318655</xdr:colOff>
      <xdr:row>11</xdr:row>
      <xdr:rowOff>124690</xdr:rowOff>
    </xdr:from>
    <xdr:to>
      <xdr:col>38</xdr:col>
      <xdr:colOff>170117</xdr:colOff>
      <xdr:row>13</xdr:row>
      <xdr:rowOff>65895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sellaDiTesto 39">
              <a:extLst>
                <a:ext uri="{FF2B5EF4-FFF2-40B4-BE49-F238E27FC236}">
                  <a16:creationId xmlns:a16="http://schemas.microsoft.com/office/drawing/2014/main" id="{C227E4C0-8DEA-4359-9764-0170906BB8C6}"/>
                </a:ext>
              </a:extLst>
            </xdr:cNvPr>
            <xdr:cNvSpPr txBox="1"/>
          </xdr:nvSpPr>
          <xdr:spPr>
            <a:xfrm>
              <a:off x="24453273" y="2673926"/>
              <a:ext cx="2289862" cy="30142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14:m>
                <m:oMath xmlns:m="http://schemas.openxmlformats.org/officeDocument/2006/math">
                  <m:r>
                    <a:rPr lang="it-IT" sz="1100" i="1">
                      <a:latin typeface="Cambria Math" panose="02040503050406030204" pitchFamily="18" charset="0"/>
                    </a:rPr>
                    <m:t>𝐶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𝑑𝑓</m:t>
                  </m:r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d>
                    <m:dPr>
                      <m:begChr m:val="["/>
                      <m:endChr m:val="]"/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</m:t>
                          </m:r>
                        </m:e>
                      </m:d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+1,</m:t>
                          </m:r>
                          <m:f>
                            <m:f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𝑡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den>
                          </m:f>
                        </m:e>
                      </m:d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40" name="CasellaDiTesto 39">
              <a:extLst>
                <a:ext uri="{FF2B5EF4-FFF2-40B4-BE49-F238E27FC236}">
                  <a16:creationId xmlns:a16="http://schemas.microsoft.com/office/drawing/2014/main" id="{C227E4C0-8DEA-4359-9764-0170906BB8C6}"/>
                </a:ext>
              </a:extLst>
            </xdr:cNvPr>
            <xdr:cNvSpPr txBox="1"/>
          </xdr:nvSpPr>
          <xdr:spPr>
            <a:xfrm>
              <a:off x="24453273" y="2673926"/>
              <a:ext cx="2289862" cy="30142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:r>
                <a:rPr lang="it-IT" sz="1100" i="0">
                  <a:latin typeface="Cambria Math" panose="02040503050406030204" pitchFamily="18" charset="0"/>
                </a:rPr>
                <a:t>𝐶</a:t>
              </a:r>
              <a:r>
                <a:rPr lang="it-IT" sz="1100" b="0" i="0">
                  <a:latin typeface="Cambria Math" panose="02040503050406030204" pitchFamily="18" charset="0"/>
                </a:rPr>
                <a:t>𝑑𝑓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latin typeface="Cambria Math" panose="02040503050406030204" pitchFamily="18" charset="0"/>
                </a:rPr>
                <a:t>𝑡_0 [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𝑤+1)−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𝑤+1,𝑡/𝑡_0 )]</a:t>
              </a:r>
              <a:endParaRPr lang="it-IT" sz="1100"/>
            </a:p>
          </xdr:txBody>
        </xdr:sp>
      </mc:Fallback>
    </mc:AlternateContent>
    <xdr:clientData/>
  </xdr:twoCellAnchor>
  <xdr:twoCellAnchor>
    <xdr:from>
      <xdr:col>41</xdr:col>
      <xdr:colOff>152400</xdr:colOff>
      <xdr:row>11</xdr:row>
      <xdr:rowOff>124691</xdr:rowOff>
    </xdr:from>
    <xdr:to>
      <xdr:col>42</xdr:col>
      <xdr:colOff>584334</xdr:colOff>
      <xdr:row>12</xdr:row>
      <xdr:rowOff>131491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asellaDiTesto 40">
              <a:extLst>
                <a:ext uri="{FF2B5EF4-FFF2-40B4-BE49-F238E27FC236}">
                  <a16:creationId xmlns:a16="http://schemas.microsoft.com/office/drawing/2014/main" id="{B51A9B38-AC07-4463-95C0-A73462D7B9E0}"/>
                </a:ext>
              </a:extLst>
            </xdr:cNvPr>
            <xdr:cNvSpPr txBox="1"/>
          </xdr:nvSpPr>
          <xdr:spPr>
            <a:xfrm>
              <a:off x="28554218" y="2673927"/>
              <a:ext cx="1041534" cy="186909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K</a:t>
              </a:r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it-IT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  <m:r>
                    <m:rPr>
                      <m:sty m:val="p"/>
                    </m:rPr>
                    <a:rPr lang="el-G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Γ</m:t>
                  </m:r>
                  <m:d>
                    <m:dPr>
                      <m:ctrlPr>
                        <a:rPr lang="el-G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𝑤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+1</m:t>
                      </m:r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41" name="CasellaDiTesto 40">
              <a:extLst>
                <a:ext uri="{FF2B5EF4-FFF2-40B4-BE49-F238E27FC236}">
                  <a16:creationId xmlns:a16="http://schemas.microsoft.com/office/drawing/2014/main" id="{B51A9B38-AC07-4463-95C0-A73462D7B9E0}"/>
                </a:ext>
              </a:extLst>
            </xdr:cNvPr>
            <xdr:cNvSpPr txBox="1"/>
          </xdr:nvSpPr>
          <xdr:spPr>
            <a:xfrm>
              <a:off x="28554218" y="2673927"/>
              <a:ext cx="1041534" cy="186909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K</a:t>
              </a:r>
              <a:r>
                <a:rPr lang="it-IT" sz="1100" b="0" i="0">
                  <a:latin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𝑘𝑡_0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Γ(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𝑤+1)</a:t>
              </a:r>
              <a:endParaRPr lang="it-IT" sz="1100"/>
            </a:p>
          </xdr:txBody>
        </xdr:sp>
      </mc:Fallback>
    </mc:AlternateContent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739475" y="1440873"/>
          <a:ext cx="6935585" cy="6296198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1120280" y="6067193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3360991" y="2547589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pic>
            <xdr:nvPicPr>
              <xdr:cNvPr id="28" name="Immagine 27">
                <a:extLst>
                  <a:ext uri="{FF2B5EF4-FFF2-40B4-BE49-F238E27FC236}">
                    <a16:creationId xmlns:a16="http://schemas.microsoft.com/office/drawing/2014/main" id="{3A828359-39A2-46B9-A588-3A9930CAB4D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2096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35218255" y="3103417"/>
                <a:ext cx="1112520" cy="95388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ExpPwLaw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51" tableType="queryTable" totalsRowShown="0">
  <autoFilter ref="A1:O51" xr:uid="{EAFD7DE5-C4A1-4C49-95BD-BF222027DF39}"/>
  <tableColumns count="15">
    <tableColumn id="1" xr3:uid="{643499DD-A92D-42E1-8C92-5126B9AB48FF}" uniqueName="1" name="data" queryTableFieldId="1" dataDxfId="65"/>
    <tableColumn id="2" xr3:uid="{FFFA4220-F53F-4BDD-BE4D-57574B5FC724}" uniqueName="2" name="stato" queryTableFieldId="2" dataDxfId="64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63"/>
    <tableColumn id="15" xr3:uid="{76DCAC03-6858-4071-83F0-4242CF5951AF}" uniqueName="15" name="note_en" queryTableFieldId="15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61">
  <autoFilter ref="B7:AD78" xr:uid="{B8C71372-AF1E-49D4-8457-F67D9BE771EB}"/>
  <tableColumns count="29">
    <tableColumn id="1" xr3:uid="{F109A47B-C010-45B9-B2B7-92F08B4181E1}" name="Date" dataDxfId="60"/>
    <tableColumn id="2" xr3:uid="{E6397626-D4E9-41D2-8D66-D6F816FA7AF9}" name="Day" dataDxfId="59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58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57">
      <calculatedColumnFormula>k*t0*_xlfn.GAMMA.DIST(Tabella211[[#This Row],[Day]]/t0,w+1,1,1)*_xlfn.GAMMA(w+1)</calculatedColumnFormula>
    </tableColumn>
    <tableColumn id="6" xr3:uid="{59DF212F-AD93-4F67-9314-22ED4BD2C67F}" name="New_cases_fit" dataDxfId="56">
      <calculatedColumnFormula>k*((Tabella211[[#This Row],[Day]]/t0)^w)*EXP(-(Tabella211[[#This Row],[Day]]/t0))</calculatedColumnFormula>
    </tableColumn>
    <tableColumn id="24" xr3:uid="{631432D1-6CBF-44AE-AA24-22DC16561674}" name="Colonna2" dataDxfId="55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54"/>
    <tableColumn id="10" xr3:uid="{26C08828-5C73-4184-BE03-FCB7AE457636}" name="New_positive" dataDxfId="53"/>
    <tableColumn id="29" xr3:uid="{B8AFAB82-B960-4EE1-B026-1E99DA3B9FA5}" name="New_positive_fit" dataDxfId="52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51"/>
    <tableColumn id="25" xr3:uid="{B5764F16-3F23-4441-85C0-396F3C7F466C}" name="Colonna3" dataDxfId="50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49">
      <calculatedColumnFormula>kr*t0r*_xlfn.GAMMA.DIST(Tabella211[[#This Row],[Day]]/t0r,wr+1,1,1)*_xlfn.GAMMA(wr+1)</calculatedColumnFormula>
    </tableColumn>
    <tableColumn id="14" xr3:uid="{242586ED-2947-45C8-9CE5-E7AB9A72B118}" name="New_Recovered_fit" dataDxfId="48">
      <calculatedColumnFormula>kr*((Tabella211[[#This Row],[Day]]/t0r)^wr)*EXP(-(Tabella211[[#This Row],[Day]]/t0r))</calculatedColumnFormula>
    </tableColumn>
    <tableColumn id="26" xr3:uid="{C0BDC4F9-7346-4F1A-B352-EC468DCD9624}" name="Colonna4" dataDxfId="47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46"/>
    <tableColumn id="27" xr3:uid="{962B7882-CED2-46E8-894C-11D4E492CF90}" name="Colonna5" dataDxfId="45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44">
      <calculatedColumnFormula>kh*t0h*_xlfn.GAMMA.DIST(Tabella211[[#This Row],[Day]]/t0h,wh+1,1,1)*_xlfn.GAMMA(wh+1)</calculatedColumnFormula>
    </tableColumn>
    <tableColumn id="20" xr3:uid="{39D1356E-7799-4ABA-8D46-4BA48A94A90A}" name="New_Deaths_fit" dataDxfId="43">
      <calculatedColumnFormula>kh*((Tabella211[[#This Row],[Day]]/t0h)^wh)*EXP(-(Tabella211[[#This Row],[Day]]/t0h))</calculatedColumnFormula>
    </tableColumn>
    <tableColumn id="28" xr3:uid="{84B03305-1467-48F7-81BE-927A7C3D8C98}" name="Colonna6" dataDxfId="42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41" dataDxfId="3">
  <autoFilter ref="AF7:AG18" xr:uid="{407C54E5-E440-4537-8E2D-1DD13C000E48}"/>
  <tableColumns count="2">
    <tableColumn id="1" xr3:uid="{52B0120A-043A-4EF7-B804-054502154853}" name="Confirmed" dataDxfId="5"/>
    <tableColumn id="2" xr3:uid="{BBD62E85-33F5-4BF1-A3AE-7B88D2DD93AA}" name="Confirmed fit" dataDxfId="4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dataDxfId="0">
  <autoFilter ref="AF19:AG30" xr:uid="{CB9D1A18-DA45-4DE8-9D1A-421A0BAF60FC}"/>
  <tableColumns count="2">
    <tableColumn id="1" xr3:uid="{775DA299-347C-4244-9FD8-E27BF59FECEC}" name="Recovered" dataDxfId="2"/>
    <tableColumn id="2" xr3:uid="{2C633A4A-885C-4119-9E86-E6A0CC694C9C}" name="Recovered fit" dataDxfId="1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40" dataDxfId="39">
  <autoFilter ref="AF31:AG42" xr:uid="{4866098F-838C-4EFF-B7EC-009C5776DD93}"/>
  <tableColumns count="2">
    <tableColumn id="1" xr3:uid="{80725BB4-06C2-4468-BF34-2E7CFE4745BB}" name="Deaths" dataDxfId="38"/>
    <tableColumn id="2" xr3:uid="{36C77133-0452-4171-BD17-066E8059C73B}" name="Deaths fit" dataDxfId="37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36">
  <autoFilter ref="B7:AD78" xr:uid="{18B9BA29-5254-4957-B1CE-C36E82E90972}"/>
  <tableColumns count="29">
    <tableColumn id="1" xr3:uid="{320CFB16-AFF6-4BFA-BDC8-DA7062BA9B2B}" name="Date" dataDxfId="35"/>
    <tableColumn id="2" xr3:uid="{A9C7A420-022C-4606-A5DD-BCEEC11E3690}" name="Day" dataDxfId="34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33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32">
      <calculatedColumnFormula>kn*t0n*_xlfn.GAMMA.DIST(Tabella2[[#This Row],[Day]]/t0n,wn+1,1,1)*_xlfn.GAMMA(wn+1)</calculatedColumnFormula>
    </tableColumn>
    <tableColumn id="6" xr3:uid="{81317C98-2D23-428D-B512-65EE9F90D2C5}" name="New_cases_fit" dataDxfId="31">
      <calculatedColumnFormula>kn*((Tabella2[[#This Row],[Day]]/t0n)^wn)*EXP(-(Tabella2[[#This Row],[Day]]/t0n))</calculatedColumnFormula>
    </tableColumn>
    <tableColumn id="24" xr3:uid="{E19855DE-078A-43E1-B0FD-DC571168496B}" name="Colonna2" dataDxfId="30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29"/>
    <tableColumn id="10" xr3:uid="{AF8778A9-44F4-4E92-AF1C-71D0E6DD9311}" name="New_positive" dataDxfId="28"/>
    <tableColumn id="29" xr3:uid="{E9F0C073-162C-4409-91D6-E25F8BA6E7D8}" name="New_positive_fit" dataDxfId="27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26"/>
    <tableColumn id="25" xr3:uid="{94ABBBBE-8B3C-4B6A-ABCE-1319FE6754D6}" name="Colonna3" dataDxfId="25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24">
      <calculatedColumnFormula>kd*t0d*_xlfn.GAMMA.DIST(Tabella2[[#This Row],[Day]]/t0d,wd+1,1,1)*_xlfn.GAMMA(wd+1)</calculatedColumnFormula>
    </tableColumn>
    <tableColumn id="14" xr3:uid="{B1E5A58D-5A14-46E7-9BCC-394A8142E86B}" name="New_Recovered_fit" dataDxfId="23">
      <calculatedColumnFormula>kd*((Tabella2[[#This Row],[Day]]/t0d)^wd)*EXP(-(Tabella2[[#This Row],[Day]]/t0d))</calculatedColumnFormula>
    </tableColumn>
    <tableColumn id="26" xr3:uid="{5A014E51-4816-44C8-A2D1-AFE9233ECB28}" name="Colonna4" dataDxfId="22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21"/>
    <tableColumn id="27" xr3:uid="{5FAA9F04-20D5-4AF2-A858-A7CC7E685C22}" name="Colonna5" dataDxfId="20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19">
      <calculatedColumnFormula>kt*t0t*_xlfn.GAMMA.DIST(Tabella2[[#This Row],[Day]]/t0t,wt+1,1,1)*_xlfn.GAMMA(wt+1)</calculatedColumnFormula>
    </tableColumn>
    <tableColumn id="20" xr3:uid="{909CD4CA-9439-448B-ADE6-23709E8F3117}" name="New_Deaths_fit" dataDxfId="18">
      <calculatedColumnFormula>kt*((Tabella2[[#This Row],[Day]]/t0t)^wt)*EXP(-(Tabella2[[#This Row],[Day]]/t0t))</calculatedColumnFormula>
    </tableColumn>
    <tableColumn id="28" xr3:uid="{4ACECA7F-F765-4B32-9A87-B72CF4C593B7}" name="Colonna6" dataDxfId="17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16" dataDxfId="15">
  <autoFilter ref="AF7:AG18" xr:uid="{1C0A8599-2DC9-45B2-A640-9B64AE029280}"/>
  <tableColumns count="2">
    <tableColumn id="1" xr3:uid="{C78B678A-DF99-4D71-9DCA-538EBE002474}" name="Confirmed" dataDxfId="14"/>
    <tableColumn id="2" xr3:uid="{FD00BEDE-26C5-4882-A08D-7A3A81D737EC}" name="New cases fit" dataDxfId="13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dataDxfId="12">
  <autoFilter ref="AF19:AG30" xr:uid="{EEF2A1A0-4A08-497E-A79F-5A35691071BA}"/>
  <tableColumns count="2">
    <tableColumn id="1" xr3:uid="{604E3049-AE60-4912-86E2-C58A4706242A}" name="Recovered" dataDxfId="11"/>
    <tableColumn id="2" xr3:uid="{109EDCEC-3FF1-4CB5-A224-FFEEA35FA41C}" name="New recovered fit" dataDxfId="10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9" dataDxfId="8">
  <autoFilter ref="AF31:AG42" xr:uid="{61401F20-3088-4299-A30C-162117992087}"/>
  <tableColumns count="2">
    <tableColumn id="1" xr3:uid="{E0943324-D586-453F-96DB-1069E398D242}" name="Deaths" dataDxfId="7"/>
    <tableColumn id="2" xr3:uid="{66FF7AC8-7F99-4215-A97C-F9D3F4B5C74C}" name="New deaths fit" dataDxfId="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4" dT="2020-04-13T18:47:27.10" personId="{46504131-ADD3-4530-BCC7-16E4FED1C2C4}" id="{9A58F8C8-EC4D-4204-BDBD-1ED773C791C2}">
    <text>exponential decay time</text>
  </threadedComment>
  <threadedComment ref="AH5" dT="2020-04-13T18:47:54.02" personId="{46504131-ADD3-4530-BCC7-16E4FED1C2C4}" id="{CC489CA4-0428-4260-9C71-F50F294E0276}">
    <text>fractal exponent</text>
  </threadedComment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H4" dT="2020-04-13T18:47:27.10" personId="{46504131-ADD3-4530-BCC7-16E4FED1C2C4}" id="{013D75A6-D219-4696-8A74-E71BD1DE8067}">
    <text>exponential decay time</text>
  </threadedComment>
  <threadedComment ref="AH5" dT="2020-04-13T18:47:54.02" personId="{46504131-ADD3-4530-BCC7-16E4FED1C2C4}" id="{74D534AB-025B-453A-B72C-53CD493EE2CD}">
    <text>fractal exponent</text>
  </threadedComment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25" workbookViewId="0">
      <selection sqref="A1:XFD1048576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109</v>
      </c>
      <c r="O48" s="17" t="s">
        <v>110</v>
      </c>
    </row>
    <row r="49" spans="1:15" x14ac:dyDescent="0.3">
      <c r="A49" s="18">
        <v>43932.708333333336</v>
      </c>
      <c r="B49" s="17" t="s">
        <v>22</v>
      </c>
      <c r="C49" s="2">
        <v>28144</v>
      </c>
      <c r="D49" s="2">
        <v>3381</v>
      </c>
      <c r="E49" s="2">
        <v>31525</v>
      </c>
      <c r="F49" s="2">
        <v>68744</v>
      </c>
      <c r="G49" s="2">
        <v>100269</v>
      </c>
      <c r="H49" s="2">
        <v>1996</v>
      </c>
      <c r="I49" s="2">
        <v>4694</v>
      </c>
      <c r="J49" s="2">
        <v>32534</v>
      </c>
      <c r="K49" s="2">
        <v>19468</v>
      </c>
      <c r="L49" s="2">
        <v>152271</v>
      </c>
      <c r="M49" s="2">
        <v>963473</v>
      </c>
      <c r="N49" s="17" t="s">
        <v>29</v>
      </c>
      <c r="O49" s="17" t="s">
        <v>29</v>
      </c>
    </row>
    <row r="50" spans="1:15" x14ac:dyDescent="0.3">
      <c r="A50" s="18">
        <v>43933.708333333336</v>
      </c>
      <c r="B50" s="17" t="s">
        <v>22</v>
      </c>
      <c r="C50" s="2">
        <v>27847</v>
      </c>
      <c r="D50" s="2">
        <v>3343</v>
      </c>
      <c r="E50" s="2">
        <v>31190</v>
      </c>
      <c r="F50" s="2">
        <v>71063</v>
      </c>
      <c r="G50" s="2">
        <v>102253</v>
      </c>
      <c r="H50" s="2">
        <v>1984</v>
      </c>
      <c r="I50" s="2">
        <v>4092</v>
      </c>
      <c r="J50" s="2">
        <v>34211</v>
      </c>
      <c r="K50" s="2">
        <v>19899</v>
      </c>
      <c r="L50" s="2">
        <v>156363</v>
      </c>
      <c r="M50" s="2">
        <v>1010193</v>
      </c>
      <c r="N50" s="17" t="s">
        <v>111</v>
      </c>
      <c r="O50" s="17" t="s">
        <v>112</v>
      </c>
    </row>
    <row r="51" spans="1:15" x14ac:dyDescent="0.3">
      <c r="A51" s="18">
        <v>43934.708333333336</v>
      </c>
      <c r="B51" s="17" t="s">
        <v>22</v>
      </c>
      <c r="C51" s="2">
        <v>28023</v>
      </c>
      <c r="D51" s="2">
        <v>3260</v>
      </c>
      <c r="E51" s="2">
        <v>31283</v>
      </c>
      <c r="F51" s="2">
        <v>72333</v>
      </c>
      <c r="G51" s="2">
        <v>103616</v>
      </c>
      <c r="H51" s="2">
        <v>1363</v>
      </c>
      <c r="I51" s="2">
        <v>3153</v>
      </c>
      <c r="J51" s="2">
        <v>35435</v>
      </c>
      <c r="K51" s="2">
        <v>20465</v>
      </c>
      <c r="L51" s="2">
        <v>159516</v>
      </c>
      <c r="M51" s="2">
        <v>1046910</v>
      </c>
      <c r="N51" s="17" t="s">
        <v>29</v>
      </c>
      <c r="O51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zoomScale="55" zoomScaleNormal="55" workbookViewId="0">
      <selection activeCell="AT8" sqref="AT8:AT23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45" width="8.88671875" style="2"/>
    <col min="46" max="46" width="10.5546875" style="2" customWidth="1"/>
    <col min="47" max="16384" width="8.88671875" style="2"/>
  </cols>
  <sheetData>
    <row r="2" spans="2:46" ht="23.4" x14ac:dyDescent="0.45">
      <c r="B2" s="108" t="s">
        <v>11</v>
      </c>
      <c r="C2" s="108"/>
      <c r="D2" s="108"/>
      <c r="E2" s="108"/>
      <c r="F2" s="108"/>
      <c r="G2" s="108"/>
      <c r="H2" s="108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09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5" t="s">
        <v>108</v>
      </c>
      <c r="AI3" s="112" t="s">
        <v>71</v>
      </c>
      <c r="AJ3" s="112"/>
      <c r="AK3" s="112"/>
      <c r="AL3" s="112"/>
      <c r="AM3" s="112"/>
    </row>
    <row r="4" spans="2:46" ht="20.399999999999999" thickBot="1" x14ac:dyDescent="0.45">
      <c r="B4" s="110" t="s">
        <v>49</v>
      </c>
      <c r="C4" s="110"/>
      <c r="D4" s="110"/>
      <c r="E4" s="110"/>
      <c r="F4" s="110"/>
      <c r="G4" s="110"/>
      <c r="H4" s="109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104" t="s">
        <v>93</v>
      </c>
      <c r="AI4" s="112" t="s">
        <v>71</v>
      </c>
      <c r="AJ4" s="112"/>
      <c r="AK4" s="112"/>
      <c r="AL4" s="112"/>
      <c r="AM4" s="112"/>
    </row>
    <row r="5" spans="2:46" ht="18.600000000000001" thickTop="1" thickBot="1" x14ac:dyDescent="0.4">
      <c r="B5" s="111" t="s">
        <v>113</v>
      </c>
      <c r="C5" s="111"/>
      <c r="D5" s="111"/>
      <c r="E5" s="111"/>
      <c r="F5" s="111"/>
      <c r="G5" s="111"/>
      <c r="H5" s="109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104" t="s">
        <v>1</v>
      </c>
      <c r="AI5" s="112" t="s">
        <v>71</v>
      </c>
      <c r="AJ5" s="112"/>
      <c r="AK5" s="112"/>
      <c r="AL5" s="112"/>
      <c r="AM5" s="112"/>
    </row>
    <row r="6" spans="2:46" ht="19.2" thickTop="1" thickBot="1" x14ac:dyDescent="0.4">
      <c r="B6" s="27"/>
      <c r="C6" s="13"/>
      <c r="D6" s="13"/>
      <c r="E6" s="13"/>
      <c r="F6" s="13"/>
      <c r="G6" s="13"/>
      <c r="H6" s="109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102</v>
      </c>
      <c r="V7" s="8" t="s">
        <v>103</v>
      </c>
      <c r="W7" s="4" t="s">
        <v>62</v>
      </c>
      <c r="X7" s="53" t="s">
        <v>63</v>
      </c>
      <c r="Y7" s="99" t="s">
        <v>84</v>
      </c>
      <c r="Z7" s="8" t="s">
        <v>64</v>
      </c>
      <c r="AA7" s="8" t="s">
        <v>91</v>
      </c>
      <c r="AB7" s="99" t="s">
        <v>85</v>
      </c>
      <c r="AC7" s="8" t="s">
        <v>104</v>
      </c>
      <c r="AD7" s="8" t="s">
        <v>105</v>
      </c>
      <c r="AE7" s="8"/>
      <c r="AF7" s="66" t="s">
        <v>46</v>
      </c>
      <c r="AG7" s="67" t="s">
        <v>54</v>
      </c>
      <c r="AH7" s="3"/>
      <c r="AT7" s="100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k*t0*_xlfn.GAMMA.DIST(Tabella211[[#This Row],[Day]]/t0,w+1,1,1)*_xlfn.GAMMA(w+1)</f>
        <v>0</v>
      </c>
      <c r="H8" s="10">
        <f>k*((Tabella211[[#This Row],[Day]]/t0)^w)*EXP(-(Tabella211[[#This Row],[Day]]/t0))</f>
        <v>0</v>
      </c>
      <c r="I8" s="56">
        <f>Tabella211[[#This Row],[Cum_fit]]*NOT(ISBLANK(Tabella211[[#This Row],[Cum_confirmed]]))</f>
        <v>0</v>
      </c>
      <c r="J8" s="10">
        <f>Tabella211[[#This Row],[Cum_fit]]+CI</f>
        <v>2571.0436265733724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0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kr*t0r*_xlfn.GAMMA.DIST(Tabella211[[#This Row],[Day]]/t0r,wr+1,1,1)*_xlfn.GAMMA(wr+1)</f>
        <v>0</v>
      </c>
      <c r="S8" s="10">
        <f>kr*((Tabella211[[#This Row],[Day]]/t0r)^wr)*EXP(-(Tabella211[[#This Row],[Day]]/t0r))</f>
        <v>0</v>
      </c>
      <c r="T8" s="60">
        <f>Tabella211[[#This Row],[Cum_R_fit]]*NOT(ISBLANK(Tabella211[[#This Row],[Cum_recov]]))</f>
        <v>0</v>
      </c>
      <c r="U8" s="10">
        <f>Tabella211[[#This Row],[Cum_R_fit]]+CIr</f>
        <v>795.96899168956941</v>
      </c>
      <c r="V8" s="10">
        <f>MAX(Tabella211[[#This Row],[Cum_R_fit]]-CIr,0)</f>
        <v>0</v>
      </c>
      <c r="W8" s="10">
        <f>'dpc-covid19-ita-andamento-naz'!K2</f>
        <v>7</v>
      </c>
      <c r="X8" s="63"/>
      <c r="Y8" s="65">
        <f>Tabella211[[#This Row],[Cum_deaths]]*NOT(ISBLANK(Tabella211[[#This Row],[Cum_deaths]]))</f>
        <v>7</v>
      </c>
      <c r="Z8" s="50">
        <f>kh*t0h*_xlfn.GAMMA.DIST(Tabella211[[#This Row],[Day]]/t0h,wh+1,1,1)*_xlfn.GAMMA(wh+1)</f>
        <v>0</v>
      </c>
      <c r="AA8" s="10">
        <f>kh*((Tabella211[[#This Row],[Day]]/t0h)^wh)*EXP(-(Tabella211[[#This Row],[Day]]/t0h))</f>
        <v>0</v>
      </c>
      <c r="AB8" s="65">
        <f>Tabella211[[#This Row],[Cum_D_fit]]*NOT(ISBLANK(Tabella211[[#This Row],[Cum_deaths]]))</f>
        <v>0</v>
      </c>
      <c r="AC8" s="10">
        <f>Tabella211[[#This Row],[Cum_D_fit]]+CIh</f>
        <v>227.94311246820683</v>
      </c>
      <c r="AD8" s="10">
        <f>MAX(Tabella211[[#This Row],[Cum_D_fit]]-CIh,0)</f>
        <v>0</v>
      </c>
      <c r="AE8" s="8"/>
      <c r="AF8" s="87" t="s">
        <v>108</v>
      </c>
      <c r="AG8" s="88">
        <v>714.30948363205164</v>
      </c>
      <c r="AH8" s="3"/>
      <c r="AT8" s="120">
        <f>MAX($AG$14)</f>
        <v>0.99965629112793208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k*t0*_xlfn.GAMMA.DIST(Tabella211[[#This Row],[Day]]/t0,w+1,1,1)*_xlfn.GAMMA(w+1)</f>
        <v>2.6790828365744101E-2</v>
      </c>
      <c r="H9" s="10">
        <f>k*((Tabella211[[#This Row],[Day]]/t0)^w)*EXP(-(Tabella211[[#This Row],[Day]]/t0))</f>
        <v>0.13963206978005366</v>
      </c>
      <c r="I9" s="56">
        <f>Tabella211[[#This Row],[Cum_fit]]*NOT(ISBLANK(Tabella211[[#This Row],[Cum_confirmed]]))</f>
        <v>2.6790828365744101E-2</v>
      </c>
      <c r="J9" s="10">
        <f>Tabella211[[#This Row],[Cum_fit]]+CI</f>
        <v>2571.0704174017383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-1.5525379342105803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kr*t0r*_xlfn.GAMMA.DIST(Tabella211[[#This Row],[Day]]/t0r,wr+1,1,1)*_xlfn.GAMMA(wr+1)</f>
        <v>0.59606597495286373</v>
      </c>
      <c r="S9" s="10">
        <f>kr*((Tabella211[[#This Row],[Day]]/t0r)^wr)*EXP(-(Tabella211[[#This Row],[Day]]/t0r))</f>
        <v>1.6921339650576079</v>
      </c>
      <c r="T9" s="60">
        <f>Tabella211[[#This Row],[Cum_R_fit]]*NOT(ISBLANK(Tabella211[[#This Row],[Cum_recov]]))</f>
        <v>0.59606597495286373</v>
      </c>
      <c r="U9" s="10">
        <f>Tabella211[[#This Row],[Cum_R_fit]]+CIr</f>
        <v>796.56505766452221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5">
        <f>Tabella211[[#This Row],[Cum_deaths]]*NOT(ISBLANK(Tabella211[[#This Row],[Cum_deaths]]))</f>
        <v>10</v>
      </c>
      <c r="Z9" s="50">
        <f>kh*t0h*_xlfn.GAMMA.DIST(Tabella211[[#This Row],[Day]]/t0h,wh+1,1,1)*_xlfn.GAMMA(wh+1)</f>
        <v>4.8168092625323027E-6</v>
      </c>
      <c r="AA9" s="10">
        <f>kh*((Tabella211[[#This Row],[Day]]/t0h)^wh)*EXP(-(Tabella211[[#This Row],[Day]]/t0h))</f>
        <v>3.6038933026031066E-5</v>
      </c>
      <c r="AB9" s="65">
        <f>Tabella211[[#This Row],[Cum_D_fit]]*NOT(ISBLANK(Tabella211[[#This Row],[Cum_deaths]]))</f>
        <v>4.8168092625323027E-6</v>
      </c>
      <c r="AC9" s="10">
        <f>Tabella211[[#This Row],[Cum_D_fit]]+CIh</f>
        <v>227.94311728501609</v>
      </c>
      <c r="AD9" s="10">
        <f>MAX(Tabella211[[#This Row],[Cum_D_fit]]-CIh,0)</f>
        <v>0</v>
      </c>
      <c r="AE9" s="8"/>
      <c r="AF9" s="87" t="s">
        <v>106</v>
      </c>
      <c r="AG9" s="88">
        <v>6.9432400059859463</v>
      </c>
      <c r="AH9" s="3"/>
      <c r="AT9" s="121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k*t0*_xlfn.GAMMA.DIST(Tabella211[[#This Row],[Day]]/t0,w+1,1,1)*_xlfn.GAMMA(w+1)</f>
        <v>0.95699010644626215</v>
      </c>
      <c r="H10" s="10">
        <f>k*((Tabella211[[#This Row],[Day]]/t0)^w)*EXP(-(Tabella211[[#This Row],[Day]]/t0))</f>
        <v>2.4364074163428819</v>
      </c>
      <c r="I10" s="56">
        <f>Tabella211[[#This Row],[Cum_fit]]*NOT(ISBLANK(Tabella211[[#This Row],[Cum_confirmed]]))</f>
        <v>0.95699010644626215</v>
      </c>
      <c r="J10" s="10">
        <f>Tabella211[[#This Row],[Cum_fit]]+CI</f>
        <v>2572.0006166798189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-3.6165593786580423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kr*t0r*_xlfn.GAMMA.DIST(Tabella211[[#This Row],[Day]]/t0r,wr+1,1,1)*_xlfn.GAMMA(wr+1)</f>
        <v>4.2634817496890847</v>
      </c>
      <c r="S10" s="10">
        <f>kr*((Tabella211[[#This Row],[Day]]/t0r)^wr)*EXP(-(Tabella211[[#This Row],[Day]]/t0r))</f>
        <v>6.0499858848339967</v>
      </c>
      <c r="T10" s="60">
        <f>Tabella211[[#This Row],[Cum_R_fit]]*NOT(ISBLANK(Tabella211[[#This Row],[Cum_recov]]))</f>
        <v>4.2634817496890847</v>
      </c>
      <c r="U10" s="10">
        <f>Tabella211[[#This Row],[Cum_R_fit]]+CIr</f>
        <v>800.23247343925846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5">
        <f>Tabella211[[#This Row],[Cum_deaths]]*NOT(ISBLANK(Tabella211[[#This Row],[Cum_deaths]]))</f>
        <v>12</v>
      </c>
      <c r="Z10" s="50">
        <f>kh*t0h*_xlfn.GAMMA.DIST(Tabella211[[#This Row],[Day]]/t0h,wh+1,1,1)*_xlfn.GAMMA(wh+1)</f>
        <v>8.1594445980717517E-4</v>
      </c>
      <c r="AA10" s="10">
        <f>kh*((Tabella211[[#This Row],[Day]]/t0h)^wh)*EXP(-(Tabella211[[#This Row],[Day]]/t0h))</f>
        <v>2.9809101669276772E-3</v>
      </c>
      <c r="AB10" s="65">
        <f>Tabella211[[#This Row],[Cum_D_fit]]*NOT(ISBLANK(Tabella211[[#This Row],[Cum_deaths]]))</f>
        <v>8.1594445980717517E-4</v>
      </c>
      <c r="AC10" s="10">
        <f>Tabella211[[#This Row],[Cum_D_fit]]+CIh</f>
        <v>227.94392841266665</v>
      </c>
      <c r="AD10" s="10">
        <f>MAX(Tabella211[[#This Row],[Cum_D_fit]]-CIh,0)</f>
        <v>0</v>
      </c>
      <c r="AE10" s="8"/>
      <c r="AF10" s="87" t="s">
        <v>1</v>
      </c>
      <c r="AG10" s="88">
        <v>4.3328372913705868</v>
      </c>
      <c r="AH10" s="3"/>
      <c r="AT10" s="121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k*t0*_xlfn.GAMMA.DIST(Tabella211[[#This Row],[Day]]/t0,w+1,1,1)*_xlfn.GAMMA(w+1)</f>
        <v>7.374321386941201</v>
      </c>
      <c r="H11" s="10">
        <f>k*((Tabella211[[#This Row],[Day]]/t0)^w)*EXP(-(Tabella211[[#This Row],[Day]]/t0))</f>
        <v>12.222933046851352</v>
      </c>
      <c r="I11" s="56">
        <f>Tabella211[[#This Row],[Cum_fit]]*NOT(ISBLANK(Tabella211[[#This Row],[Cum_confirmed]]))</f>
        <v>7.374321386941201</v>
      </c>
      <c r="J11" s="10">
        <f>Tabella211[[#This Row],[Cum_fit]]+CI</f>
        <v>2578.4179479603135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-0.55526587353159129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kr*t0r*_xlfn.GAMMA.DIST(Tabella211[[#This Row],[Day]]/t0r,wr+1,1,1)*_xlfn.GAMMA(wr+1)</f>
        <v>13.472725353599897</v>
      </c>
      <c r="S11" s="10">
        <f>kr*((Tabella211[[#This Row],[Day]]/t0r)^wr)*EXP(-(Tabella211[[#This Row],[Day]]/t0r))</f>
        <v>12.741884641152168</v>
      </c>
      <c r="T11" s="60">
        <f>Tabella211[[#This Row],[Cum_R_fit]]*NOT(ISBLANK(Tabella211[[#This Row],[Cum_recov]]))</f>
        <v>13.472725353599897</v>
      </c>
      <c r="U11" s="10">
        <f>Tabella211[[#This Row],[Cum_R_fit]]+CIr</f>
        <v>809.44171704316932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5">
        <f>Tabella211[[#This Row],[Cum_deaths]]*NOT(ISBLANK(Tabella211[[#This Row],[Cum_deaths]]))</f>
        <v>17</v>
      </c>
      <c r="Z11" s="50">
        <f>kh*t0h*_xlfn.GAMMA.DIST(Tabella211[[#This Row],[Day]]/t0h,wh+1,1,1)*_xlfn.GAMMA(wh+1)</f>
        <v>1.5274554569157533E-2</v>
      </c>
      <c r="AA11" s="10">
        <f>kh*((Tabella211[[#This Row],[Day]]/t0h)^wh)*EXP(-(Tabella211[[#This Row],[Day]]/t0h))</f>
        <v>3.6314279230775195E-2</v>
      </c>
      <c r="AB11" s="65">
        <f>Tabella211[[#This Row],[Cum_D_fit]]*NOT(ISBLANK(Tabella211[[#This Row],[Cum_deaths]]))</f>
        <v>1.5274554569157533E-2</v>
      </c>
      <c r="AC11" s="10">
        <f>Tabella211[[#This Row],[Cum_D_fit]]+CIh</f>
        <v>227.95838702277598</v>
      </c>
      <c r="AD11" s="10">
        <f>MAX(Tabella211[[#This Row],[Cum_D_fit]]-CIh,0)</f>
        <v>0</v>
      </c>
      <c r="AE11" s="8"/>
      <c r="AF11" s="89" t="s">
        <v>2</v>
      </c>
      <c r="AG11" s="90">
        <f>AVERAGE(Tabella211[Cum_confirmed])</f>
        <v>59589.4</v>
      </c>
      <c r="AH11" s="3"/>
      <c r="AT11" s="121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k*t0*_xlfn.GAMMA.DIST(Tabella211[[#This Row],[Day]]/t0,w+1,1,1)*_xlfn.GAMMA(w+1)</f>
        <v>30.333597887774864</v>
      </c>
      <c r="H12" s="10">
        <f>k*((Tabella211[[#This Row],[Day]]/t0)^w)*EXP(-(Tabella211[[#This Row],[Day]]/t0))</f>
        <v>36.809964285572086</v>
      </c>
      <c r="I12" s="56">
        <f>Tabella211[[#This Row],[Cum_fit]]*NOT(ISBLANK(Tabella211[[#This Row],[Cum_confirmed]]))</f>
        <v>30.333597887774864</v>
      </c>
      <c r="J12" s="10">
        <f>Tabella211[[#This Row],[Cum_fit]]+CI</f>
        <v>2601.3772244611473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15.000170440691509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kr*t0r*_xlfn.GAMMA.DIST(Tabella211[[#This Row],[Day]]/t0r,wr+1,1,1)*_xlfn.GAMMA(wr+1)</f>
        <v>30.471412682240938</v>
      </c>
      <c r="S12" s="10">
        <f>kr*((Tabella211[[#This Row],[Day]]/t0r)^wr)*EXP(-(Tabella211[[#This Row],[Day]]/t0r))</f>
        <v>21.607850340151245</v>
      </c>
      <c r="T12" s="60">
        <f>Tabella211[[#This Row],[Cum_R_fit]]*NOT(ISBLANK(Tabella211[[#This Row],[Cum_recov]]))</f>
        <v>30.471412682240938</v>
      </c>
      <c r="U12" s="10">
        <f>Tabella211[[#This Row],[Cum_R_fit]]+CIr</f>
        <v>826.44040437181036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5">
        <f>Tabella211[[#This Row],[Cum_deaths]]*NOT(ISBLANK(Tabella211[[#This Row],[Cum_deaths]]))</f>
        <v>21</v>
      </c>
      <c r="Z12" s="50">
        <f>kh*t0h*_xlfn.GAMMA.DIST(Tabella211[[#This Row],[Day]]/t0h,wh+1,1,1)*_xlfn.GAMMA(wh+1)</f>
        <v>0.11607737638277885</v>
      </c>
      <c r="AA12" s="10">
        <f>kh*((Tabella211[[#This Row],[Day]]/t0h)^wh)*EXP(-(Tabella211[[#This Row],[Day]]/t0h))</f>
        <v>0.20194350472933142</v>
      </c>
      <c r="AB12" s="65">
        <f>Tabella211[[#This Row],[Cum_D_fit]]*NOT(ISBLANK(Tabella211[[#This Row],[Cum_deaths]]))</f>
        <v>0.11607737638277885</v>
      </c>
      <c r="AC12" s="10">
        <f>Tabella211[[#This Row],[Cum_D_fit]]+CIh</f>
        <v>228.05918984458961</v>
      </c>
      <c r="AD12" s="10">
        <f>MAX(Tabella211[[#This Row],[Cum_D_fit]]-CIh,0)</f>
        <v>0</v>
      </c>
      <c r="AE12" s="1"/>
      <c r="AF12" s="89" t="s">
        <v>3</v>
      </c>
      <c r="AG12" s="90">
        <f>COUNT(Tabella211[Cum_confirmed])-COUNT(AG8:AG10)</f>
        <v>47</v>
      </c>
      <c r="AT12" s="121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k*t0*_xlfn.GAMMA.DIST(Tabella211[[#This Row],[Day]]/t0,w+1,1,1)*_xlfn.GAMMA(w+1)</f>
        <v>88.477460358257304</v>
      </c>
      <c r="H13" s="10">
        <f>k*((Tabella211[[#This Row],[Day]]/t0)^w)*EXP(-(Tabella211[[#This Row],[Day]]/t0))</f>
        <v>83.813014359412065</v>
      </c>
      <c r="I13" s="56">
        <f>Tabella211[[#This Row],[Cum_fit]]*NOT(ISBLANK(Tabella211[[#This Row],[Cum_confirmed]]))</f>
        <v>88.477460358257304</v>
      </c>
      <c r="J13" s="10">
        <f>Tabella211[[#This Row],[Cum_fit]]+CI</f>
        <v>2659.5210869316297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50.541550824028185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kr*t0r*_xlfn.GAMMA.DIST(Tabella211[[#This Row],[Day]]/t0r,wr+1,1,1)*_xlfn.GAMMA(wr+1)</f>
        <v>57.377114250510729</v>
      </c>
      <c r="S13" s="10">
        <f>kr*((Tabella211[[#This Row],[Day]]/t0r)^wr)*EXP(-(Tabella211[[#This Row],[Day]]/t0r))</f>
        <v>32.540718806584955</v>
      </c>
      <c r="T13" s="60">
        <f>Tabella211[[#This Row],[Cum_R_fit]]*NOT(ISBLANK(Tabella211[[#This Row],[Cum_recov]]))</f>
        <v>57.377114250510729</v>
      </c>
      <c r="U13" s="10">
        <f>Tabella211[[#This Row],[Cum_R_fit]]+CIr</f>
        <v>853.34610594008018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5">
        <f>Tabella211[[#This Row],[Cum_deaths]]*NOT(ISBLANK(Tabella211[[#This Row],[Cum_deaths]]))</f>
        <v>29</v>
      </c>
      <c r="Z13" s="50">
        <f>kh*t0h*_xlfn.GAMMA.DIST(Tabella211[[#This Row],[Day]]/t0h,wh+1,1,1)*_xlfn.GAMMA(wh+1)</f>
        <v>0.53837736528505087</v>
      </c>
      <c r="AA13" s="10">
        <f>kh*((Tabella211[[#This Row],[Day]]/t0h)^wh)*EXP(-(Tabella211[[#This Row],[Day]]/t0h))</f>
        <v>0.73074472879892316</v>
      </c>
      <c r="AB13" s="65">
        <f>Tabella211[[#This Row],[Cum_D_fit]]*NOT(ISBLANK(Tabella211[[#This Row],[Cum_deaths]]))</f>
        <v>0.53837736528505087</v>
      </c>
      <c r="AC13" s="10">
        <f>Tabella211[[#This Row],[Cum_D_fit]]+CIh</f>
        <v>228.48148983349188</v>
      </c>
      <c r="AD13" s="10">
        <f>MAX(Tabella211[[#This Row],[Cum_D_fit]]-CIh,0)</f>
        <v>0</v>
      </c>
      <c r="AE13" s="1"/>
      <c r="AF13" s="89" t="s">
        <v>4</v>
      </c>
      <c r="AG13" s="91" cm="1">
        <f t="array" ref="AG13">SQRT(SUM((Tabella211[Colonna1]-Tabella211[Colonna2])^2)/df)</f>
        <v>1278.0195104818254</v>
      </c>
      <c r="AT13" s="122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k*t0*_xlfn.GAMMA.DIST(Tabella211[[#This Row],[Day]]/t0,w+1,1,1)*_xlfn.GAMMA(w+1)</f>
        <v>207.67319928891715</v>
      </c>
      <c r="H14" s="10">
        <f>k*((Tabella211[[#This Row],[Day]]/t0)^w)*EXP(-(Tabella211[[#This Row],[Day]]/t0))</f>
        <v>159.89749581571292</v>
      </c>
      <c r="I14" s="56">
        <f>Tabella211[[#This Row],[Cum_fit]]*NOT(ISBLANK(Tabella211[[#This Row],[Cum_confirmed]]))</f>
        <v>207.67319928891715</v>
      </c>
      <c r="J14" s="10">
        <f>Tabella211[[#This Row],[Cum_fit]]+CI</f>
        <v>2778.7168258622896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112.42265651958354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kr*t0r*_xlfn.GAMMA.DIST(Tabella211[[#This Row],[Day]]/t0r,wr+1,1,1)*_xlfn.GAMMA(wr+1)</f>
        <v>96.214782050587829</v>
      </c>
      <c r="S14" s="10">
        <f>kr*((Tabella211[[#This Row],[Day]]/t0r)^wr)*EXP(-(Tabella211[[#This Row],[Day]]/t0r))</f>
        <v>45.459897679512515</v>
      </c>
      <c r="T14" s="60">
        <f>Tabella211[[#This Row],[Cum_R_fit]]*NOT(ISBLANK(Tabella211[[#This Row],[Cum_recov]]))</f>
        <v>96.214782050587829</v>
      </c>
      <c r="U14" s="10">
        <f>Tabella211[[#This Row],[Cum_R_fit]]+CIr</f>
        <v>892.18377374015722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5">
        <f>Tabella211[[#This Row],[Cum_deaths]]*NOT(ISBLANK(Tabella211[[#This Row],[Cum_deaths]]))</f>
        <v>34</v>
      </c>
      <c r="Z14" s="50">
        <f>kh*t0h*_xlfn.GAMMA.DIST(Tabella211[[#This Row],[Day]]/t0h,wh+1,1,1)*_xlfn.GAMMA(wh+1)</f>
        <v>1.8275524127773504</v>
      </c>
      <c r="AA14" s="10">
        <f>kh*((Tabella211[[#This Row],[Day]]/t0h)^wh)*EXP(-(Tabella211[[#This Row],[Day]]/t0h))</f>
        <v>2.0149416166168534</v>
      </c>
      <c r="AB14" s="65">
        <f>Tabella211[[#This Row],[Cum_D_fit]]*NOT(ISBLANK(Tabella211[[#This Row],[Cum_deaths]]))</f>
        <v>1.8275524127773504</v>
      </c>
      <c r="AC14" s="10">
        <f>Tabella211[[#This Row],[Cum_D_fit]]+CIh</f>
        <v>229.77066488098419</v>
      </c>
      <c r="AD14" s="10">
        <f>MAX(Tabella211[[#This Row],[Cum_D_fit]]-CIh,0)</f>
        <v>0</v>
      </c>
      <c r="AE14" s="1"/>
      <c r="AF14" s="89" t="s">
        <v>107</v>
      </c>
      <c r="AG14" s="92" cm="1">
        <f t="array" ref="AG14">1-SUM((Tabella211[Colonna1]-Tabella211[Colonna2])^2)/SUM((Tabella211[Colonna1]-Mean_of_y)^2)</f>
        <v>0.99965629112793208</v>
      </c>
      <c r="AT14" s="123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k*t0*_xlfn.GAMMA.DIST(Tabella211[[#This Row],[Day]]/t0,w+1,1,1)*_xlfn.GAMMA(w+1)</f>
        <v>419.63520380497675</v>
      </c>
      <c r="H15" s="10">
        <f>k*((Tabella211[[#This Row],[Day]]/t0)^w)*EXP(-(Tabella211[[#This Row],[Day]]/t0))</f>
        <v>269.99887525156538</v>
      </c>
      <c r="I15" s="56">
        <f>Tabella211[[#This Row],[Cum_fit]]*NOT(ISBLANK(Tabella211[[#This Row],[Cum_confirmed]]))</f>
        <v>419.63520380497675</v>
      </c>
      <c r="J15" s="10">
        <f>Tabella211[[#This Row],[Cum_fit]]+CI</f>
        <v>2990.6788303783492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205.09232710855969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kr*t0r*_xlfn.GAMMA.DIST(Tabella211[[#This Row],[Day]]/t0r,wr+1,1,1)*_xlfn.GAMMA(wr+1)</f>
        <v>148.93736336493882</v>
      </c>
      <c r="S15" s="10">
        <f>kr*((Tabella211[[#This Row],[Day]]/t0r)^wr)*EXP(-(Tabella211[[#This Row],[Day]]/t0r))</f>
        <v>60.300784859889681</v>
      </c>
      <c r="T15" s="60">
        <f>Tabella211[[#This Row],[Cum_R_fit]]*NOT(ISBLANK(Tabella211[[#This Row],[Cum_recov]]))</f>
        <v>148.93736336493882</v>
      </c>
      <c r="U15" s="10">
        <f>Tabella211[[#This Row],[Cum_R_fit]]+CIr</f>
        <v>944.90635505450825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5">
        <f>Tabella211[[#This Row],[Cum_deaths]]*NOT(ISBLANK(Tabella211[[#This Row],[Cum_deaths]]))</f>
        <v>52</v>
      </c>
      <c r="Z15" s="50">
        <f>kh*t0h*_xlfn.GAMMA.DIST(Tabella211[[#This Row],[Day]]/t0h,wh+1,1,1)*_xlfn.GAMMA(wh+1)</f>
        <v>5.0024031867590679</v>
      </c>
      <c r="AA15" s="10">
        <f>kh*((Tabella211[[#This Row],[Day]]/t0h)^wh)*EXP(-(Tabella211[[#This Row],[Day]]/t0h))</f>
        <v>4.6057632831160014</v>
      </c>
      <c r="AB15" s="65">
        <f>Tabella211[[#This Row],[Cum_D_fit]]*NOT(ISBLANK(Tabella211[[#This Row],[Cum_deaths]]))</f>
        <v>5.0024031867590679</v>
      </c>
      <c r="AC15" s="10">
        <f>Tabella211[[#This Row],[Cum_D_fit]]+CIh</f>
        <v>232.9455156549659</v>
      </c>
      <c r="AD15" s="10">
        <f>MAX(Tabella211[[#This Row],[Cum_D_fit]]-CIh,0)</f>
        <v>0</v>
      </c>
      <c r="AE15" s="1"/>
      <c r="AF15" s="89" t="s">
        <v>6</v>
      </c>
      <c r="AG15" s="92">
        <f>TINV(0.05,df)</f>
        <v>2.0117405137297668</v>
      </c>
      <c r="AT15" s="124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k*t0*_xlfn.GAMMA.DIST(Tabella211[[#This Row],[Day]]/t0,w+1,1,1)*_xlfn.GAMMA(w+1)</f>
        <v>759.97807819054958</v>
      </c>
      <c r="H16" s="10">
        <f>k*((Tabella211[[#This Row],[Day]]/t0)^w)*EXP(-(Tabella211[[#This Row],[Day]]/t0))</f>
        <v>416.9484575737261</v>
      </c>
      <c r="I16" s="56">
        <f>Tabella211[[#This Row],[Cum_fit]]*NOT(ISBLANK(Tabella211[[#This Row],[Cum_confirmed]]))</f>
        <v>759.97807819054958</v>
      </c>
      <c r="J16" s="10">
        <f>Tabella211[[#This Row],[Cum_fit]]+CI</f>
        <v>3331.0217047639221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330.76163828973336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kr*t0r*_xlfn.GAMMA.DIST(Tabella211[[#This Row],[Day]]/t0r,wr+1,1,1)*_xlfn.GAMMA(wr+1)</f>
        <v>217.43885612885748</v>
      </c>
      <c r="S16" s="10">
        <f>kr*((Tabella211[[#This Row],[Day]]/t0r)^wr)*EXP(-(Tabella211[[#This Row],[Day]]/t0r))</f>
        <v>77.009433997534757</v>
      </c>
      <c r="T16" s="60">
        <f>Tabella211[[#This Row],[Cum_R_fit]]*NOT(ISBLANK(Tabella211[[#This Row],[Cum_recov]]))</f>
        <v>217.43885612885748</v>
      </c>
      <c r="U16" s="10">
        <f>Tabella211[[#This Row],[Cum_R_fit]]+CIr</f>
        <v>1013.4078478184269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5">
        <f>Tabella211[[#This Row],[Cum_deaths]]*NOT(ISBLANK(Tabella211[[#This Row],[Cum_deaths]]))</f>
        <v>79</v>
      </c>
      <c r="Z16" s="50">
        <f>kh*t0h*_xlfn.GAMMA.DIST(Tabella211[[#This Row],[Day]]/t0h,wh+1,1,1)*_xlfn.GAMMA(wh+1)</f>
        <v>11.698636308628711</v>
      </c>
      <c r="AA16" s="10">
        <f>kh*((Tabella211[[#This Row],[Day]]/t0h)^wh)*EXP(-(Tabella211[[#This Row],[Day]]/t0h))</f>
        <v>9.1773852864579926</v>
      </c>
      <c r="AB16" s="65">
        <f>Tabella211[[#This Row],[Cum_D_fit]]*NOT(ISBLANK(Tabella211[[#This Row],[Cum_deaths]]))</f>
        <v>11.698636308628711</v>
      </c>
      <c r="AC16" s="10">
        <f>Tabella211[[#This Row],[Cum_D_fit]]+CIh</f>
        <v>239.64174877683556</v>
      </c>
      <c r="AD16" s="10">
        <f>MAX(Tabella211[[#This Row],[Cum_D_fit]]-CIh,0)</f>
        <v>0</v>
      </c>
      <c r="AE16" s="1"/>
      <c r="AF16" s="89" t="s">
        <v>7</v>
      </c>
      <c r="AG16" s="90">
        <f>Critical_t*SE_of_y</f>
        <v>2571.0436265733724</v>
      </c>
      <c r="AT16" s="124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k*t0*_xlfn.GAMMA.DIST(Tabella211[[#This Row],[Day]]/t0,w+1,1,1)*_xlfn.GAMMA(w+1)</f>
        <v>1266.0578410409928</v>
      </c>
      <c r="H17" s="10">
        <f>k*((Tabella211[[#This Row],[Day]]/t0)^w)*EXP(-(Tabella211[[#This Row],[Day]]/t0))</f>
        <v>601.40727113756213</v>
      </c>
      <c r="I17" s="56">
        <f>Tabella211[[#This Row],[Cum_fit]]*NOT(ISBLANK(Tabella211[[#This Row],[Cum_confirmed]]))</f>
        <v>1266.0578410409928</v>
      </c>
      <c r="J17" s="10">
        <f>Tabella211[[#This Row],[Cum_fit]]+CI</f>
        <v>3837.101467614365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489.40136316218133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kr*t0r*_xlfn.GAMMA.DIST(Tabella211[[#This Row],[Day]]/t0r,wr+1,1,1)*_xlfn.GAMMA(wr+1)</f>
        <v>303.56330539203248</v>
      </c>
      <c r="S17" s="10">
        <f>kr*((Tabella211[[#This Row],[Day]]/t0r)^wr)*EXP(-(Tabella211[[#This Row],[Day]]/t0r))</f>
        <v>95.539492017744976</v>
      </c>
      <c r="T17" s="60">
        <f>Tabella211[[#This Row],[Cum_R_fit]]*NOT(ISBLANK(Tabella211[[#This Row],[Cum_recov]]))</f>
        <v>303.56330539203248</v>
      </c>
      <c r="U17" s="10">
        <f>Tabella211[[#This Row],[Cum_R_fit]]+CIr</f>
        <v>1099.5322970816019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5">
        <f>Tabella211[[#This Row],[Cum_deaths]]*NOT(ISBLANK(Tabella211[[#This Row],[Cum_deaths]]))</f>
        <v>107</v>
      </c>
      <c r="Z17" s="50">
        <f>kh*t0h*_xlfn.GAMMA.DIST(Tabella211[[#This Row],[Day]]/t0h,wh+1,1,1)*_xlfn.GAMMA(wh+1)</f>
        <v>24.263089379382691</v>
      </c>
      <c r="AA17" s="10">
        <f>kh*((Tabella211[[#This Row],[Day]]/t0h)^wh)*EXP(-(Tabella211[[#This Row],[Day]]/t0h))</f>
        <v>16.466415957635853</v>
      </c>
      <c r="AB17" s="65">
        <f>Tabella211[[#This Row],[Cum_D_fit]]*NOT(ISBLANK(Tabella211[[#This Row],[Cum_deaths]]))</f>
        <v>24.263089379382691</v>
      </c>
      <c r="AC17" s="10">
        <f>Tabella211[[#This Row],[Cum_D_fit]]+CIh</f>
        <v>252.20620184758951</v>
      </c>
      <c r="AD17" s="10">
        <f>MAX(Tabella211[[#This Row],[Cum_D_fit]]-CIh,0)</f>
        <v>0</v>
      </c>
      <c r="AE17" s="1"/>
      <c r="AF17" s="89" t="s">
        <v>99</v>
      </c>
      <c r="AG17" s="94">
        <f>k*t0*_xlfn.GAMMA(w+1)</f>
        <v>198868.80666380809</v>
      </c>
      <c r="AT17" s="125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k*t0*_xlfn.GAMMA.DIST(Tabella211[[#This Row],[Day]]/t0,w+1,1,1)*_xlfn.GAMMA(w+1)</f>
        <v>1974.8613342616118</v>
      </c>
      <c r="H18" s="10">
        <f>k*((Tabella211[[#This Row],[Day]]/t0)^w)*EXP(-(Tabella211[[#This Row],[Day]]/t0))</f>
        <v>822.01393917406051</v>
      </c>
      <c r="I18" s="56">
        <f>Tabella211[[#This Row],[Cum_fit]]*NOT(ISBLANK(Tabella211[[#This Row],[Cum_confirmed]]))</f>
        <v>1974.8613342616118</v>
      </c>
      <c r="J18" s="10">
        <f>Tabella211[[#This Row],[Cum_fit]]+CI</f>
        <v>4545.9049608349842</v>
      </c>
      <c r="K18" s="10">
        <f>MAX(Tabella211[[#This Row],[Cum_fit]]-CI,0)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678.96429019798438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kr*t0r*_xlfn.GAMMA.DIST(Tabella211[[#This Row],[Day]]/t0r,wr+1,1,1)*_xlfn.GAMMA(wr+1)</f>
        <v>409.11136895637776</v>
      </c>
      <c r="S18" s="10">
        <f>kr*((Tabella211[[#This Row],[Day]]/t0r)^wr)*EXP(-(Tabella211[[#This Row],[Day]]/t0r))</f>
        <v>115.85028152860755</v>
      </c>
      <c r="T18" s="60">
        <f>Tabella211[[#This Row],[Cum_R_fit]]*NOT(ISBLANK(Tabella211[[#This Row],[Cum_recov]]))</f>
        <v>409.11136895637776</v>
      </c>
      <c r="U18" s="10">
        <f>Tabella211[[#This Row],[Cum_R_fit]]+CIr</f>
        <v>1205.0803606459472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5">
        <f>Tabella211[[#This Row],[Cum_deaths]]*NOT(ISBLANK(Tabella211[[#This Row],[Cum_deaths]]))</f>
        <v>148</v>
      </c>
      <c r="Z18" s="50">
        <f>kh*t0h*_xlfn.GAMMA.DIST(Tabella211[[#This Row],[Day]]/t0h,wh+1,1,1)*_xlfn.GAMMA(wh+1)</f>
        <v>45.78037316419384</v>
      </c>
      <c r="AA18" s="10">
        <f>kh*((Tabella211[[#This Row],[Day]]/t0h)^wh)*EXP(-(Tabella211[[#This Row],[Day]]/t0h))</f>
        <v>27.199367447468546</v>
      </c>
      <c r="AB18" s="65">
        <f>Tabella211[[#This Row],[Cum_D_fit]]*NOT(ISBLANK(Tabella211[[#This Row],[Cum_deaths]]))</f>
        <v>45.78037316419384</v>
      </c>
      <c r="AC18" s="10">
        <f>Tabella211[[#This Row],[Cum_D_fit]]+CIh</f>
        <v>273.7234856324007</v>
      </c>
      <c r="AD18" s="10">
        <f>MAX(Tabella211[[#This Row],[Cum_D_fit]]-CIh,0)</f>
        <v>0</v>
      </c>
      <c r="AE18" s="1"/>
      <c r="AF18" s="68"/>
      <c r="AG18" s="78"/>
      <c r="AT18" s="126">
        <f>MAX($AG$26)</f>
        <v>0.99904449654497796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k*t0*_xlfn.GAMMA.DIST(Tabella211[[#This Row],[Day]]/t0,w+1,1,1)*_xlfn.GAMMA(w+1)</f>
        <v>2921.1165074242931</v>
      </c>
      <c r="H19" s="10">
        <f>k*((Tabella211[[#This Row],[Day]]/t0)^w)*EXP(-(Tabella211[[#This Row],[Day]]/t0))</f>
        <v>1075.6666353608193</v>
      </c>
      <c r="I19" s="56">
        <f>Tabella211[[#This Row],[Cum_fit]]*NOT(ISBLANK(Tabella211[[#This Row],[Cum_confirmed]]))</f>
        <v>2921.1165074242931</v>
      </c>
      <c r="J19" s="10">
        <f>Tabella211[[#This Row],[Cum_fit]]+CI</f>
        <v>5492.160133997666</v>
      </c>
      <c r="K19" s="10">
        <f>MAX(Tabella211[[#This Row],[Cum_fit]]-CI,0)</f>
        <v>350.07288085092068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895.74097904851874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kr*t0r*_xlfn.GAMMA.DIST(Tabella211[[#This Row],[Day]]/t0r,wr+1,1,1)*_xlfn.GAMMA(wr+1)</f>
        <v>535.84531364392672</v>
      </c>
      <c r="S19" s="10">
        <f>kr*((Tabella211[[#This Row],[Day]]/t0r)^wr)*EXP(-(Tabella211[[#This Row],[Day]]/t0r))</f>
        <v>137.90552247108829</v>
      </c>
      <c r="T19" s="60">
        <f>Tabella211[[#This Row],[Cum_R_fit]]*NOT(ISBLANK(Tabella211[[#This Row],[Cum_recov]]))</f>
        <v>535.84531364392672</v>
      </c>
      <c r="U19" s="10">
        <f>Tabella211[[#This Row],[Cum_R_fit]]+CIr</f>
        <v>1331.8143053334961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5">
        <f>Tabella211[[#This Row],[Cum_deaths]]*NOT(ISBLANK(Tabella211[[#This Row],[Cum_deaths]]))</f>
        <v>197</v>
      </c>
      <c r="Z19" s="50">
        <f>kh*t0h*_xlfn.GAMMA.DIST(Tabella211[[#This Row],[Day]]/t0h,wh+1,1,1)*_xlfn.GAMMA(wh+1)</f>
        <v>80.02606831143062</v>
      </c>
      <c r="AA19" s="10">
        <f>kh*((Tabella211[[#This Row],[Day]]/t0h)^wh)*EXP(-(Tabella211[[#This Row],[Day]]/t0h))</f>
        <v>42.020133841212385</v>
      </c>
      <c r="AB19" s="65">
        <f>Tabella211[[#This Row],[Cum_D_fit]]*NOT(ISBLANK(Tabella211[[#This Row],[Cum_deaths]]))</f>
        <v>80.02606831143062</v>
      </c>
      <c r="AC19" s="10">
        <f>Tabella211[[#This Row],[Cum_D_fit]]+CIh</f>
        <v>307.96918077963744</v>
      </c>
      <c r="AD19" s="10">
        <f>MAX(Tabella211[[#This Row],[Cum_D_fit]]-CIh,0)</f>
        <v>0</v>
      </c>
      <c r="AE19" s="1"/>
      <c r="AF19" s="59" t="s">
        <v>81</v>
      </c>
      <c r="AG19" s="76" t="s">
        <v>97</v>
      </c>
      <c r="AT19" s="127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k*t0*_xlfn.GAMMA.DIST(Tabella211[[#This Row],[Day]]/t0,w+1,1,1)*_xlfn.GAMMA(w+1)</f>
        <v>4135.7247264594953</v>
      </c>
      <c r="H20" s="10">
        <f>k*((Tabella211[[#This Row],[Day]]/t0)^w)*EXP(-(Tabella211[[#This Row],[Day]]/t0))</f>
        <v>1357.8760550042825</v>
      </c>
      <c r="I20" s="56">
        <f>Tabella211[[#This Row],[Cum_fit]]*NOT(ISBLANK(Tabella211[[#This Row],[Cum_confirmed]]))</f>
        <v>4135.7247264594953</v>
      </c>
      <c r="J20" s="10">
        <f>Tabella211[[#This Row],[Cum_fit]]+CI</f>
        <v>6706.7683530328677</v>
      </c>
      <c r="K20" s="10">
        <f>MAX(Tabella211[[#This Row],[Cum_fit]]-CI,0)</f>
        <v>1564.6810998861229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1134.776572527458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kr*t0r*_xlfn.GAMMA.DIST(Tabella211[[#This Row],[Day]]/t0r,wr+1,1,1)*_xlfn.GAMMA(wr+1)</f>
        <v>685.49294072104158</v>
      </c>
      <c r="S20" s="10">
        <f>kr*((Tabella211[[#This Row],[Day]]/t0r)^wr)*EXP(-(Tabella211[[#This Row],[Day]]/t0r))</f>
        <v>161.67243841787854</v>
      </c>
      <c r="T20" s="60">
        <f>Tabella211[[#This Row],[Cum_R_fit]]*NOT(ISBLANK(Tabella211[[#This Row],[Cum_recov]]))</f>
        <v>685.49294072104158</v>
      </c>
      <c r="U20" s="10">
        <f>Tabella211[[#This Row],[Cum_R_fit]]+CIr</f>
        <v>1481.4619324106111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5">
        <f>Tabella211[[#This Row],[Cum_deaths]]*NOT(ISBLANK(Tabella211[[#This Row],[Cum_deaths]]))</f>
        <v>233</v>
      </c>
      <c r="Z20" s="50">
        <f>kh*t0h*_xlfn.GAMMA.DIST(Tabella211[[#This Row],[Day]]/t0h,wh+1,1,1)*_xlfn.GAMMA(wh+1)</f>
        <v>131.35152143874689</v>
      </c>
      <c r="AA20" s="10">
        <f>kh*((Tabella211[[#This Row],[Day]]/t0h)^wh)*EXP(-(Tabella211[[#This Row],[Day]]/t0h))</f>
        <v>61.427044058946052</v>
      </c>
      <c r="AB20" s="65">
        <f>Tabella211[[#This Row],[Cum_D_fit]]*NOT(ISBLANK(Tabella211[[#This Row],[Cum_deaths]]))</f>
        <v>131.35152143874689</v>
      </c>
      <c r="AC20" s="10">
        <f>Tabella211[[#This Row],[Cum_D_fit]]+CIh</f>
        <v>359.29463390695372</v>
      </c>
      <c r="AD20" s="10">
        <f>MAX(Tabella211[[#This Row],[Cum_D_fit]]-CIh,0)</f>
        <v>0</v>
      </c>
      <c r="AE20" s="1"/>
      <c r="AF20" s="116" t="s">
        <v>108</v>
      </c>
      <c r="AG20" s="117">
        <v>498472.33766460518</v>
      </c>
      <c r="AT20" s="127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k*t0*_xlfn.GAMMA.DIST(Tabella211[[#This Row],[Day]]/t0,w+1,1,1)*_xlfn.GAMMA(w+1)</f>
        <v>5644.5613464907883</v>
      </c>
      <c r="H21" s="10">
        <f>k*((Tabella211[[#This Row],[Day]]/t0)^w)*EXP(-(Tabella211[[#This Row],[Day]]/t0))</f>
        <v>1663.1423649716255</v>
      </c>
      <c r="I21" s="56">
        <f>Tabella211[[#This Row],[Cum_fit]]*NOT(ISBLANK(Tabella211[[#This Row],[Cum_confirmed]]))</f>
        <v>5644.5613464907883</v>
      </c>
      <c r="J21" s="10">
        <f>Tabella211[[#This Row],[Cum_fit]]+CI</f>
        <v>8215.6049730641607</v>
      </c>
      <c r="K21" s="10">
        <f>MAX(Tabella211[[#This Row],[Cum_fit]]-CI,0)</f>
        <v>3073.5177199174159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1390.2954632841397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kr*t0r*_xlfn.GAMMA.DIST(Tabella211[[#This Row],[Day]]/t0r,wr+1,1,1)*_xlfn.GAMMA(wr+1)</f>
        <v>859.75074882848457</v>
      </c>
      <c r="S21" s="10">
        <f>kr*((Tabella211[[#This Row],[Day]]/t0r)^wr)*EXP(-(Tabella211[[#This Row],[Day]]/t0r))</f>
        <v>187.12110796753612</v>
      </c>
      <c r="T21" s="60">
        <f>Tabella211[[#This Row],[Cum_R_fit]]*NOT(ISBLANK(Tabella211[[#This Row],[Cum_recov]]))</f>
        <v>859.75074882848457</v>
      </c>
      <c r="U21" s="10">
        <f>Tabella211[[#This Row],[Cum_R_fit]]+CIr</f>
        <v>1655.7197405180541</v>
      </c>
      <c r="V21" s="10">
        <f>MAX(Tabella211[[#This Row],[Cum_R_fit]]-CIr,0)</f>
        <v>63.781757138915168</v>
      </c>
      <c r="W21" s="10">
        <f>'dpc-covid19-ita-andamento-naz'!K15</f>
        <v>366</v>
      </c>
      <c r="X21" s="26">
        <f>Tabella211[[#This Row],[Cum_deaths]]-W20</f>
        <v>133</v>
      </c>
      <c r="Y21" s="65">
        <f>Tabella211[[#This Row],[Cum_deaths]]*NOT(ISBLANK(Tabella211[[#This Row],[Cum_deaths]]))</f>
        <v>366</v>
      </c>
      <c r="Z21" s="50">
        <f>kh*t0h*_xlfn.GAMMA.DIST(Tabella211[[#This Row],[Day]]/t0h,wh+1,1,1)*_xlfn.GAMMA(wh+1)</f>
        <v>204.51324838514489</v>
      </c>
      <c r="AA21" s="10">
        <f>kh*((Tabella211[[#This Row],[Day]]/t0h)^wh)*EXP(-(Tabella211[[#This Row],[Day]]/t0h))</f>
        <v>85.725793719949607</v>
      </c>
      <c r="AB21" s="65">
        <f>Tabella211[[#This Row],[Cum_D_fit]]*NOT(ISBLANK(Tabella211[[#This Row],[Cum_deaths]]))</f>
        <v>204.51324838514489</v>
      </c>
      <c r="AC21" s="10">
        <f>Tabella211[[#This Row],[Cum_D_fit]]+CIh</f>
        <v>432.45636085335173</v>
      </c>
      <c r="AD21" s="10">
        <f>MAX(Tabella211[[#This Row],[Cum_D_fit]]-CIh,0)</f>
        <v>0</v>
      </c>
      <c r="AE21" s="1"/>
      <c r="AF21" s="116" t="s">
        <v>114</v>
      </c>
      <c r="AG21" s="117">
        <v>939.1841107455665</v>
      </c>
      <c r="AT21" s="127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k*t0*_xlfn.GAMMA.DIST(Tabella211[[#This Row],[Day]]/t0,w+1,1,1)*_xlfn.GAMMA(w+1)</f>
        <v>7467.6508972314678</v>
      </c>
      <c r="H22" s="10">
        <f>k*((Tabella211[[#This Row],[Day]]/t0)^w)*EXP(-(Tabella211[[#This Row],[Day]]/t0))</f>
        <v>1985.3229768279293</v>
      </c>
      <c r="I22" s="56">
        <f>Tabella211[[#This Row],[Cum_fit]]*NOT(ISBLANK(Tabella211[[#This Row],[Cum_confirmed]]))</f>
        <v>7467.6508972314678</v>
      </c>
      <c r="J22" s="10">
        <f>Tabella211[[#This Row],[Cum_fit]]+CI</f>
        <v>10038.694523804839</v>
      </c>
      <c r="K22" s="10">
        <f>MAX(Tabella211[[#This Row],[Cum_fit]]-CI,0)</f>
        <v>4896.6072706580953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1656.0976837454882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kr*t0r*_xlfn.GAMMA.DIST(Tabella211[[#This Row],[Day]]/t0r,wr+1,1,1)*_xlfn.GAMMA(wr+1)</f>
        <v>1060.2865352455403</v>
      </c>
      <c r="S22" s="10">
        <f>kr*((Tabella211[[#This Row],[Day]]/t0r)^wr)*EXP(-(Tabella211[[#This Row],[Day]]/t0r))</f>
        <v>214.22397956257677</v>
      </c>
      <c r="T22" s="60">
        <f>Tabella211[[#This Row],[Cum_R_fit]]*NOT(ISBLANK(Tabella211[[#This Row],[Cum_recov]]))</f>
        <v>1060.2865352455403</v>
      </c>
      <c r="U22" s="10">
        <f>Tabella211[[#This Row],[Cum_R_fit]]+CIr</f>
        <v>1856.2555269351096</v>
      </c>
      <c r="V22" s="10">
        <f>MAX(Tabella211[[#This Row],[Cum_R_fit]]-CIr,0)</f>
        <v>264.31754355597093</v>
      </c>
      <c r="W22" s="10">
        <f>'dpc-covid19-ita-andamento-naz'!K16</f>
        <v>463</v>
      </c>
      <c r="X22" s="26">
        <f>Tabella211[[#This Row],[Cum_deaths]]-W21</f>
        <v>97</v>
      </c>
      <c r="Y22" s="65">
        <f>Tabella211[[#This Row],[Cum_deaths]]*NOT(ISBLANK(Tabella211[[#This Row],[Cum_deaths]]))</f>
        <v>463</v>
      </c>
      <c r="Z22" s="50">
        <f>kh*t0h*_xlfn.GAMMA.DIST(Tabella211[[#This Row],[Day]]/t0h,wh+1,1,1)*_xlfn.GAMMA(wh+1)</f>
        <v>304.46460741422607</v>
      </c>
      <c r="AA22" s="10">
        <f>kh*((Tabella211[[#This Row],[Day]]/t0h)^wh)*EXP(-(Tabella211[[#This Row],[Day]]/t0h))</f>
        <v>115.00131351986445</v>
      </c>
      <c r="AB22" s="65">
        <f>Tabella211[[#This Row],[Cum_D_fit]]*NOT(ISBLANK(Tabella211[[#This Row],[Cum_deaths]]))</f>
        <v>304.46460741422607</v>
      </c>
      <c r="AC22" s="10">
        <f>Tabella211[[#This Row],[Cum_D_fit]]+CIh</f>
        <v>532.40771988243296</v>
      </c>
      <c r="AD22" s="10">
        <f>MAX(Tabella211[[#This Row],[Cum_D_fit]]-CIh,0)</f>
        <v>76.521494946019232</v>
      </c>
      <c r="AE22" s="1"/>
      <c r="AF22" s="116" t="s">
        <v>1</v>
      </c>
      <c r="AG22" s="117">
        <v>1.8396241015764074</v>
      </c>
      <c r="AT22" s="127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k*t0*_xlfn.GAMMA.DIST(Tabella211[[#This Row],[Day]]/t0,w+1,1,1)*_xlfn.GAMMA(w+1)</f>
        <v>9618.6959608471316</v>
      </c>
      <c r="H23" s="10">
        <f>k*((Tabella211[[#This Row],[Day]]/t0)^w)*EXP(-(Tabella211[[#This Row],[Day]]/t0))</f>
        <v>2317.9693366893043</v>
      </c>
      <c r="I23" s="56">
        <f>Tabella211[[#This Row],[Cum_fit]]*NOT(ISBLANK(Tabella211[[#This Row],[Cum_confirmed]]))</f>
        <v>9618.6959608471316</v>
      </c>
      <c r="J23" s="10">
        <f>Tabella211[[#This Row],[Cum_fit]]+CI</f>
        <v>12189.739587420503</v>
      </c>
      <c r="K23" s="10">
        <f>MAX(Tabella211[[#This Row],[Cum_fit]]-CI,0)</f>
        <v>7047.6523342737592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1925.9049622234838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kr*t0r*_xlfn.GAMMA.DIST(Tabella211[[#This Row],[Day]]/t0r,wr+1,1,1)*_xlfn.GAMMA(wr+1)</f>
        <v>1288.7415718103616</v>
      </c>
      <c r="S23" s="10">
        <f>kr*((Tabella211[[#This Row],[Day]]/t0r)^wr)*EXP(-(Tabella211[[#This Row],[Day]]/t0r))</f>
        <v>242.95549937312268</v>
      </c>
      <c r="T23" s="60">
        <f>Tabella211[[#This Row],[Cum_R_fit]]*NOT(ISBLANK(Tabella211[[#This Row],[Cum_recov]]))</f>
        <v>1288.7415718103616</v>
      </c>
      <c r="U23" s="10">
        <f>Tabella211[[#This Row],[Cum_R_fit]]+CIr</f>
        <v>2084.7105634999311</v>
      </c>
      <c r="V23" s="10">
        <f>MAX(Tabella211[[#This Row],[Cum_R_fit]]-CIr,0)</f>
        <v>492.77258012079221</v>
      </c>
      <c r="W23" s="10">
        <f>'dpc-covid19-ita-andamento-naz'!K17</f>
        <v>631</v>
      </c>
      <c r="X23" s="26">
        <f>Tabella211[[#This Row],[Cum_deaths]]-W22</f>
        <v>168</v>
      </c>
      <c r="Y23" s="65">
        <f>Tabella211[[#This Row],[Cum_deaths]]*NOT(ISBLANK(Tabella211[[#This Row],[Cum_deaths]]))</f>
        <v>631</v>
      </c>
      <c r="Z23" s="50">
        <f>kh*t0h*_xlfn.GAMMA.DIST(Tabella211[[#This Row],[Day]]/t0h,wh+1,1,1)*_xlfn.GAMMA(wh+1)</f>
        <v>436.1290315539116</v>
      </c>
      <c r="AA23" s="10">
        <f>kh*((Tabella211[[#This Row],[Day]]/t0h)^wh)*EXP(-(Tabella211[[#This Row],[Day]]/t0h))</f>
        <v>149.10887509269799</v>
      </c>
      <c r="AB23" s="65">
        <f>Tabella211[[#This Row],[Cum_D_fit]]*NOT(ISBLANK(Tabella211[[#This Row],[Cum_deaths]]))</f>
        <v>436.1290315539116</v>
      </c>
      <c r="AC23" s="10">
        <f>Tabella211[[#This Row],[Cum_D_fit]]+CIh</f>
        <v>664.07214402211844</v>
      </c>
      <c r="AD23" s="10">
        <f>MAX(Tabella211[[#This Row],[Cum_D_fit]]-CIh,0)</f>
        <v>208.18591908570477</v>
      </c>
      <c r="AE23" s="1"/>
      <c r="AF23" s="81" t="s">
        <v>2</v>
      </c>
      <c r="AG23" s="82">
        <f>AVERAGE(Tabella211[Cum_recov])</f>
        <v>9596.52</v>
      </c>
      <c r="AT23" s="128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k*t0*_xlfn.GAMMA.DIST(Tabella211[[#This Row],[Day]]/t0,w+1,1,1)*_xlfn.GAMMA(w+1)</f>
        <v>12104.921655382574</v>
      </c>
      <c r="H24" s="10">
        <f>k*((Tabella211[[#This Row],[Day]]/t0)^w)*EXP(-(Tabella211[[#This Row],[Day]]/t0))</f>
        <v>2654.6198135266723</v>
      </c>
      <c r="I24" s="56">
        <f>Tabella211[[#This Row],[Cum_fit]]*NOT(ISBLANK(Tabella211[[#This Row],[Cum_confirmed]]))</f>
        <v>12104.921655382574</v>
      </c>
      <c r="J24" s="10">
        <f>Tabella211[[#This Row],[Cum_fit]]+CI</f>
        <v>14675.965281955945</v>
      </c>
      <c r="K24" s="10">
        <f>MAX(Tabella211[[#This Row],[Cum_fit]]-CI,0)</f>
        <v>9533.8780288092021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2193.6453166027754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kr*t0r*_xlfn.GAMMA.DIST(Tabella211[[#This Row],[Day]]/t0r,wr+1,1,1)*_xlfn.GAMMA(wr+1)</f>
        <v>1546.7324512254772</v>
      </c>
      <c r="S24" s="10">
        <f>kr*((Tabella211[[#This Row],[Day]]/t0r)^wr)*EXP(-(Tabella211[[#This Row],[Day]]/t0r))</f>
        <v>273.29181984082834</v>
      </c>
      <c r="T24" s="60">
        <f>Tabella211[[#This Row],[Cum_R_fit]]*NOT(ISBLANK(Tabella211[[#This Row],[Cum_recov]]))</f>
        <v>1546.7324512254772</v>
      </c>
      <c r="U24" s="10">
        <f>Tabella211[[#This Row],[Cum_R_fit]]+CIr</f>
        <v>2342.7014429150468</v>
      </c>
      <c r="V24" s="10">
        <f>MAX(Tabella211[[#This Row],[Cum_R_fit]]-CIr,0)</f>
        <v>750.76345953590783</v>
      </c>
      <c r="W24" s="10">
        <f>'dpc-covid19-ita-andamento-naz'!K18</f>
        <v>827</v>
      </c>
      <c r="X24" s="26">
        <f>Tabella211[[#This Row],[Cum_deaths]]-W23</f>
        <v>196</v>
      </c>
      <c r="Y24" s="65">
        <f>Tabella211[[#This Row],[Cum_deaths]]*NOT(ISBLANK(Tabella211[[#This Row],[Cum_deaths]]))</f>
        <v>827</v>
      </c>
      <c r="Z24" s="50">
        <f>kh*t0h*_xlfn.GAMMA.DIST(Tabella211[[#This Row],[Day]]/t0h,wh+1,1,1)*_xlfn.GAMMA(wh+1)</f>
        <v>604.17331952961706</v>
      </c>
      <c r="AA24" s="10">
        <f>kh*((Tabella211[[#This Row],[Day]]/t0h)^wh)*EXP(-(Tabella211[[#This Row],[Day]]/t0h))</f>
        <v>187.68267708306851</v>
      </c>
      <c r="AB24" s="65">
        <f>Tabella211[[#This Row],[Cum_D_fit]]*NOT(ISBLANK(Tabella211[[#This Row],[Cum_deaths]]))</f>
        <v>604.17331952961706</v>
      </c>
      <c r="AC24" s="10">
        <f>Tabella211[[#This Row],[Cum_D_fit]]+CIh</f>
        <v>832.11643199782384</v>
      </c>
      <c r="AD24" s="10">
        <f>MAX(Tabella211[[#This Row],[Cum_D_fit]]-CIh,0)</f>
        <v>376.23020706141023</v>
      </c>
      <c r="AE24" s="1"/>
      <c r="AF24" s="81" t="s">
        <v>3</v>
      </c>
      <c r="AG24" s="82">
        <f>COUNT(Tabella211[Cum_recov])-COUNT(AG20:AG22)</f>
        <v>47</v>
      </c>
      <c r="AT24" s="105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k*t0*_xlfn.GAMMA.DIST(Tabella211[[#This Row],[Day]]/t0,w+1,1,1)*_xlfn.GAMMA(w+1)</f>
        <v>14927.188236478683</v>
      </c>
      <c r="H25" s="10">
        <f>k*((Tabella211[[#This Row],[Day]]/t0)^w)*EXP(-(Tabella211[[#This Row],[Day]]/t0))</f>
        <v>2989.0424660406079</v>
      </c>
      <c r="I25" s="56">
        <f>Tabella211[[#This Row],[Cum_fit]]*NOT(ISBLANK(Tabella211[[#This Row],[Cum_confirmed]]))</f>
        <v>14927.188236478683</v>
      </c>
      <c r="J25" s="10">
        <f>Tabella211[[#This Row],[Cum_fit]]+CI</f>
        <v>17498.231863052057</v>
      </c>
      <c r="K25" s="10">
        <f>MAX(Tabella211[[#This Row],[Cum_fit]]-CI,0)</f>
        <v>12356.14460990531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2453.6730738228525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kr*t0r*_xlfn.GAMMA.DIST(Tabella211[[#This Row],[Day]]/t0r,wr+1,1,1)*_xlfn.GAMMA(wr+1)</f>
        <v>1835.8526729062066</v>
      </c>
      <c r="S25" s="10">
        <f>kr*((Tabella211[[#This Row],[Day]]/t0r)^wr)*EXP(-(Tabella211[[#This Row],[Day]]/t0r))</f>
        <v>305.21056727442567</v>
      </c>
      <c r="T25" s="60">
        <f>Tabella211[[#This Row],[Cum_R_fit]]*NOT(ISBLANK(Tabella211[[#This Row],[Cum_recov]]))</f>
        <v>1835.8526729062066</v>
      </c>
      <c r="U25" s="10">
        <f>Tabella211[[#This Row],[Cum_R_fit]]+CIr</f>
        <v>2631.8216645957759</v>
      </c>
      <c r="V25" s="10">
        <f>MAX(Tabella211[[#This Row],[Cum_R_fit]]-CIr,0)</f>
        <v>1039.8836812166373</v>
      </c>
      <c r="W25" s="10">
        <f>'dpc-covid19-ita-andamento-naz'!K19</f>
        <v>1016</v>
      </c>
      <c r="X25" s="26">
        <f>Tabella211[[#This Row],[Cum_deaths]]-W24</f>
        <v>189</v>
      </c>
      <c r="Y25" s="65">
        <f>Tabella211[[#This Row],[Cum_deaths]]*NOT(ISBLANK(Tabella211[[#This Row],[Cum_deaths]]))</f>
        <v>1016</v>
      </c>
      <c r="Z25" s="50">
        <f>kh*t0h*_xlfn.GAMMA.DIST(Tabella211[[#This Row],[Day]]/t0h,wh+1,1,1)*_xlfn.GAMMA(wh+1)</f>
        <v>812.79700408447763</v>
      </c>
      <c r="AA25" s="10">
        <f>kh*((Tabella211[[#This Row],[Day]]/t0h)^wh)*EXP(-(Tabella211[[#This Row],[Day]]/t0h))</f>
        <v>230.15882494332973</v>
      </c>
      <c r="AB25" s="65">
        <f>Tabella211[[#This Row],[Cum_D_fit]]*NOT(ISBLANK(Tabella211[[#This Row],[Cum_deaths]]))</f>
        <v>812.79700408447763</v>
      </c>
      <c r="AC25" s="10">
        <f>Tabella211[[#This Row],[Cum_D_fit]]+CIh</f>
        <v>1040.7401165526844</v>
      </c>
      <c r="AD25" s="10">
        <f>MAX(Tabella211[[#This Row],[Cum_D_fit]]-CIh,0)</f>
        <v>584.85389161627086</v>
      </c>
      <c r="AE25" s="1"/>
      <c r="AF25" s="81" t="s">
        <v>4</v>
      </c>
      <c r="AG25" s="83" cm="1">
        <f t="array" ref="AG25">SQRT(SUM((Tabella211[Colonna3]-Tabella211[Colonna4])^2)/dfr)</f>
        <v>395.66185910022904</v>
      </c>
      <c r="AT25" s="106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k*t0*_xlfn.GAMMA.DIST(Tabella211[[#This Row],[Day]]/t0,w+1,1,1)*_xlfn.GAMMA(w+1)</f>
        <v>18080.320674496241</v>
      </c>
      <c r="H26" s="10">
        <f>k*((Tabella211[[#This Row],[Day]]/t0)^w)*EXP(-(Tabella211[[#This Row],[Day]]/t0))</f>
        <v>3315.4263179687323</v>
      </c>
      <c r="I26" s="56">
        <f>Tabella211[[#This Row],[Cum_fit]]*NOT(ISBLANK(Tabella211[[#This Row],[Cum_confirmed]]))</f>
        <v>18080.320674496241</v>
      </c>
      <c r="J26" s="10">
        <f>Tabella211[[#This Row],[Cum_fit]]+CI</f>
        <v>20651.364301069614</v>
      </c>
      <c r="K26" s="10">
        <f>MAX(Tabella211[[#This Row],[Cum_fit]]-CI,0)</f>
        <v>15509.277047922867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2700.9267212159439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kr*t0r*_xlfn.GAMMA.DIST(Tabella211[[#This Row],[Day]]/t0r,wr+1,1,1)*_xlfn.GAMMA(wr+1)</f>
        <v>2157.6740195524776</v>
      </c>
      <c r="S26" s="10">
        <f>kr*((Tabella211[[#This Row],[Day]]/t0r)^wr)*EXP(-(Tabella211[[#This Row],[Day]]/t0r))</f>
        <v>338.69065364597901</v>
      </c>
      <c r="T26" s="60">
        <f>Tabella211[[#This Row],[Cum_R_fit]]*NOT(ISBLANK(Tabella211[[#This Row],[Cum_recov]]))</f>
        <v>2157.6740195524776</v>
      </c>
      <c r="U26" s="10">
        <f>Tabella211[[#This Row],[Cum_R_fit]]+CIr</f>
        <v>2953.6430112420471</v>
      </c>
      <c r="V26" s="10">
        <f>MAX(Tabella211[[#This Row],[Cum_R_fit]]-CIr,0)</f>
        <v>1361.7050278629081</v>
      </c>
      <c r="W26" s="10">
        <f>'dpc-covid19-ita-andamento-naz'!K20</f>
        <v>1266</v>
      </c>
      <c r="X26" s="26">
        <f>Tabella211[[#This Row],[Cum_deaths]]-W25</f>
        <v>250</v>
      </c>
      <c r="Y26" s="65">
        <f>Tabella211[[#This Row],[Cum_deaths]]*NOT(ISBLANK(Tabella211[[#This Row],[Cum_deaths]]))</f>
        <v>1266</v>
      </c>
      <c r="Z26" s="50">
        <f>kh*t0h*_xlfn.GAMMA.DIST(Tabella211[[#This Row],[Day]]/t0h,wh+1,1,1)*_xlfn.GAMMA(wh+1)</f>
        <v>1065.5503428413692</v>
      </c>
      <c r="AA26" s="10">
        <f>kh*((Tabella211[[#This Row],[Day]]/t0h)^wh)*EXP(-(Tabella211[[#This Row],[Day]]/t0h))</f>
        <v>275.80894310680929</v>
      </c>
      <c r="AB26" s="65">
        <f>Tabella211[[#This Row],[Cum_D_fit]]*NOT(ISBLANK(Tabella211[[#This Row],[Cum_deaths]]))</f>
        <v>1065.5503428413692</v>
      </c>
      <c r="AC26" s="10">
        <f>Tabella211[[#This Row],[Cum_D_fit]]+CIh</f>
        <v>1293.4934553095761</v>
      </c>
      <c r="AD26" s="10">
        <f>MAX(Tabella211[[#This Row],[Cum_D_fit]]-CIh,0)</f>
        <v>837.60723037316234</v>
      </c>
      <c r="AE26" s="1"/>
      <c r="AF26" s="81" t="s">
        <v>101</v>
      </c>
      <c r="AG26" s="84" cm="1">
        <f t="array" ref="AG26">1-SUM((Tabella211[Colonna3]-Tabella211[Colonna4])^2)/SUM((Tabella211[Colonna3]-Mean_of_yr)^2)</f>
        <v>0.99904449654497796</v>
      </c>
      <c r="AT26" s="106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k*t0*_xlfn.GAMMA.DIST(Tabella211[[#This Row],[Day]]/t0,w+1,1,1)*_xlfn.GAMMA(w+1)</f>
        <v>21553.604478829315</v>
      </c>
      <c r="H27" s="10">
        <f>k*((Tabella211[[#This Row],[Day]]/t0)^w)*EXP(-(Tabella211[[#This Row],[Day]]/t0))</f>
        <v>3628.5231184481031</v>
      </c>
      <c r="I27" s="56">
        <f>Tabella211[[#This Row],[Cum_fit]]*NOT(ISBLANK(Tabella211[[#This Row],[Cum_confirmed]]))</f>
        <v>21553.604478829315</v>
      </c>
      <c r="J27" s="10">
        <f>Tabella211[[#This Row],[Cum_fit]]+CI</f>
        <v>24124.648105402688</v>
      </c>
      <c r="K27" s="10">
        <f>MAX(Tabella211[[#This Row],[Cum_fit]]-CI,0)</f>
        <v>18982.560852255941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2931.0304851633041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kr*t0r*_xlfn.GAMMA.DIST(Tabella211[[#This Row],[Day]]/t0r,wr+1,1,1)*_xlfn.GAMMA(wr+1)</f>
        <v>2513.7477631139136</v>
      </c>
      <c r="S27" s="10">
        <f>kr*((Tabella211[[#This Row],[Day]]/t0r)^wr)*EXP(-(Tabella211[[#This Row],[Day]]/t0r))</f>
        <v>373.71212211305919</v>
      </c>
      <c r="T27" s="60">
        <f>Tabella211[[#This Row],[Cum_R_fit]]*NOT(ISBLANK(Tabella211[[#This Row],[Cum_recov]]))</f>
        <v>2513.7477631139136</v>
      </c>
      <c r="U27" s="10">
        <f>Tabella211[[#This Row],[Cum_R_fit]]+CIr</f>
        <v>3309.7167548034831</v>
      </c>
      <c r="V27" s="10">
        <f>MAX(Tabella211[[#This Row],[Cum_R_fit]]-CIr,0)</f>
        <v>1717.7787714243441</v>
      </c>
      <c r="W27" s="10">
        <f>'dpc-covid19-ita-andamento-naz'!K21</f>
        <v>1441</v>
      </c>
      <c r="X27" s="26">
        <f>Tabella211[[#This Row],[Cum_deaths]]-W26</f>
        <v>175</v>
      </c>
      <c r="Y27" s="65">
        <f>Tabella211[[#This Row],[Cum_deaths]]*NOT(ISBLANK(Tabella211[[#This Row],[Cum_deaths]]))</f>
        <v>1441</v>
      </c>
      <c r="Z27" s="50">
        <f>kh*t0h*_xlfn.GAMMA.DIST(Tabella211[[#This Row],[Day]]/t0h,wh+1,1,1)*_xlfn.GAMMA(wh+1)</f>
        <v>1365.189603904184</v>
      </c>
      <c r="AA27" s="10">
        <f>kh*((Tabella211[[#This Row],[Day]]/t0h)^wh)*EXP(-(Tabella211[[#This Row],[Day]]/t0h))</f>
        <v>323.78051117173976</v>
      </c>
      <c r="AB27" s="65">
        <f>Tabella211[[#This Row],[Cum_D_fit]]*NOT(ISBLANK(Tabella211[[#This Row],[Cum_deaths]]))</f>
        <v>1365.189603904184</v>
      </c>
      <c r="AC27" s="10">
        <f>Tabella211[[#This Row],[Cum_D_fit]]+CIh</f>
        <v>1593.1327163723909</v>
      </c>
      <c r="AD27" s="10">
        <f>MAX(Tabella211[[#This Row],[Cum_D_fit]]-CIh,0)</f>
        <v>1137.2464914359771</v>
      </c>
      <c r="AE27" s="1"/>
      <c r="AF27" s="81" t="s">
        <v>6</v>
      </c>
      <c r="AG27" s="84">
        <f>TINV(0.05,dfr)</f>
        <v>2.0117405137297668</v>
      </c>
      <c r="AT27" s="107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k*t0*_xlfn.GAMMA.DIST(Tabella211[[#This Row],[Day]]/t0,w+1,1,1)*_xlfn.GAMMA(w+1)</f>
        <v>25331.400185332339</v>
      </c>
      <c r="H28" s="10">
        <f>k*((Tabella211[[#This Row],[Day]]/t0)^w)*EXP(-(Tabella211[[#This Row],[Day]]/t0))</f>
        <v>3923.7437261026857</v>
      </c>
      <c r="I28" s="56">
        <f>Tabella211[[#This Row],[Cum_fit]]*NOT(ISBLANK(Tabella211[[#This Row],[Cum_confirmed]]))</f>
        <v>25331.400185332339</v>
      </c>
      <c r="J28" s="10">
        <f>Tabella211[[#This Row],[Cum_fit]]+CI</f>
        <v>27902.443811905712</v>
      </c>
      <c r="K28" s="10">
        <f>MAX(Tabella211[[#This Row],[Cum_fit]]-CI,0)</f>
        <v>22760.356558758966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3140.3474527151066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kr*t0r*_xlfn.GAMMA.DIST(Tabella211[[#This Row],[Day]]/t0r,wr+1,1,1)*_xlfn.GAMMA(wr+1)</f>
        <v>2905.6057298970891</v>
      </c>
      <c r="S28" s="10">
        <f>kr*((Tabella211[[#This Row],[Day]]/t0r)^wr)*EXP(-(Tabella211[[#This Row],[Day]]/t0r))</f>
        <v>410.2560187102053</v>
      </c>
      <c r="T28" s="60">
        <f>Tabella211[[#This Row],[Cum_R_fit]]*NOT(ISBLANK(Tabella211[[#This Row],[Cum_recov]]))</f>
        <v>2905.6057298970891</v>
      </c>
      <c r="U28" s="10">
        <f>Tabella211[[#This Row],[Cum_R_fit]]+CIr</f>
        <v>3701.5747215866586</v>
      </c>
      <c r="V28" s="10">
        <f>MAX(Tabella211[[#This Row],[Cum_R_fit]]-CIr,0)</f>
        <v>2109.6367382075196</v>
      </c>
      <c r="W28" s="10">
        <f>'dpc-covid19-ita-andamento-naz'!K22</f>
        <v>1809</v>
      </c>
      <c r="X28" s="26">
        <f>Tabella211[[#This Row],[Cum_deaths]]-W27</f>
        <v>368</v>
      </c>
      <c r="Y28" s="65">
        <f>Tabella211[[#This Row],[Cum_deaths]]*NOT(ISBLANK(Tabella211[[#This Row],[Cum_deaths]]))</f>
        <v>1809</v>
      </c>
      <c r="Z28" s="50">
        <f>kh*t0h*_xlfn.GAMMA.DIST(Tabella211[[#This Row],[Day]]/t0h,wh+1,1,1)*_xlfn.GAMMA(wh+1)</f>
        <v>1713.574503183816</v>
      </c>
      <c r="AA28" s="10">
        <f>kh*((Tabella211[[#This Row],[Day]]/t0h)^wh)*EXP(-(Tabella211[[#This Row],[Day]]/t0h))</f>
        <v>373.14025467737366</v>
      </c>
      <c r="AB28" s="65">
        <f>Tabella211[[#This Row],[Cum_D_fit]]*NOT(ISBLANK(Tabella211[[#This Row],[Cum_deaths]]))</f>
        <v>1713.574503183816</v>
      </c>
      <c r="AC28" s="10">
        <f>Tabella211[[#This Row],[Cum_D_fit]]+CIh</f>
        <v>1941.5176156520229</v>
      </c>
      <c r="AD28" s="10">
        <f>MAX(Tabella211[[#This Row],[Cum_D_fit]]-CIh,0)</f>
        <v>1485.6313907156091</v>
      </c>
      <c r="AE28" s="1"/>
      <c r="AF28" s="81" t="s">
        <v>7</v>
      </c>
      <c r="AG28" s="82">
        <f>Critical_tr*SE_of_yr</f>
        <v>795.96899168956941</v>
      </c>
      <c r="AT28" s="101">
        <f>MAX($AG$38)</f>
        <v>0.99982322112815314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k*t0*_xlfn.GAMMA.DIST(Tabella211[[#This Row],[Day]]/t0,w+1,1,1)*_xlfn.GAMMA(w+1)</f>
        <v>29393.833754034298</v>
      </c>
      <c r="H29" s="10">
        <f>k*((Tabella211[[#This Row],[Day]]/t0)^w)*EXP(-(Tabella211[[#This Row],[Day]]/t0))</f>
        <v>4197.2145102232498</v>
      </c>
      <c r="I29" s="56">
        <f>Tabella211[[#This Row],[Cum_fit]]*NOT(ISBLANK(Tabella211[[#This Row],[Cum_confirmed]]))</f>
        <v>29393.833754034298</v>
      </c>
      <c r="J29" s="10">
        <f>Tabella211[[#This Row],[Cum_fit]]+CI</f>
        <v>31964.877380607672</v>
      </c>
      <c r="K29" s="10">
        <f>MAX(Tabella211[[#This Row],[Cum_fit]]-CI,0)</f>
        <v>26822.790127460925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3325.9928143485181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kr*t0r*_xlfn.GAMMA.DIST(Tabella211[[#This Row],[Day]]/t0r,wr+1,1,1)*_xlfn.GAMMA(wr+1)</f>
        <v>3334.7612480665989</v>
      </c>
      <c r="S29" s="10">
        <f>kr*((Tabella211[[#This Row],[Day]]/t0r)^wr)*EXP(-(Tabella211[[#This Row],[Day]]/t0r))</f>
        <v>448.3042846493662</v>
      </c>
      <c r="T29" s="60">
        <f>Tabella211[[#This Row],[Cum_R_fit]]*NOT(ISBLANK(Tabella211[[#This Row],[Cum_recov]]))</f>
        <v>3334.7612480665989</v>
      </c>
      <c r="U29" s="10">
        <f>Tabella211[[#This Row],[Cum_R_fit]]+CIr</f>
        <v>4130.730239756168</v>
      </c>
      <c r="V29" s="10">
        <f>MAX(Tabella211[[#This Row],[Cum_R_fit]]-CIr,0)</f>
        <v>2538.7922563770294</v>
      </c>
      <c r="W29" s="10">
        <f>'dpc-covid19-ita-andamento-naz'!K23</f>
        <v>2158</v>
      </c>
      <c r="X29" s="26">
        <f>Tabella211[[#This Row],[Cum_deaths]]-W28</f>
        <v>349</v>
      </c>
      <c r="Y29" s="65">
        <f>Tabella211[[#This Row],[Cum_deaths]]*NOT(ISBLANK(Tabella211[[#This Row],[Cum_deaths]]))</f>
        <v>2158</v>
      </c>
      <c r="Z29" s="50">
        <f>kh*t0h*_xlfn.GAMMA.DIST(Tabella211[[#This Row],[Day]]/t0h,wh+1,1,1)*_xlfn.GAMMA(wh+1)</f>
        <v>2111.6092103268288</v>
      </c>
      <c r="AA29" s="10">
        <f>kh*((Tabella211[[#This Row],[Day]]/t0h)^wh)*EXP(-(Tabella211[[#This Row],[Day]]/t0h))</f>
        <v>422.91741122536547</v>
      </c>
      <c r="AB29" s="65">
        <f>Tabella211[[#This Row],[Cum_D_fit]]*NOT(ISBLANK(Tabella211[[#This Row],[Cum_deaths]]))</f>
        <v>2111.6092103268288</v>
      </c>
      <c r="AC29" s="10">
        <f>Tabella211[[#This Row],[Cum_D_fit]]+CIh</f>
        <v>2339.5523227950357</v>
      </c>
      <c r="AD29" s="10">
        <f>MAX(Tabella211[[#This Row],[Cum_D_fit]]-CIh,0)</f>
        <v>1883.6660978586219</v>
      </c>
      <c r="AE29" s="1"/>
      <c r="AF29" s="85" t="s">
        <v>99</v>
      </c>
      <c r="AG29" s="82">
        <f>kr*t0r*_xlfn.GAMMA(wr+1)</f>
        <v>811713507.8027637</v>
      </c>
      <c r="AT29" s="102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k*t0*_xlfn.GAMMA.DIST(Tabella211[[#This Row],[Day]]/t0,w+1,1,1)*_xlfn.GAMMA(w+1)</f>
        <v>33717.525855455606</v>
      </c>
      <c r="H30" s="10">
        <f>k*((Tabella211[[#This Row],[Day]]/t0)^w)*EXP(-(Tabella211[[#This Row],[Day]]/t0))</f>
        <v>4445.7997426347474</v>
      </c>
      <c r="I30" s="56">
        <f>Tabella211[[#This Row],[Cum_fit]]*NOT(ISBLANK(Tabella211[[#This Row],[Cum_confirmed]]))</f>
        <v>33717.525855455606</v>
      </c>
      <c r="J30" s="10">
        <f>Tabella211[[#This Row],[Cum_fit]]+CI</f>
        <v>36288.569482028979</v>
      </c>
      <c r="K30" s="10">
        <f>MAX(Tabella211[[#This Row],[Cum_fit]]-CI,0)</f>
        <v>31146.482228882232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3485.8157588946815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kr*t0r*_xlfn.GAMMA.DIST(Tabella211[[#This Row],[Day]]/t0r,wr+1,1,1)*_xlfn.GAMMA(wr+1)</f>
        <v>3802.7099959696893</v>
      </c>
      <c r="S30" s="10">
        <f>kr*((Tabella211[[#This Row],[Day]]/t0r)^wr)*EXP(-(Tabella211[[#This Row],[Day]]/t0r))</f>
        <v>487.83966506572091</v>
      </c>
      <c r="T30" s="60">
        <f>Tabella211[[#This Row],[Cum_R_fit]]*NOT(ISBLANK(Tabella211[[#This Row],[Cum_recov]]))</f>
        <v>3802.7099959696893</v>
      </c>
      <c r="U30" s="10">
        <f>Tabella211[[#This Row],[Cum_R_fit]]+CIr</f>
        <v>4598.6789876592584</v>
      </c>
      <c r="V30" s="10">
        <f>MAX(Tabella211[[#This Row],[Cum_R_fit]]-CIr,0)</f>
        <v>3006.7410042801198</v>
      </c>
      <c r="W30" s="10">
        <f>'dpc-covid19-ita-andamento-naz'!K24</f>
        <v>2503</v>
      </c>
      <c r="X30" s="26">
        <f>Tabella211[[#This Row],[Cum_deaths]]-W29</f>
        <v>345</v>
      </c>
      <c r="Y30" s="65">
        <f>Tabella211[[#This Row],[Cum_deaths]]*NOT(ISBLANK(Tabella211[[#This Row],[Cum_deaths]]))</f>
        <v>2503</v>
      </c>
      <c r="Z30" s="50">
        <f>kh*t0h*_xlfn.GAMMA.DIST(Tabella211[[#This Row],[Day]]/t0h,wh+1,1,1)*_xlfn.GAMMA(wh+1)</f>
        <v>2559.225466730119</v>
      </c>
      <c r="AA30" s="10">
        <f>kh*((Tabella211[[#This Row],[Day]]/t0h)^wh)*EXP(-(Tabella211[[#This Row],[Day]]/t0h))</f>
        <v>472.14431867434485</v>
      </c>
      <c r="AB30" s="65">
        <f>Tabella211[[#This Row],[Cum_D_fit]]*NOT(ISBLANK(Tabella211[[#This Row],[Cum_deaths]]))</f>
        <v>2559.225466730119</v>
      </c>
      <c r="AC30" s="10">
        <f>Tabella211[[#This Row],[Cum_D_fit]]+CIh</f>
        <v>2787.1685791983259</v>
      </c>
      <c r="AD30" s="10">
        <f>MAX(Tabella211[[#This Row],[Cum_D_fit]]-CIh,0)</f>
        <v>2331.2823542619121</v>
      </c>
      <c r="AE30" s="1"/>
      <c r="AF30" s="118"/>
      <c r="AG30" s="119"/>
      <c r="AT30" s="102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k*t0*_xlfn.GAMMA.DIST(Tabella211[[#This Row],[Day]]/t0,w+1,1,1)*_xlfn.GAMMA(w+1)</f>
        <v>38276.329078842056</v>
      </c>
      <c r="H31" s="10">
        <f>k*((Tabella211[[#This Row],[Day]]/t0)^w)*EXP(-(Tabella211[[#This Row],[Day]]/t0))</f>
        <v>4667.096049636838</v>
      </c>
      <c r="I31" s="56">
        <f>Tabella211[[#This Row],[Cum_fit]]*NOT(ISBLANK(Tabella211[[#This Row],[Cum_confirmed]]))</f>
        <v>38276.329078842056</v>
      </c>
      <c r="J31" s="10">
        <f>Tabella211[[#This Row],[Cum_fit]]+CI</f>
        <v>40847.37270541543</v>
      </c>
      <c r="K31" s="10">
        <f>MAX(Tabella211[[#This Row],[Cum_fit]]-CI,0)</f>
        <v>35705.285452268683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3618.3579757919688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kr*t0r*_xlfn.GAMMA.DIST(Tabella211[[#This Row],[Day]]/t0r,wr+1,1,1)*_xlfn.GAMMA(wr+1)</f>
        <v>4310.930766076367</v>
      </c>
      <c r="S31" s="10">
        <f>kr*((Tabella211[[#This Row],[Day]]/t0r)^wr)*EXP(-(Tabella211[[#This Row],[Day]]/t0r))</f>
        <v>528.84563104213998</v>
      </c>
      <c r="T31" s="60">
        <f>Tabella211[[#This Row],[Cum_R_fit]]*NOT(ISBLANK(Tabella211[[#This Row],[Cum_recov]]))</f>
        <v>4310.930766076367</v>
      </c>
      <c r="U31" s="10">
        <f>Tabella211[[#This Row],[Cum_R_fit]]+CIr</f>
        <v>5106.8997577659366</v>
      </c>
      <c r="V31" s="10">
        <f>MAX(Tabella211[[#This Row],[Cum_R_fit]]-CIr,0)</f>
        <v>3514.9617743867975</v>
      </c>
      <c r="W31" s="10">
        <f>'dpc-covid19-ita-andamento-naz'!K25</f>
        <v>2978</v>
      </c>
      <c r="X31" s="26">
        <f>Tabella211[[#This Row],[Cum_deaths]]-W30</f>
        <v>475</v>
      </c>
      <c r="Y31" s="65">
        <f>Tabella211[[#This Row],[Cum_deaths]]*NOT(ISBLANK(Tabella211[[#This Row],[Cum_deaths]]))</f>
        <v>2978</v>
      </c>
      <c r="Z31" s="50">
        <f>kh*t0h*_xlfn.GAMMA.DIST(Tabella211[[#This Row],[Day]]/t0h,wh+1,1,1)*_xlfn.GAMMA(wh+1)</f>
        <v>3055.4041405950684</v>
      </c>
      <c r="AA31" s="10">
        <f>kh*((Tabella211[[#This Row],[Day]]/t0h)^wh)*EXP(-(Tabella211[[#This Row],[Day]]/t0h))</f>
        <v>519.89244280272931</v>
      </c>
      <c r="AB31" s="65">
        <f>Tabella211[[#This Row],[Cum_D_fit]]*NOT(ISBLANK(Tabella211[[#This Row],[Cum_deaths]]))</f>
        <v>3055.4041405950684</v>
      </c>
      <c r="AC31" s="10">
        <f>Tabella211[[#This Row],[Cum_D_fit]]+CIh</f>
        <v>3283.3472530632753</v>
      </c>
      <c r="AD31" s="10">
        <f>MAX(Tabella211[[#This Row],[Cum_D_fit]]-CIh,0)</f>
        <v>2827.4610281268615</v>
      </c>
      <c r="AE31" s="1"/>
      <c r="AF31" s="23" t="s">
        <v>53</v>
      </c>
      <c r="AG31" s="69" t="s">
        <v>55</v>
      </c>
      <c r="AT31" s="102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k*t0*_xlfn.GAMMA.DIST(Tabella211[[#This Row],[Day]]/t0,w+1,1,1)*_xlfn.GAMMA(w+1)</f>
        <v>43042.048068744916</v>
      </c>
      <c r="H32" s="10">
        <f>k*((Tabella211[[#This Row],[Day]]/t0)^w)*EXP(-(Tabella211[[#This Row],[Day]]/t0))</f>
        <v>4859.404756100399</v>
      </c>
      <c r="I32" s="56">
        <f>Tabella211[[#This Row],[Cum_fit]]*NOT(ISBLANK(Tabella211[[#This Row],[Cum_confirmed]]))</f>
        <v>43042.048068744916</v>
      </c>
      <c r="J32" s="10">
        <f>Tabella211[[#This Row],[Cum_fit]]+CI</f>
        <v>45613.09169531829</v>
      </c>
      <c r="K32" s="10">
        <f>MAX(Tabella211[[#This Row],[Cum_fit]]-CI,0)</f>
        <v>40471.004442171543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3722.7958328617647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kr*t0r*_xlfn.GAMMA.DIST(Tabella211[[#This Row],[Day]]/t0r,wr+1,1,1)*_xlfn.GAMMA(wr+1)</f>
        <v>4860.8861565408424</v>
      </c>
      <c r="S32" s="10">
        <f>kr*((Tabella211[[#This Row],[Day]]/t0r)^wr)*EXP(-(Tabella211[[#This Row],[Day]]/t0r))</f>
        <v>571.3063124698208</v>
      </c>
      <c r="T32" s="60">
        <f>Tabella211[[#This Row],[Cum_R_fit]]*NOT(ISBLANK(Tabella211[[#This Row],[Cum_recov]]))</f>
        <v>4860.8861565408424</v>
      </c>
      <c r="U32" s="10">
        <f>Tabella211[[#This Row],[Cum_R_fit]]+CIr</f>
        <v>5656.8551482304119</v>
      </c>
      <c r="V32" s="10">
        <f>MAX(Tabella211[[#This Row],[Cum_R_fit]]-CIr,0)</f>
        <v>4064.9171648512729</v>
      </c>
      <c r="W32" s="10">
        <f>'dpc-covid19-ita-andamento-naz'!K26</f>
        <v>3405</v>
      </c>
      <c r="X32" s="26">
        <f>Tabella211[[#This Row],[Cum_deaths]]-W31</f>
        <v>427</v>
      </c>
      <c r="Y32" s="65">
        <f>Tabella211[[#This Row],[Cum_deaths]]*NOT(ISBLANK(Tabella211[[#This Row],[Cum_deaths]]))</f>
        <v>3405</v>
      </c>
      <c r="Z32" s="50">
        <f>kh*t0h*_xlfn.GAMMA.DIST(Tabella211[[#This Row],[Day]]/t0h,wh+1,1,1)*_xlfn.GAMMA(wh+1)</f>
        <v>3598.2299898000206</v>
      </c>
      <c r="AA32" s="10">
        <f>kh*((Tabella211[[#This Row],[Day]]/t0h)^wh)*EXP(-(Tabella211[[#This Row],[Day]]/t0h))</f>
        <v>565.30261076881345</v>
      </c>
      <c r="AB32" s="65">
        <f>Tabella211[[#This Row],[Cum_D_fit]]*NOT(ISBLANK(Tabella211[[#This Row],[Cum_deaths]]))</f>
        <v>3598.2299898000206</v>
      </c>
      <c r="AC32" s="10">
        <f>Tabella211[[#This Row],[Cum_D_fit]]+CIh</f>
        <v>3826.1731022682275</v>
      </c>
      <c r="AD32" s="10">
        <f>MAX(Tabella211[[#This Row],[Cum_D_fit]]-CIh,0)</f>
        <v>3370.2868773318137</v>
      </c>
      <c r="AE32" s="1"/>
      <c r="AF32" s="70" t="s">
        <v>108</v>
      </c>
      <c r="AG32" s="71">
        <v>2.0075885154267463</v>
      </c>
      <c r="AT32" s="102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k*t0*_xlfn.GAMMA.DIST(Tabella211[[#This Row],[Day]]/t0,w+1,1,1)*_xlfn.GAMMA(w+1)</f>
        <v>47985.123215984298</v>
      </c>
      <c r="H33" s="10">
        <f>k*((Tabella211[[#This Row],[Day]]/t0)^w)*EXP(-(Tabella211[[#This Row],[Day]]/t0))</f>
        <v>5021.6875012318742</v>
      </c>
      <c r="I33" s="56">
        <f>Tabella211[[#This Row],[Cum_fit]]*NOT(ISBLANK(Tabella211[[#This Row],[Cum_confirmed]]))</f>
        <v>47985.123215984298</v>
      </c>
      <c r="J33" s="10">
        <f>Tabella211[[#This Row],[Cum_fit]]+CI</f>
        <v>50556.166842557672</v>
      </c>
      <c r="K33" s="10">
        <f>MAX(Tabella211[[#This Row],[Cum_fit]]-CI,0)</f>
        <v>45414.079589410925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3798.8722615525439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kr*t0r*_xlfn.GAMMA.DIST(Tabella211[[#This Row],[Day]]/t0r,wr+1,1,1)*_xlfn.GAMMA(wr+1)</f>
        <v>5454.0232002284938</v>
      </c>
      <c r="S33" s="10">
        <f>kr*((Tabella211[[#This Row],[Day]]/t0r)^wr)*EXP(-(Tabella211[[#This Row],[Day]]/t0r))</f>
        <v>615.20643983734351</v>
      </c>
      <c r="T33" s="60">
        <f>Tabella211[[#This Row],[Cum_R_fit]]*NOT(ISBLANK(Tabella211[[#This Row],[Cum_recov]]))</f>
        <v>5454.0232002284938</v>
      </c>
      <c r="U33" s="10">
        <f>Tabella211[[#This Row],[Cum_R_fit]]+CIr</f>
        <v>6249.9921919180633</v>
      </c>
      <c r="V33" s="10">
        <f>MAX(Tabella211[[#This Row],[Cum_R_fit]]-CIr,0)</f>
        <v>4658.0542085389243</v>
      </c>
      <c r="W33" s="10">
        <f>'dpc-covid19-ita-andamento-naz'!K27</f>
        <v>4032</v>
      </c>
      <c r="X33" s="26">
        <f>Tabella211[[#This Row],[Cum_deaths]]-W32</f>
        <v>627</v>
      </c>
      <c r="Y33" s="65">
        <f>Tabella211[[#This Row],[Cum_deaths]]*NOT(ISBLANK(Tabella211[[#This Row],[Cum_deaths]]))</f>
        <v>4032</v>
      </c>
      <c r="Z33" s="50">
        <f>kh*t0h*_xlfn.GAMMA.DIST(Tabella211[[#This Row],[Day]]/t0h,wh+1,1,1)*_xlfn.GAMMA(wh+1)</f>
        <v>4184.973468064336</v>
      </c>
      <c r="AA33" s="10">
        <f>kh*((Tabella211[[#This Row],[Day]]/t0h)^wh)*EXP(-(Tabella211[[#This Row],[Day]]/t0h))</f>
        <v>607.60879984198721</v>
      </c>
      <c r="AB33" s="65">
        <f>Tabella211[[#This Row],[Cum_D_fit]]*NOT(ISBLANK(Tabella211[[#This Row],[Cum_deaths]]))</f>
        <v>4184.973468064336</v>
      </c>
      <c r="AC33" s="10">
        <f>Tabella211[[#This Row],[Cum_D_fit]]+CIh</f>
        <v>4412.9165805325429</v>
      </c>
      <c r="AD33" s="10">
        <f>MAX(Tabella211[[#This Row],[Cum_D_fit]]-CIh,0)</f>
        <v>3957.0303555961291</v>
      </c>
      <c r="AE33" s="1"/>
      <c r="AF33" s="70" t="s">
        <v>86</v>
      </c>
      <c r="AG33" s="71">
        <v>5.0093968449710848</v>
      </c>
      <c r="AT33" s="103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k*t0*_xlfn.GAMMA.DIST(Tabella211[[#This Row],[Day]]/t0,w+1,1,1)*_xlfn.GAMMA(w+1)</f>
        <v>53075.263626824664</v>
      </c>
      <c r="H34" s="10">
        <f>k*((Tabella211[[#This Row],[Day]]/t0)^w)*EXP(-(Tabella211[[#This Row],[Day]]/t0))</f>
        <v>5153.5099273076185</v>
      </c>
      <c r="I34" s="56">
        <f>Tabella211[[#This Row],[Cum_fit]]*NOT(ISBLANK(Tabella211[[#This Row],[Cum_confirmed]]))</f>
        <v>53075.263626824664</v>
      </c>
      <c r="J34" s="10">
        <f>Tabella211[[#This Row],[Cum_fit]]+CI</f>
        <v>55646.307253398038</v>
      </c>
      <c r="K34" s="10">
        <f>MAX(Tabella211[[#This Row],[Cum_fit]]-CI,0)</f>
        <v>50504.220000251291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3846.823310962176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kr*t0r*_xlfn.GAMMA.DIST(Tabella211[[#This Row],[Day]]/t0r,wr+1,1,1)*_xlfn.GAMMA(wr+1)</f>
        <v>6091.7739393540396</v>
      </c>
      <c r="S34" s="10">
        <f>kr*((Tabella211[[#This Row],[Day]]/t0r)^wr)*EXP(-(Tabella211[[#This Row],[Day]]/t0r))</f>
        <v>660.53129344084914</v>
      </c>
      <c r="T34" s="60">
        <f>Tabella211[[#This Row],[Cum_R_fit]]*NOT(ISBLANK(Tabella211[[#This Row],[Cum_recov]]))</f>
        <v>6091.7739393540396</v>
      </c>
      <c r="U34" s="10">
        <f>Tabella211[[#This Row],[Cum_R_fit]]+CIr</f>
        <v>6887.7429310436091</v>
      </c>
      <c r="V34" s="10">
        <f>MAX(Tabella211[[#This Row],[Cum_R_fit]]-CIr,0)</f>
        <v>5295.8049476644701</v>
      </c>
      <c r="W34" s="10">
        <f>'dpc-covid19-ita-andamento-naz'!K28</f>
        <v>4825</v>
      </c>
      <c r="X34" s="26">
        <f>Tabella211[[#This Row],[Cum_deaths]]-W33</f>
        <v>793</v>
      </c>
      <c r="Y34" s="65">
        <f>Tabella211[[#This Row],[Cum_deaths]]*NOT(ISBLANK(Tabella211[[#This Row],[Cum_deaths]]))</f>
        <v>4825</v>
      </c>
      <c r="Z34" s="50">
        <f>kh*t0h*_xlfn.GAMMA.DIST(Tabella211[[#This Row],[Day]]/t0h,wh+1,1,1)*_xlfn.GAMMA(wh+1)</f>
        <v>4812.1930135948587</v>
      </c>
      <c r="AA34" s="10">
        <f>kh*((Tabella211[[#This Row],[Day]]/t0h)^wh)*EXP(-(Tabella211[[#This Row],[Day]]/t0h))</f>
        <v>646.15532290459316</v>
      </c>
      <c r="AB34" s="65">
        <f>Tabella211[[#This Row],[Cum_D_fit]]*NOT(ISBLANK(Tabella211[[#This Row],[Cum_deaths]]))</f>
        <v>4812.1930135948587</v>
      </c>
      <c r="AC34" s="10">
        <f>Tabella211[[#This Row],[Cum_D_fit]]+CIh</f>
        <v>5040.1361260630656</v>
      </c>
      <c r="AD34" s="10">
        <f>MAX(Tabella211[[#This Row],[Cum_D_fit]]-CIh,0)</f>
        <v>4584.2499011266518</v>
      </c>
      <c r="AE34" s="1"/>
      <c r="AF34" s="70" t="s">
        <v>1</v>
      </c>
      <c r="AG34" s="71">
        <v>6.6580505435120383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k*t0*_xlfn.GAMMA.DIST(Tabella211[[#This Row],[Day]]/t0,w+1,1,1)*_xlfn.GAMMA(w+1)</f>
        <v>58282.019579486412</v>
      </c>
      <c r="H35" s="10">
        <f>k*((Tabella211[[#This Row],[Day]]/t0)^w)*EXP(-(Tabella211[[#This Row],[Day]]/t0))</f>
        <v>5254.9776052959041</v>
      </c>
      <c r="I35" s="56">
        <f>Tabella211[[#This Row],[Cum_fit]]*NOT(ISBLANK(Tabella211[[#This Row],[Cum_confirmed]]))</f>
        <v>58282.019579486412</v>
      </c>
      <c r="J35" s="10">
        <f>Tabella211[[#This Row],[Cum_fit]]+CI</f>
        <v>60853.063206059785</v>
      </c>
      <c r="K35" s="10">
        <f>MAX(Tabella211[[#This Row],[Cum_fit]]-CI,0)</f>
        <v>55710.975952913039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3867.3033040180267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kr*t0r*_xlfn.GAMMA.DIST(Tabella211[[#This Row],[Day]]/t0r,wr+1,1,1)*_xlfn.GAMMA(wr+1)</f>
        <v>6775.5559525285034</v>
      </c>
      <c r="S35" s="10">
        <f>kr*((Tabella211[[#This Row],[Day]]/t0r)^wr)*EXP(-(Tabella211[[#This Row],[Day]]/t0r))</f>
        <v>707.26665881202996</v>
      </c>
      <c r="T35" s="60">
        <f>Tabella211[[#This Row],[Cum_R_fit]]*NOT(ISBLANK(Tabella211[[#This Row],[Cum_recov]]))</f>
        <v>6775.5559525285034</v>
      </c>
      <c r="U35" s="10">
        <f>Tabella211[[#This Row],[Cum_R_fit]]+CIr</f>
        <v>7571.524944218073</v>
      </c>
      <c r="V35" s="10">
        <f>MAX(Tabella211[[#This Row],[Cum_R_fit]]-CIr,0)</f>
        <v>5979.5869608389339</v>
      </c>
      <c r="W35" s="10">
        <f>'dpc-covid19-ita-andamento-naz'!K29</f>
        <v>5476</v>
      </c>
      <c r="X35" s="26">
        <f>Tabella211[[#This Row],[Cum_deaths]]-W34</f>
        <v>651</v>
      </c>
      <c r="Y35" s="65">
        <f>Tabella211[[#This Row],[Cum_deaths]]*NOT(ISBLANK(Tabella211[[#This Row],[Cum_deaths]]))</f>
        <v>5476</v>
      </c>
      <c r="Z35" s="50">
        <f>kh*t0h*_xlfn.GAMMA.DIST(Tabella211[[#This Row],[Day]]/t0h,wh+1,1,1)*_xlfn.GAMMA(wh+1)</f>
        <v>5475.8513046403714</v>
      </c>
      <c r="AA35" s="10">
        <f>kh*((Tabella211[[#This Row],[Day]]/t0h)^wh)*EXP(-(Tabella211[[#This Row],[Day]]/t0h))</f>
        <v>680.40764246584752</v>
      </c>
      <c r="AB35" s="65">
        <f>Tabella211[[#This Row],[Cum_D_fit]]*NOT(ISBLANK(Tabella211[[#This Row],[Cum_deaths]]))</f>
        <v>5475.8513046403714</v>
      </c>
      <c r="AC35" s="10">
        <f>Tabella211[[#This Row],[Cum_D_fit]]+CIh</f>
        <v>5703.7944171085783</v>
      </c>
      <c r="AD35" s="10">
        <f>MAX(Tabella211[[#This Row],[Cum_D_fit]]-CIh,0)</f>
        <v>5247.9081921721645</v>
      </c>
      <c r="AF35" s="72" t="s">
        <v>2</v>
      </c>
      <c r="AG35" s="35">
        <f>AVERAGE(Tabella211[Cum_deaths])</f>
        <v>6758.82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k*t0*_xlfn.GAMMA.DIST(Tabella211[[#This Row],[Day]]/t0,w+1,1,1)*_xlfn.GAMMA(w+1)</f>
        <v>63575.288516031142</v>
      </c>
      <c r="H36" s="10">
        <f>k*((Tabella211[[#This Row],[Day]]/t0)^w)*EXP(-(Tabella211[[#This Row],[Day]]/t0))</f>
        <v>5326.6677125317165</v>
      </c>
      <c r="I36" s="56">
        <f>Tabella211[[#This Row],[Cum_fit]]*NOT(ISBLANK(Tabella211[[#This Row],[Cum_confirmed]]))</f>
        <v>63575.288516031142</v>
      </c>
      <c r="J36" s="10">
        <f>Tabella211[[#This Row],[Cum_fit]]+CI</f>
        <v>66146.332142604515</v>
      </c>
      <c r="K36" s="10">
        <f>MAX(Tabella211[[#This Row],[Cum_fit]]-CI,0)</f>
        <v>61004.244889457768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3861.3115916656843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kr*t0r*_xlfn.GAMMA.DIST(Tabella211[[#This Row],[Day]]/t0r,wr+1,1,1)*_xlfn.GAMMA(wr+1)</f>
        <v>7506.7728399306498</v>
      </c>
      <c r="S36" s="10">
        <f>kr*((Tabella211[[#This Row],[Day]]/t0r)^wr)*EXP(-(Tabella211[[#This Row],[Day]]/t0r))</f>
        <v>755.39878739401581</v>
      </c>
      <c r="T36" s="60">
        <f>Tabella211[[#This Row],[Cum_R_fit]]*NOT(ISBLANK(Tabella211[[#This Row],[Cum_recov]]))</f>
        <v>7506.7728399306498</v>
      </c>
      <c r="U36" s="10">
        <f>Tabella211[[#This Row],[Cum_R_fit]]+CIr</f>
        <v>8302.7418316202184</v>
      </c>
      <c r="V36" s="10">
        <f>MAX(Tabella211[[#This Row],[Cum_R_fit]]-CIr,0)</f>
        <v>6710.8038482410802</v>
      </c>
      <c r="W36" s="10">
        <f>'dpc-covid19-ita-andamento-naz'!K30</f>
        <v>6077</v>
      </c>
      <c r="X36" s="26">
        <f>Tabella211[[#This Row],[Cum_deaths]]-W35</f>
        <v>601</v>
      </c>
      <c r="Y36" s="65">
        <f>Tabella211[[#This Row],[Cum_deaths]]*NOT(ISBLANK(Tabella211[[#This Row],[Cum_deaths]]))</f>
        <v>6077</v>
      </c>
      <c r="Z36" s="50">
        <f>kh*t0h*_xlfn.GAMMA.DIST(Tabella211[[#This Row],[Day]]/t0h,wh+1,1,1)*_xlfn.GAMMA(wh+1)</f>
        <v>6171.4393506477199</v>
      </c>
      <c r="AA36" s="10">
        <f>kh*((Tabella211[[#This Row],[Day]]/t0h)^wh)*EXP(-(Tabella211[[#This Row],[Day]]/t0h))</f>
        <v>709.95733347201599</v>
      </c>
      <c r="AB36" s="65">
        <f>Tabella211[[#This Row],[Cum_D_fit]]*NOT(ISBLANK(Tabella211[[#This Row],[Cum_deaths]]))</f>
        <v>6171.4393506477199</v>
      </c>
      <c r="AC36" s="10">
        <f>Tabella211[[#This Row],[Cum_D_fit]]+CIh</f>
        <v>6399.3824631159268</v>
      </c>
      <c r="AD36" s="10">
        <f>MAX(Tabella211[[#This Row],[Cum_D_fit]]-CIh,0)</f>
        <v>5943.4962381795131</v>
      </c>
      <c r="AF36" s="72" t="s">
        <v>3</v>
      </c>
      <c r="AG36" s="35">
        <f>COUNT(Tabella211[Cum_deaths])-COUNT(AG32:AG34)</f>
        <v>47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k*t0*_xlfn.GAMMA.DIST(Tabella211[[#This Row],[Day]]/t0,w+1,1,1)*_xlfn.GAMMA(w+1)</f>
        <v>68925.751816432428</v>
      </c>
      <c r="H37" s="10">
        <f>k*((Tabella211[[#This Row],[Day]]/t0)^w)*EXP(-(Tabella211[[#This Row],[Day]]/t0))</f>
        <v>5369.5593505518118</v>
      </c>
      <c r="I37" s="56">
        <f>Tabella211[[#This Row],[Cum_fit]]*NOT(ISBLANK(Tabella211[[#This Row],[Cum_confirmed]]))</f>
        <v>68925.751816432428</v>
      </c>
      <c r="J37" s="10">
        <f>Tabella211[[#This Row],[Cum_fit]]+CI</f>
        <v>71496.795443005802</v>
      </c>
      <c r="K37" s="10">
        <f>MAX(Tabella211[[#This Row],[Cum_fit]]-CI,0)</f>
        <v>66354.708189859055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3830.1230794603807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kr*t0r*_xlfn.GAMMA.DIST(Tabella211[[#This Row],[Day]]/t0r,wr+1,1,1)*_xlfn.GAMMA(wr+1)</f>
        <v>8286.8146714433042</v>
      </c>
      <c r="S37" s="10">
        <f>kr*((Tabella211[[#This Row],[Day]]/t0r)^wr)*EXP(-(Tabella211[[#This Row],[Day]]/t0r))</f>
        <v>804.91436167654319</v>
      </c>
      <c r="T37" s="60">
        <f>Tabella211[[#This Row],[Cum_R_fit]]*NOT(ISBLANK(Tabella211[[#This Row],[Cum_recov]]))</f>
        <v>8286.8146714433042</v>
      </c>
      <c r="U37" s="10">
        <f>Tabella211[[#This Row],[Cum_R_fit]]+CIr</f>
        <v>9082.7836631328737</v>
      </c>
      <c r="V37" s="10">
        <f>MAX(Tabella211[[#This Row],[Cum_R_fit]]-CIr,0)</f>
        <v>7490.8456797537347</v>
      </c>
      <c r="W37" s="10">
        <f>'dpc-covid19-ita-andamento-naz'!K31</f>
        <v>6820</v>
      </c>
      <c r="X37" s="26">
        <f>Tabella211[[#This Row],[Cum_deaths]]-W36</f>
        <v>743</v>
      </c>
      <c r="Y37" s="65">
        <f>Tabella211[[#This Row],[Cum_deaths]]*NOT(ISBLANK(Tabella211[[#This Row],[Cum_deaths]]))</f>
        <v>6820</v>
      </c>
      <c r="Z37" s="50">
        <f>kh*t0h*_xlfn.GAMMA.DIST(Tabella211[[#This Row],[Day]]/t0h,wh+1,1,1)*_xlfn.GAMMA(wh+1)</f>
        <v>6894.1029125236855</v>
      </c>
      <c r="AA37" s="10">
        <f>kh*((Tabella211[[#This Row],[Day]]/t0h)^wh)*EXP(-(Tabella211[[#This Row],[Day]]/t0h))</f>
        <v>734.521909414888</v>
      </c>
      <c r="AB37" s="65">
        <f>Tabella211[[#This Row],[Cum_D_fit]]*NOT(ISBLANK(Tabella211[[#This Row],[Cum_deaths]]))</f>
        <v>6894.1029125236855</v>
      </c>
      <c r="AC37" s="10">
        <f>Tabella211[[#This Row],[Cum_D_fit]]+CIh</f>
        <v>7122.0460249918924</v>
      </c>
      <c r="AD37" s="10">
        <f>MAX(Tabella211[[#This Row],[Cum_D_fit]]-CIh,0)</f>
        <v>6666.1598000554786</v>
      </c>
      <c r="AF37" s="72" t="s">
        <v>4</v>
      </c>
      <c r="AG37" s="73" cm="1">
        <f t="array" ref="AG37">SQRT(SUM((Tabella211[Colonna5]-Tabella211[Colonna6])^2)/dfh)</f>
        <v>113.30641845334233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k*t0*_xlfn.GAMMA.DIST(Tabella211[[#This Row],[Day]]/t0,w+1,1,1)*_xlfn.GAMMA(w+1)</f>
        <v>74305.242193620506</v>
      </c>
      <c r="H38" s="10">
        <f>k*((Tabella211[[#This Row],[Day]]/t0)^w)*EXP(-(Tabella211[[#This Row],[Day]]/t0))</f>
        <v>5384.9648074574961</v>
      </c>
      <c r="I38" s="56">
        <f>Tabella211[[#This Row],[Cum_fit]]*NOT(ISBLANK(Tabella211[[#This Row],[Cum_confirmed]]))</f>
        <v>74305.242193620506</v>
      </c>
      <c r="J38" s="10">
        <f>Tabella211[[#This Row],[Cum_fit]]+CI</f>
        <v>76876.28582019388</v>
      </c>
      <c r="K38" s="10">
        <f>MAX(Tabella211[[#This Row],[Cum_fit]]-CI,0)</f>
        <v>71734.198567047133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3775.2240053806686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kr*t0r*_xlfn.GAMMA.DIST(Tabella211[[#This Row],[Day]]/t0r,wr+1,1,1)*_xlfn.GAMMA(wr+1)</f>
        <v>9117.05840187998</v>
      </c>
      <c r="S38" s="10">
        <f>kr*((Tabella211[[#This Row],[Day]]/t0r)^wr)*EXP(-(Tabella211[[#This Row],[Day]]/t0r))</f>
        <v>855.80046414397907</v>
      </c>
      <c r="T38" s="60">
        <f>Tabella211[[#This Row],[Cum_R_fit]]*NOT(ISBLANK(Tabella211[[#This Row],[Cum_recov]]))</f>
        <v>9117.05840187998</v>
      </c>
      <c r="U38" s="10">
        <f>Tabella211[[#This Row],[Cum_R_fit]]+CIr</f>
        <v>9913.0273935695495</v>
      </c>
      <c r="V38" s="10">
        <f>MAX(Tabella211[[#This Row],[Cum_R_fit]]-CIr,0)</f>
        <v>8321.0894101904105</v>
      </c>
      <c r="W38" s="10">
        <f>'dpc-covid19-ita-andamento-naz'!K32</f>
        <v>7503</v>
      </c>
      <c r="X38" s="26">
        <f>Tabella211[[#This Row],[Cum_deaths]]-W37</f>
        <v>683</v>
      </c>
      <c r="Y38" s="65">
        <f>Tabella211[[#This Row],[Cum_deaths]]*NOT(ISBLANK(Tabella211[[#This Row],[Cum_deaths]]))</f>
        <v>7503</v>
      </c>
      <c r="Z38" s="50">
        <f>kh*t0h*_xlfn.GAMMA.DIST(Tabella211[[#This Row],[Day]]/t0h,wh+1,1,1)*_xlfn.GAMMA(wh+1)</f>
        <v>7638.7665221683283</v>
      </c>
      <c r="AA38" s="10">
        <f>kh*((Tabella211[[#This Row],[Day]]/t0h)^wh)*EXP(-(Tabella211[[#This Row],[Day]]/t0h))</f>
        <v>753.94033793284837</v>
      </c>
      <c r="AB38" s="65">
        <f>Tabella211[[#This Row],[Cum_D_fit]]*NOT(ISBLANK(Tabella211[[#This Row],[Cum_deaths]]))</f>
        <v>7638.7665221683283</v>
      </c>
      <c r="AC38" s="10">
        <f>Tabella211[[#This Row],[Cum_D_fit]]+CIh</f>
        <v>7866.7096346365352</v>
      </c>
      <c r="AD38" s="10">
        <f>MAX(Tabella211[[#This Row],[Cum_D_fit]]-CIh,0)</f>
        <v>7410.8234097001214</v>
      </c>
      <c r="AF38" s="72" t="s">
        <v>87</v>
      </c>
      <c r="AG38" s="74" cm="1">
        <f t="array" ref="AG38">1-SUM((Tabella211[Colonna5]-Tabella211[Colonna6])^2)/SUM((Tabella211[Colonna5]-Mean_of_yh)^2)</f>
        <v>0.99982322112815314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k*t0*_xlfn.GAMMA.DIST(Tabella211[[#This Row],[Day]]/t0,w+1,1,1)*_xlfn.GAMMA(w+1)</f>
        <v>79687.04358386551</v>
      </c>
      <c r="H39" s="10">
        <f>k*((Tabella211[[#This Row],[Day]]/t0)^w)*EXP(-(Tabella211[[#This Row],[Day]]/t0))</f>
        <v>5374.4635416735646</v>
      </c>
      <c r="I39" s="56">
        <f>Tabella211[[#This Row],[Cum_fit]]*NOT(ISBLANK(Tabella211[[#This Row],[Cum_confirmed]]))</f>
        <v>79687.04358386551</v>
      </c>
      <c r="J39" s="10">
        <f>Tabella211[[#This Row],[Cum_fit]]+CI</f>
        <v>82258.087210438884</v>
      </c>
      <c r="K39" s="10">
        <f>MAX(Tabella211[[#This Row],[Cum_fit]]-CI,0)</f>
        <v>77115.999957292137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3698.2538769220173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kr*t0r*_xlfn.GAMMA.DIST(Tabella211[[#This Row],[Day]]/t0r,wr+1,1,1)*_xlfn.GAMMA(wr+1)</f>
        <v>9998.8682568394561</v>
      </c>
      <c r="S39" s="10">
        <f>kr*((Tabella211[[#This Row],[Day]]/t0r)^wr)*EXP(-(Tabella211[[#This Row],[Day]]/t0r))</f>
        <v>908.04454950235447</v>
      </c>
      <c r="T39" s="60">
        <f>Tabella211[[#This Row],[Cum_R_fit]]*NOT(ISBLANK(Tabella211[[#This Row],[Cum_recov]]))</f>
        <v>9998.8682568394561</v>
      </c>
      <c r="U39" s="10">
        <f>Tabella211[[#This Row],[Cum_R_fit]]+CIr</f>
        <v>10794.837248529026</v>
      </c>
      <c r="V39" s="10">
        <f>MAX(Tabella211[[#This Row],[Cum_R_fit]]-CIr,0)</f>
        <v>9202.8992651498866</v>
      </c>
      <c r="W39" s="10">
        <f>'dpc-covid19-ita-andamento-naz'!K33</f>
        <v>8165</v>
      </c>
      <c r="X39" s="26">
        <f>Tabella211[[#This Row],[Cum_deaths]]-W38</f>
        <v>662</v>
      </c>
      <c r="Y39" s="65">
        <f>Tabella211[[#This Row],[Cum_deaths]]*NOT(ISBLANK(Tabella211[[#This Row],[Cum_deaths]]))</f>
        <v>8165</v>
      </c>
      <c r="Z39" s="50">
        <f>kh*t0h*_xlfn.GAMMA.DIST(Tabella211[[#This Row],[Day]]/t0h,wh+1,1,1)*_xlfn.GAMMA(wh+1)</f>
        <v>8400.2512243200163</v>
      </c>
      <c r="AA39" s="10">
        <f>kh*((Tabella211[[#This Row],[Day]]/t0h)^wh)*EXP(-(Tabella211[[#This Row],[Day]]/t0h))</f>
        <v>768.16511524919326</v>
      </c>
      <c r="AB39" s="65">
        <f>Tabella211[[#This Row],[Cum_D_fit]]*NOT(ISBLANK(Tabella211[[#This Row],[Cum_deaths]]))</f>
        <v>8400.2512243200163</v>
      </c>
      <c r="AC39" s="10">
        <f>Tabella211[[#This Row],[Cum_D_fit]]+CIh</f>
        <v>8628.1943367882232</v>
      </c>
      <c r="AD39" s="10">
        <f>MAX(Tabella211[[#This Row],[Cum_D_fit]]-CIh,0)</f>
        <v>8172.3081118518094</v>
      </c>
      <c r="AF39" s="72" t="s">
        <v>6</v>
      </c>
      <c r="AG39" s="74">
        <f>TINV(0.05,dfh)</f>
        <v>2.0117405137297668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k*t0*_xlfn.GAMMA.DIST(Tabella211[[#This Row],[Day]]/t0,w+1,1,1)*_xlfn.GAMMA(w+1)</f>
        <v>85046.126945972501</v>
      </c>
      <c r="H40" s="10">
        <f>k*((Tabella211[[#This Row],[Day]]/t0)^w)*EXP(-(Tabella211[[#This Row],[Day]]/t0))</f>
        <v>5339.8401991635728</v>
      </c>
      <c r="I40" s="56">
        <f>Tabella211[[#This Row],[Cum_fit]]*NOT(ISBLANK(Tabella211[[#This Row],[Cum_confirmed]]))</f>
        <v>85046.126945972501</v>
      </c>
      <c r="J40" s="10">
        <f>Tabella211[[#This Row],[Cum_fit]]+CI</f>
        <v>87617.170572545874</v>
      </c>
      <c r="K40" s="10">
        <f>MAX(Tabella211[[#This Row],[Cum_fit]]-CI,0)</f>
        <v>82475.083319399128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3600.9540215117786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kr*t0r*_xlfn.GAMMA.DIST(Tabella211[[#This Row],[Day]]/t0r,wr+1,1,1)*_xlfn.GAMMA(wr+1)</f>
        <v>10933.596092238768</v>
      </c>
      <c r="S40" s="10">
        <f>kr*((Tabella211[[#This Row],[Day]]/t0r)^wr)*EXP(-(Tabella211[[#This Row],[Day]]/t0r))</f>
        <v>961.63441974147497</v>
      </c>
      <c r="T40" s="60">
        <f>Tabella211[[#This Row],[Cum_R_fit]]*NOT(ISBLANK(Tabella211[[#This Row],[Cum_recov]]))</f>
        <v>10933.596092238768</v>
      </c>
      <c r="U40" s="10">
        <f>Tabella211[[#This Row],[Cum_R_fit]]+CIr</f>
        <v>11729.565083928337</v>
      </c>
      <c r="V40" s="10">
        <f>MAX(Tabella211[[#This Row],[Cum_R_fit]]-CIr,0)</f>
        <v>10137.627100549198</v>
      </c>
      <c r="W40" s="10">
        <f>'dpc-covid19-ita-andamento-naz'!K34</f>
        <v>9134</v>
      </c>
      <c r="X40" s="26">
        <f>Tabella211[[#This Row],[Cum_deaths]]-W39</f>
        <v>969</v>
      </c>
      <c r="Y40" s="65">
        <f>Tabella211[[#This Row],[Cum_deaths]]*NOT(ISBLANK(Tabella211[[#This Row],[Cum_deaths]]))</f>
        <v>9134</v>
      </c>
      <c r="Z40" s="50">
        <f>kh*t0h*_xlfn.GAMMA.DIST(Tabella211[[#This Row],[Day]]/t0h,wh+1,1,1)*_xlfn.GAMMA(wh+1)</f>
        <v>9173.3830315638043</v>
      </c>
      <c r="AA40" s="10">
        <f>kh*((Tabella211[[#This Row],[Day]]/t0h)^wh)*EXP(-(Tabella211[[#This Row],[Day]]/t0h))</f>
        <v>777.25175791031961</v>
      </c>
      <c r="AB40" s="65">
        <f>Tabella211[[#This Row],[Cum_D_fit]]*NOT(ISBLANK(Tabella211[[#This Row],[Cum_deaths]]))</f>
        <v>9173.3830315638043</v>
      </c>
      <c r="AC40" s="10">
        <f>Tabella211[[#This Row],[Cum_D_fit]]+CIh</f>
        <v>9401.3261440320111</v>
      </c>
      <c r="AD40" s="10">
        <f>MAX(Tabella211[[#This Row],[Cum_D_fit]]-CIh,0)</f>
        <v>8945.4399190955974</v>
      </c>
      <c r="AF40" s="72" t="s">
        <v>7</v>
      </c>
      <c r="AG40" s="35">
        <f>Critical_th*SE_of_yh</f>
        <v>227.94311246820683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k*t0*_xlfn.GAMMA.DIST(Tabella211[[#This Row],[Day]]/t0,w+1,1,1)*_xlfn.GAMMA(w+1)</f>
        <v>90359.326489296829</v>
      </c>
      <c r="H41" s="10">
        <f>k*((Tabella211[[#This Row],[Day]]/t0)^w)*EXP(-(Tabella211[[#This Row],[Day]]/t0))</f>
        <v>5283.0275758115986</v>
      </c>
      <c r="I41" s="56">
        <f>Tabella211[[#This Row],[Cum_fit]]*NOT(ISBLANK(Tabella211[[#This Row],[Cum_confirmed]]))</f>
        <v>90359.326489296829</v>
      </c>
      <c r="J41" s="10">
        <f>Tabella211[[#This Row],[Cum_fit]]+CI</f>
        <v>92930.370115870202</v>
      </c>
      <c r="K41" s="10">
        <f>MAX(Tabella211[[#This Row],[Cum_fit]]-CI,0)</f>
        <v>87788.282862723456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3485.1228548923032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kr*t0r*_xlfn.GAMMA.DIST(Tabella211[[#This Row],[Day]]/t0r,wr+1,1,1)*_xlfn.GAMMA(wr+1)</f>
        <v>11922.581730168369</v>
      </c>
      <c r="S41" s="10">
        <f>kr*((Tabella211[[#This Row],[Day]]/t0r)^wr)*EXP(-(Tabella211[[#This Row],[Day]]/t0r))</f>
        <v>1016.5582016605618</v>
      </c>
      <c r="T41" s="60">
        <f>Tabella211[[#This Row],[Cum_R_fit]]*NOT(ISBLANK(Tabella211[[#This Row],[Cum_recov]]))</f>
        <v>11922.581730168369</v>
      </c>
      <c r="U41" s="10">
        <f>Tabella211[[#This Row],[Cum_R_fit]]+CIr</f>
        <v>12718.550721857939</v>
      </c>
      <c r="V41" s="10">
        <f>MAX(Tabella211[[#This Row],[Cum_R_fit]]-CIr,0)</f>
        <v>11126.6127384788</v>
      </c>
      <c r="W41" s="10">
        <f>'dpc-covid19-ita-andamento-naz'!K35</f>
        <v>10023</v>
      </c>
      <c r="X41" s="26">
        <f>Tabella211[[#This Row],[Cum_deaths]]-W40</f>
        <v>889</v>
      </c>
      <c r="Y41" s="65">
        <f>Tabella211[[#This Row],[Cum_deaths]]*NOT(ISBLANK(Tabella211[[#This Row],[Cum_deaths]]))</f>
        <v>10023</v>
      </c>
      <c r="Z41" s="50">
        <f>kh*t0h*_xlfn.GAMMA.DIST(Tabella211[[#This Row],[Day]]/t0h,wh+1,1,1)*_xlfn.GAMMA(wh+1)</f>
        <v>9953.08991910228</v>
      </c>
      <c r="AA41" s="10">
        <f>kh*((Tabella211[[#This Row],[Day]]/t0h)^wh)*EXP(-(Tabella211[[#This Row],[Day]]/t0h))</f>
        <v>781.34651925873322</v>
      </c>
      <c r="AB41" s="65">
        <f>Tabella211[[#This Row],[Cum_D_fit]]*NOT(ISBLANK(Tabella211[[#This Row],[Cum_deaths]]))</f>
        <v>9953.08991910228</v>
      </c>
      <c r="AC41" s="10">
        <f>Tabella211[[#This Row],[Cum_D_fit]]+CIh</f>
        <v>10181.033031570487</v>
      </c>
      <c r="AD41" s="10">
        <f>MAX(Tabella211[[#This Row],[Cum_D_fit]]-CIh,0)</f>
        <v>9725.1468066340731</v>
      </c>
      <c r="AF41" s="34" t="s">
        <v>99</v>
      </c>
      <c r="AG41" s="35">
        <f>kh*t0h*_xlfn.GAMMA(wh+1)</f>
        <v>25644.083179051395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k*t0*_xlfn.GAMMA.DIST(Tabella211[[#This Row],[Day]]/t0,w+1,1,1)*_xlfn.GAMMA(w+1)</f>
        <v>95605.461588477483</v>
      </c>
      <c r="H42" s="10">
        <f>k*((Tabella211[[#This Row],[Day]]/t0)^w)*EXP(-(Tabella211[[#This Row],[Day]]/t0))</f>
        <v>5206.05509927617</v>
      </c>
      <c r="I42" s="56">
        <f>Tabella211[[#This Row],[Cum_fit]]*NOT(ISBLANK(Tabella211[[#This Row],[Cum_confirmed]]))</f>
        <v>95605.461588477483</v>
      </c>
      <c r="J42" s="10">
        <f>Tabella211[[#This Row],[Cum_fit]]+CI</f>
        <v>98176.505215050856</v>
      </c>
      <c r="K42" s="10">
        <f>MAX(Tabella211[[#This Row],[Cum_fit]]-CI,0)</f>
        <v>93034.41796190411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3352.5777132969915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kr*t0r*_xlfn.GAMMA.DIST(Tabella211[[#This Row],[Day]]/t0r,wr+1,1,1)*_xlfn.GAMMA(wr+1)</f>
        <v>12967.153273372067</v>
      </c>
      <c r="S42" s="10">
        <f>kr*((Tabella211[[#This Row],[Day]]/t0r)^wr)*EXP(-(Tabella211[[#This Row],[Day]]/t0r))</f>
        <v>1072.8043265445654</v>
      </c>
      <c r="T42" s="60">
        <f>Tabella211[[#This Row],[Cum_R_fit]]*NOT(ISBLANK(Tabella211[[#This Row],[Cum_recov]]))</f>
        <v>12967.153273372067</v>
      </c>
      <c r="U42" s="10">
        <f>Tabella211[[#This Row],[Cum_R_fit]]+CIr</f>
        <v>13763.122265061636</v>
      </c>
      <c r="V42" s="10">
        <f>MAX(Tabella211[[#This Row],[Cum_R_fit]]-CIr,0)</f>
        <v>12171.184281682497</v>
      </c>
      <c r="W42" s="10">
        <f>'dpc-covid19-ita-andamento-naz'!K36</f>
        <v>10779</v>
      </c>
      <c r="X42" s="26">
        <f>Tabella211[[#This Row],[Cum_deaths]]-W41</f>
        <v>756</v>
      </c>
      <c r="Y42" s="65">
        <f>Tabella211[[#This Row],[Cum_deaths]]*NOT(ISBLANK(Tabella211[[#This Row],[Cum_deaths]]))</f>
        <v>10779</v>
      </c>
      <c r="Z42" s="50">
        <f>kh*t0h*_xlfn.GAMMA.DIST(Tabella211[[#This Row],[Day]]/t0h,wh+1,1,1)*_xlfn.GAMMA(wh+1)</f>
        <v>10734.485955825689</v>
      </c>
      <c r="AA42" s="10">
        <f>kh*((Tabella211[[#This Row],[Day]]/t0h)^wh)*EXP(-(Tabella211[[#This Row],[Day]]/t0h))</f>
        <v>780.67305943461292</v>
      </c>
      <c r="AB42" s="65">
        <f>Tabella211[[#This Row],[Cum_D_fit]]*NOT(ISBLANK(Tabella211[[#This Row],[Cum_deaths]]))</f>
        <v>10734.485955825689</v>
      </c>
      <c r="AC42" s="10">
        <f>Tabella211[[#This Row],[Cum_D_fit]]+CIh</f>
        <v>10962.429068293895</v>
      </c>
      <c r="AD42" s="10">
        <f>MAX(Tabella211[[#This Row],[Cum_D_fit]]-CIh,0)</f>
        <v>10506.542843357482</v>
      </c>
      <c r="AF42" s="34"/>
      <c r="AG42" s="77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k*t0*_xlfn.GAMMA.DIST(Tabella211[[#This Row],[Day]]/t0,w+1,1,1)*_xlfn.GAMMA(w+1)</f>
        <v>100765.4100732755</v>
      </c>
      <c r="H43" s="10">
        <f>k*((Tabella211[[#This Row],[Day]]/t0)^w)*EXP(-(Tabella211[[#This Row],[Day]]/t0))</f>
        <v>5111.0031264706431</v>
      </c>
      <c r="I43" s="56">
        <f>Tabella211[[#This Row],[Cum_fit]]*NOT(ISBLANK(Tabella211[[#This Row],[Cum_confirmed]]))</f>
        <v>100765.4100732755</v>
      </c>
      <c r="J43" s="10">
        <f>Tabella211[[#This Row],[Cum_fit]]+CI</f>
        <v>103336.45369984888</v>
      </c>
      <c r="K43" s="10">
        <f>MAX(Tabella211[[#This Row],[Cum_fit]]-CI,0)</f>
        <v>98194.36644670213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3205.1229125227264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kr*t0r*_xlfn.GAMMA.DIST(Tabella211[[#This Row],[Day]]/t0r,wr+1,1,1)*_xlfn.GAMMA(wr+1)</f>
        <v>14068.627400366786</v>
      </c>
      <c r="S43" s="10">
        <f>kr*((Tabella211[[#This Row],[Day]]/t0r)^wr)*EXP(-(Tabella211[[#This Row],[Day]]/t0r))</f>
        <v>1130.361511726275</v>
      </c>
      <c r="T43" s="60">
        <f>Tabella211[[#This Row],[Cum_R_fit]]*NOT(ISBLANK(Tabella211[[#This Row],[Cum_recov]]))</f>
        <v>14068.627400366786</v>
      </c>
      <c r="U43" s="10">
        <f>Tabella211[[#This Row],[Cum_R_fit]]+CIr</f>
        <v>14864.596392056355</v>
      </c>
      <c r="V43" s="10">
        <f>MAX(Tabella211[[#This Row],[Cum_R_fit]]-CIr,0)</f>
        <v>13272.658408677216</v>
      </c>
      <c r="W43" s="10">
        <f>'dpc-covid19-ita-andamento-naz'!K37</f>
        <v>11591</v>
      </c>
      <c r="X43" s="26">
        <f>Tabella211[[#This Row],[Cum_deaths]]-W42</f>
        <v>812</v>
      </c>
      <c r="Y43" s="65">
        <f>Tabella211[[#This Row],[Cum_deaths]]*NOT(ISBLANK(Tabella211[[#This Row],[Cum_deaths]]))</f>
        <v>11591</v>
      </c>
      <c r="Z43" s="50">
        <f>kh*t0h*_xlfn.GAMMA.DIST(Tabella211[[#This Row],[Day]]/t0h,wh+1,1,1)*_xlfn.GAMMA(wh+1)</f>
        <v>11512.941850277233</v>
      </c>
      <c r="AA43" s="10">
        <f>kh*((Tabella211[[#This Row],[Day]]/t0h)^wh)*EXP(-(Tabella211[[#This Row],[Day]]/t0h))</f>
        <v>775.51870222164143</v>
      </c>
      <c r="AB43" s="65">
        <f>Tabella211[[#This Row],[Cum_D_fit]]*NOT(ISBLANK(Tabella211[[#This Row],[Cum_deaths]]))</f>
        <v>11512.941850277233</v>
      </c>
      <c r="AC43" s="10">
        <f>Tabella211[[#This Row],[Cum_D_fit]]+CIh</f>
        <v>11740.88496274544</v>
      </c>
      <c r="AD43" s="10">
        <f>MAX(Tabella211[[#This Row],[Cum_D_fit]]-CIh,0)</f>
        <v>11284.998737809026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k*t0*_xlfn.GAMMA.DIST(Tabella211[[#This Row],[Day]]/t0,w+1,1,1)*_xlfn.GAMMA(w+1)</f>
        <v>105822.13876180045</v>
      </c>
      <c r="H44" s="10">
        <f>k*((Tabella211[[#This Row],[Day]]/t0)^w)*EXP(-(Tabella211[[#This Row],[Day]]/t0))</f>
        <v>4999.9631288836272</v>
      </c>
      <c r="I44" s="56">
        <f>Tabella211[[#This Row],[Cum_fit]]*NOT(ISBLANK(Tabella211[[#This Row],[Cum_confirmed]]))</f>
        <v>105822.13876180045</v>
      </c>
      <c r="J44" s="10">
        <f>Tabella211[[#This Row],[Cum_fit]]+CI</f>
        <v>108393.18238837383</v>
      </c>
      <c r="K44" s="10">
        <f>MAX(Tabella211[[#This Row],[Cum_fit]]-CI,0)</f>
        <v>103251.09513522708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3044.5235764730301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kr*t0r*_xlfn.GAMMA.DIST(Tabella211[[#This Row],[Day]]/t0r,wr+1,1,1)*_xlfn.GAMMA(wr+1)</f>
        <v>15228.309642971481</v>
      </c>
      <c r="S44" s="10">
        <f>kr*((Tabella211[[#This Row],[Day]]/t0r)^wr)*EXP(-(Tabella211[[#This Row],[Day]]/t0r))</f>
        <v>1189.2187438087144</v>
      </c>
      <c r="T44" s="60">
        <f>Tabella211[[#This Row],[Cum_R_fit]]*NOT(ISBLANK(Tabella211[[#This Row],[Cum_recov]]))</f>
        <v>15228.309642971481</v>
      </c>
      <c r="U44" s="10">
        <f>Tabella211[[#This Row],[Cum_R_fit]]+CIr</f>
        <v>16024.27863466105</v>
      </c>
      <c r="V44" s="10">
        <f>MAX(Tabella211[[#This Row],[Cum_R_fit]]-CIr,0)</f>
        <v>14432.340651281911</v>
      </c>
      <c r="W44" s="10">
        <f>'dpc-covid19-ita-andamento-naz'!K38</f>
        <v>12428</v>
      </c>
      <c r="X44" s="26">
        <f>Tabella211[[#This Row],[Cum_deaths]]-W43</f>
        <v>837</v>
      </c>
      <c r="Y44" s="65">
        <f>Tabella211[[#This Row],[Cum_deaths]]*NOT(ISBLANK(Tabella211[[#This Row],[Cum_deaths]]))</f>
        <v>12428</v>
      </c>
      <c r="Z44" s="50">
        <f>kh*t0h*_xlfn.GAMMA.DIST(Tabella211[[#This Row],[Day]]/t0h,wh+1,1,1)*_xlfn.GAMMA(wh+1)</f>
        <v>12284.141772045245</v>
      </c>
      <c r="AA44" s="10">
        <f>kh*((Tabella211[[#This Row],[Day]]/t0h)^wh)*EXP(-(Tabella211[[#This Row],[Day]]/t0h))</f>
        <v>766.2208086018826</v>
      </c>
      <c r="AB44" s="65">
        <f>Tabella211[[#This Row],[Cum_D_fit]]*NOT(ISBLANK(Tabella211[[#This Row],[Cum_deaths]]))</f>
        <v>12284.141772045245</v>
      </c>
      <c r="AC44" s="10">
        <f>Tabella211[[#This Row],[Cum_D_fit]]+CIh</f>
        <v>12512.084884513451</v>
      </c>
      <c r="AD44" s="10">
        <f>MAX(Tabella211[[#This Row],[Cum_D_fit]]-CIh,0)</f>
        <v>12056.198659577038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k*t0*_xlfn.GAMMA.DIST(Tabella211[[#This Row],[Day]]/t0,w+1,1,1)*_xlfn.GAMMA(w+1)</f>
        <v>110760.69708609102</v>
      </c>
      <c r="H45" s="10">
        <f>k*((Tabella211[[#This Row],[Day]]/t0)^w)*EXP(-(Tabella211[[#This Row],[Day]]/t0))</f>
        <v>4875.0036624576296</v>
      </c>
      <c r="I45" s="56">
        <f>Tabella211[[#This Row],[Cum_fit]]*NOT(ISBLANK(Tabella211[[#This Row],[Cum_confirmed]]))</f>
        <v>110760.69708609102</v>
      </c>
      <c r="J45" s="10">
        <f>Tabella211[[#This Row],[Cum_fit]]+CI</f>
        <v>113331.7407126644</v>
      </c>
      <c r="K45" s="10">
        <f>MAX(Tabella211[[#This Row],[Cum_fit]]-CI,0)</f>
        <v>108189.65345951765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2872.484706671888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kr*t0r*_xlfn.GAMMA.DIST(Tabella211[[#This Row],[Day]]/t0r,wr+1,1,1)*_xlfn.GAMMA(wr+1)</f>
        <v>16447.494647807536</v>
      </c>
      <c r="S45" s="10">
        <f>kr*((Tabella211[[#This Row],[Day]]/t0r)^wr)*EXP(-(Tabella211[[#This Row],[Day]]/t0r))</f>
        <v>1249.3652633549702</v>
      </c>
      <c r="T45" s="60">
        <f>Tabella211[[#This Row],[Cum_R_fit]]*NOT(ISBLANK(Tabella211[[#This Row],[Cum_recov]]))</f>
        <v>16447.494647807536</v>
      </c>
      <c r="U45" s="10">
        <f>Tabella211[[#This Row],[Cum_R_fit]]+CIr</f>
        <v>17243.463639497106</v>
      </c>
      <c r="V45" s="10">
        <f>MAX(Tabella211[[#This Row],[Cum_R_fit]]-CIr,0)</f>
        <v>15651.525656117967</v>
      </c>
      <c r="W45" s="10">
        <f>'dpc-covid19-ita-andamento-naz'!K39</f>
        <v>13155</v>
      </c>
      <c r="X45" s="26">
        <f>Tabella211[[#This Row],[Cum_deaths]]-W44</f>
        <v>727</v>
      </c>
      <c r="Y45" s="65">
        <f>Tabella211[[#This Row],[Cum_deaths]]*NOT(ISBLANK(Tabella211[[#This Row],[Cum_deaths]]))</f>
        <v>13155</v>
      </c>
      <c r="Z45" s="50">
        <f>kh*t0h*_xlfn.GAMMA.DIST(Tabella211[[#This Row],[Day]]/t0h,wh+1,1,1)*_xlfn.GAMMA(wh+1)</f>
        <v>13044.126786593126</v>
      </c>
      <c r="AA45" s="10">
        <f>kh*((Tabella211[[#This Row],[Day]]/t0h)^wh)*EXP(-(Tabella211[[#This Row],[Day]]/t0h))</f>
        <v>753.15369243077168</v>
      </c>
      <c r="AB45" s="65">
        <f>Tabella211[[#This Row],[Cum_D_fit]]*NOT(ISBLANK(Tabella211[[#This Row],[Cum_deaths]]))</f>
        <v>13044.126786593126</v>
      </c>
      <c r="AC45" s="10">
        <f>Tabella211[[#This Row],[Cum_D_fit]]+CIh</f>
        <v>13272.069899061333</v>
      </c>
      <c r="AD45" s="10">
        <f>MAX(Tabella211[[#This Row],[Cum_D_fit]]-CIh,0)</f>
        <v>12816.183674124919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k*t0*_xlfn.GAMMA.DIST(Tabella211[[#This Row],[Day]]/t0,w+1,1,1)*_xlfn.GAMMA(w+1)</f>
        <v>115568.17948590679</v>
      </c>
      <c r="H46" s="10">
        <f>k*((Tabella211[[#This Row],[Day]]/t0)^w)*EXP(-(Tabella211[[#This Row],[Day]]/t0))</f>
        <v>4738.1418856615019</v>
      </c>
      <c r="I46" s="56">
        <f>Tabella211[[#This Row],[Cum_fit]]*NOT(ISBLANK(Tabella211[[#This Row],[Cum_confirmed]]))</f>
        <v>115568.17948590679</v>
      </c>
      <c r="J46" s="10">
        <f>Tabella211[[#This Row],[Cum_fit]]+CI</f>
        <v>118139.22311248016</v>
      </c>
      <c r="K46" s="10">
        <f>MAX(Tabella211[[#This Row],[Cum_fit]]-CI,0)</f>
        <v>112997.13585933342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2690.6349313871365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kr*t0r*_xlfn.GAMMA.DIST(Tabella211[[#This Row],[Day]]/t0r,wr+1,1,1)*_xlfn.GAMMA(wr+1)</f>
        <v>17727.466423152258</v>
      </c>
      <c r="S46" s="10">
        <f>kr*((Tabella211[[#This Row],[Day]]/t0r)^wr)*EXP(-(Tabella211[[#This Row],[Day]]/t0r))</f>
        <v>1310.7905508796703</v>
      </c>
      <c r="T46" s="60">
        <f>Tabella211[[#This Row],[Cum_R_fit]]*NOT(ISBLANK(Tabella211[[#This Row],[Cum_recov]]))</f>
        <v>17727.466423152258</v>
      </c>
      <c r="U46" s="10">
        <f>Tabella211[[#This Row],[Cum_R_fit]]+CIr</f>
        <v>18523.435414841828</v>
      </c>
      <c r="V46" s="10">
        <f>MAX(Tabella211[[#This Row],[Cum_R_fit]]-CIr,0)</f>
        <v>16931.497431462689</v>
      </c>
      <c r="W46" s="10">
        <f>'dpc-covid19-ita-andamento-naz'!K40</f>
        <v>13915</v>
      </c>
      <c r="X46" s="26">
        <f>Tabella211[[#This Row],[Cum_deaths]]-W45</f>
        <v>760</v>
      </c>
      <c r="Y46" s="65">
        <f>Tabella211[[#This Row],[Cum_deaths]]*NOT(ISBLANK(Tabella211[[#This Row],[Cum_deaths]]))</f>
        <v>13915</v>
      </c>
      <c r="Z46" s="50">
        <f>kh*t0h*_xlfn.GAMMA.DIST(Tabella211[[#This Row],[Day]]/t0h,wh+1,1,1)*_xlfn.GAMMA(wh+1)</f>
        <v>13789.325616299981</v>
      </c>
      <c r="AA46" s="10">
        <f>kh*((Tabella211[[#This Row],[Day]]/t0h)^wh)*EXP(-(Tabella211[[#This Row],[Day]]/t0h))</f>
        <v>736.71640339469513</v>
      </c>
      <c r="AB46" s="65">
        <f>Tabella211[[#This Row],[Cum_D_fit]]*NOT(ISBLANK(Tabella211[[#This Row],[Cum_deaths]]))</f>
        <v>13789.325616299981</v>
      </c>
      <c r="AC46" s="10">
        <f>Tabella211[[#This Row],[Cum_D_fit]]+CIh</f>
        <v>14017.268728768187</v>
      </c>
      <c r="AD46" s="10">
        <f>MAX(Tabella211[[#This Row],[Cum_D_fit]]-CIh,0)</f>
        <v>13561.382503831774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k*t0*_xlfn.GAMMA.DIST(Tabella211[[#This Row],[Day]]/t0,w+1,1,1)*_xlfn.GAMMA(w+1)</f>
        <v>120233.66195910878</v>
      </c>
      <c r="H47" s="10">
        <f>k*((Tabella211[[#This Row],[Day]]/t0)^w)*EXP(-(Tabella211[[#This Row],[Day]]/t0))</f>
        <v>4591.3202927461007</v>
      </c>
      <c r="I47" s="56">
        <f>Tabella211[[#This Row],[Cum_fit]]*NOT(ISBLANK(Tabella211[[#This Row],[Cum_confirmed]]))</f>
        <v>120233.66195910878</v>
      </c>
      <c r="J47" s="10">
        <f>Tabella211[[#This Row],[Cum_fit]]+CI</f>
        <v>122804.70558568215</v>
      </c>
      <c r="K47" s="10">
        <f>MAX(Tabella211[[#This Row],[Cum_fit]]-CI,0)</f>
        <v>117662.61833253541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2500.5143687288646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kr*t0r*_xlfn.GAMMA.DIST(Tabella211[[#This Row],[Day]]/t0r,wr+1,1,1)*_xlfn.GAMMA(wr+1)</f>
        <v>19069.498572374247</v>
      </c>
      <c r="S47" s="10">
        <f>kr*((Tabella211[[#This Row],[Day]]/t0r)^wr)*EXP(-(Tabella211[[#This Row],[Day]]/t0r))</f>
        <v>1373.4843139990301</v>
      </c>
      <c r="T47" s="60">
        <f>Tabella211[[#This Row],[Cum_R_fit]]*NOT(ISBLANK(Tabella211[[#This Row],[Cum_recov]]))</f>
        <v>19069.498572374247</v>
      </c>
      <c r="U47" s="10">
        <f>Tabella211[[#This Row],[Cum_R_fit]]+CIr</f>
        <v>19865.467564063816</v>
      </c>
      <c r="V47" s="10">
        <f>MAX(Tabella211[[#This Row],[Cum_R_fit]]-CIr,0)</f>
        <v>18273.529580684677</v>
      </c>
      <c r="W47" s="10">
        <f>'dpc-covid19-ita-andamento-naz'!K41</f>
        <v>14681</v>
      </c>
      <c r="X47" s="26">
        <f>Tabella211[[#This Row],[Cum_deaths]]-W46</f>
        <v>766</v>
      </c>
      <c r="Y47" s="65">
        <f>Tabella211[[#This Row],[Cum_deaths]]*NOT(ISBLANK(Tabella211[[#This Row],[Cum_deaths]]))</f>
        <v>14681</v>
      </c>
      <c r="Z47" s="50">
        <f>kh*t0h*_xlfn.GAMMA.DIST(Tabella211[[#This Row],[Day]]/t0h,wh+1,1,1)*_xlfn.GAMMA(wh+1)</f>
        <v>14516.573718680251</v>
      </c>
      <c r="AA47" s="10">
        <f>kh*((Tabella211[[#This Row],[Day]]/t0h)^wh)*EXP(-(Tabella211[[#This Row],[Day]]/t0h))</f>
        <v>717.32161001820612</v>
      </c>
      <c r="AB47" s="65">
        <f>Tabella211[[#This Row],[Cum_D_fit]]*NOT(ISBLANK(Tabella211[[#This Row],[Cum_deaths]]))</f>
        <v>14516.573718680251</v>
      </c>
      <c r="AC47" s="10">
        <f>Tabella211[[#This Row],[Cum_D_fit]]+CIh</f>
        <v>14744.516831148458</v>
      </c>
      <c r="AD47" s="10">
        <f>MAX(Tabella211[[#This Row],[Cum_D_fit]]-CIh,0)</f>
        <v>14288.630606212044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k*t0*_xlfn.GAMMA.DIST(Tabella211[[#This Row],[Day]]/t0,w+1,1,1)*_xlfn.GAMMA(w+1)</f>
        <v>124748.11778870685</v>
      </c>
      <c r="H48" s="10">
        <f>k*((Tabella211[[#This Row],[Day]]/t0)^w)*EXP(-(Tabella211[[#This Row],[Day]]/t0))</f>
        <v>4436.3882632629438</v>
      </c>
      <c r="I48" s="56">
        <f>Tabella211[[#This Row],[Cum_fit]]*NOT(ISBLANK(Tabella211[[#This Row],[Cum_confirmed]]))</f>
        <v>124748.11778870685</v>
      </c>
      <c r="J48" s="10">
        <f>Tabella211[[#This Row],[Cum_fit]]+CI</f>
        <v>127319.16141528022</v>
      </c>
      <c r="K48" s="10">
        <f>MAX(Tabella211[[#This Row],[Cum_fit]]-CI,0)</f>
        <v>122177.07416213347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2303.5660543806839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kr*t0r*_xlfn.GAMMA.DIST(Tabella211[[#This Row],[Day]]/t0r,wr+1,1,1)*_xlfn.GAMMA(wr+1)</f>
        <v>20474.854515046009</v>
      </c>
      <c r="S48" s="10">
        <f>kr*((Tabella211[[#This Row],[Day]]/t0r)^wr)*EXP(-(Tabella211[[#This Row],[Day]]/t0r))</f>
        <v>1437.4364756154696</v>
      </c>
      <c r="T48" s="60">
        <f>Tabella211[[#This Row],[Cum_R_fit]]*NOT(ISBLANK(Tabella211[[#This Row],[Cum_recov]]))</f>
        <v>20474.854515046009</v>
      </c>
      <c r="U48" s="10">
        <f>Tabella211[[#This Row],[Cum_R_fit]]+CIr</f>
        <v>21270.823506735578</v>
      </c>
      <c r="V48" s="10">
        <f>MAX(Tabella211[[#This Row],[Cum_R_fit]]-CIr,0)</f>
        <v>19678.885523356439</v>
      </c>
      <c r="W48" s="10">
        <f>'dpc-covid19-ita-andamento-naz'!K42</f>
        <v>15362</v>
      </c>
      <c r="X48" s="26">
        <f>Tabella211[[#This Row],[Cum_deaths]]-W47</f>
        <v>681</v>
      </c>
      <c r="Y48" s="65">
        <f>Tabella211[[#This Row],[Cum_deaths]]*NOT(ISBLANK(Tabella211[[#This Row],[Cum_deaths]]))</f>
        <v>15362</v>
      </c>
      <c r="Z48" s="50">
        <f>kh*t0h*_xlfn.GAMMA.DIST(Tabella211[[#This Row],[Day]]/t0h,wh+1,1,1)*_xlfn.GAMMA(wh+1)</f>
        <v>15223.121863492852</v>
      </c>
      <c r="AA48" s="10">
        <f>kh*((Tabella211[[#This Row],[Day]]/t0h)^wh)*EXP(-(Tabella211[[#This Row],[Day]]/t0h))</f>
        <v>695.38573326679045</v>
      </c>
      <c r="AB48" s="65">
        <f>Tabella211[[#This Row],[Cum_D_fit]]*NOT(ISBLANK(Tabella211[[#This Row],[Cum_deaths]]))</f>
        <v>15223.121863492852</v>
      </c>
      <c r="AC48" s="10">
        <f>Tabella211[[#This Row],[Cum_D_fit]]+CIh</f>
        <v>15451.064975961059</v>
      </c>
      <c r="AD48" s="10">
        <f>MAX(Tabella211[[#This Row],[Cum_D_fit]]-CIh,0)</f>
        <v>14995.178751024645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k*t0*_xlfn.GAMMA.DIST(Tabella211[[#This Row],[Day]]/t0,w+1,1,1)*_xlfn.GAMMA(w+1)</f>
        <v>129104.31704559058</v>
      </c>
      <c r="H49" s="10">
        <f>k*((Tabella211[[#This Row],[Day]]/t0)^w)*EXP(-(Tabella211[[#This Row],[Day]]/t0))</f>
        <v>4275.0879884705</v>
      </c>
      <c r="I49" s="56">
        <f>Tabella211[[#This Row],[Cum_fit]]*NOT(ISBLANK(Tabella211[[#This Row],[Cum_confirmed]]))</f>
        <v>129104.31704559058</v>
      </c>
      <c r="J49" s="10">
        <f>Tabella211[[#This Row],[Cum_fit]]+CI</f>
        <v>131675.36067216395</v>
      </c>
      <c r="K49" s="10">
        <f>MAX(Tabella211[[#This Row],[Cum_fit]]-CI,0)</f>
        <v>126533.27341901721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2101.1304149603579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kr*t0r*_xlfn.GAMMA.DIST(Tabella211[[#This Row],[Day]]/t0r,wr+1,1,1)*_xlfn.GAMMA(wr+1)</f>
        <v>21944.787696712501</v>
      </c>
      <c r="S49" s="10">
        <f>kr*((Tabella211[[#This Row],[Day]]/t0r)^wr)*EXP(-(Tabella211[[#This Row],[Day]]/t0r))</f>
        <v>1502.637163028865</v>
      </c>
      <c r="T49" s="60">
        <f>Tabella211[[#This Row],[Cum_R_fit]]*NOT(ISBLANK(Tabella211[[#This Row],[Cum_recov]]))</f>
        <v>21944.787696712501</v>
      </c>
      <c r="U49" s="10">
        <f>Tabella211[[#This Row],[Cum_R_fit]]+CIr</f>
        <v>22740.756688402071</v>
      </c>
      <c r="V49" s="10">
        <f>MAX(Tabella211[[#This Row],[Cum_R_fit]]-CIr,0)</f>
        <v>21148.818705022932</v>
      </c>
      <c r="W49" s="10">
        <f>'dpc-covid19-ita-andamento-naz'!K43</f>
        <v>15887</v>
      </c>
      <c r="X49" s="26">
        <f>Tabella211[[#This Row],[Cum_deaths]]-W48</f>
        <v>525</v>
      </c>
      <c r="Y49" s="65">
        <f>Tabella211[[#This Row],[Cum_deaths]]*NOT(ISBLANK(Tabella211[[#This Row],[Cum_deaths]]))</f>
        <v>15887</v>
      </c>
      <c r="Z49" s="50">
        <f>kh*t0h*_xlfn.GAMMA.DIST(Tabella211[[#This Row],[Day]]/t0h,wh+1,1,1)*_xlfn.GAMMA(wh+1)</f>
        <v>15906.635504613081</v>
      </c>
      <c r="AA49" s="10">
        <f>kh*((Tabella211[[#This Row],[Day]]/t0h)^wh)*EXP(-(Tabella211[[#This Row],[Day]]/t0h))</f>
        <v>671.32041048127701</v>
      </c>
      <c r="AB49" s="65">
        <f>Tabella211[[#This Row],[Cum_D_fit]]*NOT(ISBLANK(Tabella211[[#This Row],[Cum_deaths]]))</f>
        <v>15906.635504613081</v>
      </c>
      <c r="AC49" s="10">
        <f>Tabella211[[#This Row],[Cum_D_fit]]+CIh</f>
        <v>16134.578617081288</v>
      </c>
      <c r="AD49" s="10">
        <f>MAX(Tabella211[[#This Row],[Cum_D_fit]]-CIh,0)</f>
        <v>15678.692392144874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k*t0*_xlfn.GAMMA.DIST(Tabella211[[#This Row],[Day]]/t0,w+1,1,1)*_xlfn.GAMMA(w+1)</f>
        <v>133296.71401515396</v>
      </c>
      <c r="H50" s="10">
        <f>k*((Tabella211[[#This Row],[Day]]/t0)^w)*EXP(-(Tabella211[[#This Row],[Day]]/t0))</f>
        <v>4109.0443154677478</v>
      </c>
      <c r="I50" s="56">
        <f>Tabella211[[#This Row],[Cum_fit]]*NOT(ISBLANK(Tabella211[[#This Row],[Cum_confirmed]]))</f>
        <v>133296.71401515396</v>
      </c>
      <c r="J50" s="10">
        <f>Tabella211[[#This Row],[Cum_fit]]+CI</f>
        <v>135867.75764172734</v>
      </c>
      <c r="K50" s="10">
        <f>MAX(Tabella211[[#This Row],[Cum_fit]]-CI,0)</f>
        <v>130725.67038858059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1894.442307221133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kr*t0r*_xlfn.GAMMA.DIST(Tabella211[[#This Row],[Day]]/t0r,wr+1,1,1)*_xlfn.GAMMA(wr+1)</f>
        <v>23480.541788194714</v>
      </c>
      <c r="S50" s="10">
        <f>kr*((Tabella211[[#This Row],[Day]]/t0r)^wr)*EXP(-(Tabella211[[#This Row],[Day]]/t0r))</f>
        <v>1569.076697880206</v>
      </c>
      <c r="T50" s="60">
        <f>Tabella211[[#This Row],[Cum_R_fit]]*NOT(ISBLANK(Tabella211[[#This Row],[Cum_recov]]))</f>
        <v>23480.541788194714</v>
      </c>
      <c r="U50" s="10">
        <f>Tabella211[[#This Row],[Cum_R_fit]]+CIr</f>
        <v>24276.510779884284</v>
      </c>
      <c r="V50" s="10">
        <f>MAX(Tabella211[[#This Row],[Cum_R_fit]]-CIr,0)</f>
        <v>22684.572796505145</v>
      </c>
      <c r="W50" s="10">
        <f>'dpc-covid19-ita-andamento-naz'!K44</f>
        <v>16523</v>
      </c>
      <c r="X50" s="26">
        <f>Tabella211[[#This Row],[Cum_deaths]]-W49</f>
        <v>636</v>
      </c>
      <c r="Y50" s="65">
        <f>Tabella211[[#This Row],[Cum_deaths]]*NOT(ISBLANK(Tabella211[[#This Row],[Cum_deaths]]))</f>
        <v>16523</v>
      </c>
      <c r="Z50" s="50">
        <f>kh*t0h*_xlfn.GAMMA.DIST(Tabella211[[#This Row],[Day]]/t0h,wh+1,1,1)*_xlfn.GAMMA(wh+1)</f>
        <v>16565.186291789378</v>
      </c>
      <c r="AA50" s="10">
        <f>kh*((Tabella211[[#This Row],[Day]]/t0h)^wh)*EXP(-(Tabella211[[#This Row],[Day]]/t0h))</f>
        <v>645.52531036640892</v>
      </c>
      <c r="AB50" s="65">
        <f>Tabella211[[#This Row],[Cum_D_fit]]*NOT(ISBLANK(Tabella211[[#This Row],[Cum_deaths]]))</f>
        <v>16565.186291789378</v>
      </c>
      <c r="AC50" s="10">
        <f>Tabella211[[#This Row],[Cum_D_fit]]+CIh</f>
        <v>16793.129404257583</v>
      </c>
      <c r="AD50" s="10">
        <f>MAX(Tabella211[[#This Row],[Cum_D_fit]]-CIh,0)</f>
        <v>16337.243179321171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k*t0*_xlfn.GAMMA.DIST(Tabella211[[#This Row],[Day]]/t0,w+1,1,1)*_xlfn.GAMMA(w+1)</f>
        <v>137321.32623397795</v>
      </c>
      <c r="H51" s="10">
        <f>k*((Tabella211[[#This Row],[Day]]/t0)^w)*EXP(-(Tabella211[[#This Row],[Day]]/t0))</f>
        <v>3939.758046531877</v>
      </c>
      <c r="I51" s="56">
        <f>Tabella211[[#This Row],[Cum_fit]]*NOT(ISBLANK(Tabella211[[#This Row],[Cum_confirmed]]))</f>
        <v>137321.32623397795</v>
      </c>
      <c r="J51" s="10">
        <f>Tabella211[[#This Row],[Cum_fit]]+CI</f>
        <v>139892.36986055132</v>
      </c>
      <c r="K51" s="10">
        <f>MAX(Tabella211[[#This Row],[Cum_fit]]-CI,0)</f>
        <v>134750.28260740457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1684.6301874044325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kr*t0r*_xlfn.GAMMA.DIST(Tabella211[[#This Row],[Day]]/t0r,wr+1,1,1)*_xlfn.GAMMA(wr+1)</f>
        <v>25083.350875218195</v>
      </c>
      <c r="S51" s="10">
        <f>kr*((Tabella211[[#This Row],[Day]]/t0r)^wr)*EXP(-(Tabella211[[#This Row],[Day]]/t0r))</f>
        <v>1636.7455868450475</v>
      </c>
      <c r="T51" s="60">
        <f>Tabella211[[#This Row],[Cum_R_fit]]*NOT(ISBLANK(Tabella211[[#This Row],[Cum_recov]]))</f>
        <v>25083.350875218195</v>
      </c>
      <c r="U51" s="10">
        <f>Tabella211[[#This Row],[Cum_R_fit]]+CIr</f>
        <v>25879.319866907765</v>
      </c>
      <c r="V51" s="10">
        <f>MAX(Tabella211[[#This Row],[Cum_R_fit]]-CIr,0)</f>
        <v>24287.381883528626</v>
      </c>
      <c r="W51" s="10">
        <f>'dpc-covid19-ita-andamento-naz'!K45</f>
        <v>17127</v>
      </c>
      <c r="X51" s="26">
        <f>Tabella211[[#This Row],[Cum_deaths]]-W50</f>
        <v>604</v>
      </c>
      <c r="Y51" s="65">
        <f>Tabella211[[#This Row],[Cum_deaths]]*NOT(ISBLANK(Tabella211[[#This Row],[Cum_deaths]]))</f>
        <v>17127</v>
      </c>
      <c r="Z51" s="50">
        <f>kh*t0h*_xlfn.GAMMA.DIST(Tabella211[[#This Row],[Day]]/t0h,wh+1,1,1)*_xlfn.GAMMA(wh+1)</f>
        <v>17197.237063454428</v>
      </c>
      <c r="AA51" s="10">
        <f>kh*((Tabella211[[#This Row],[Day]]/t0h)^wh)*EXP(-(Tabella211[[#This Row],[Day]]/t0h))</f>
        <v>618.38227228239714</v>
      </c>
      <c r="AB51" s="65">
        <f>Tabella211[[#This Row],[Cum_D_fit]]*NOT(ISBLANK(Tabella211[[#This Row],[Cum_deaths]]))</f>
        <v>17197.237063454428</v>
      </c>
      <c r="AC51" s="10">
        <f>Tabella211[[#This Row],[Cum_D_fit]]+CIh</f>
        <v>17425.180175922633</v>
      </c>
      <c r="AD51" s="10">
        <f>MAX(Tabella211[[#This Row],[Cum_D_fit]]-CIh,0)</f>
        <v>16969.293950986223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k*t0*_xlfn.GAMMA.DIST(Tabella211[[#This Row],[Day]]/t0,w+1,1,1)*_xlfn.GAMMA(w+1)</f>
        <v>141175.60836396867</v>
      </c>
      <c r="H52" s="10">
        <f>k*((Tabella211[[#This Row],[Day]]/t0)^w)*EXP(-(Tabella211[[#This Row],[Day]]/t0))</f>
        <v>3768.6022404883138</v>
      </c>
      <c r="I52" s="56">
        <f>Tabella211[[#This Row],[Cum_fit]]*NOT(ISBLANK(Tabella211[[#This Row],[Cum_confirmed]]))</f>
        <v>141175.60836396867</v>
      </c>
      <c r="J52" s="10">
        <f>Tabella211[[#This Row],[Cum_fit]]+CI</f>
        <v>143746.65199054204</v>
      </c>
      <c r="K52" s="10">
        <f>MAX(Tabella211[[#This Row],[Cum_fit]]-CI,0)</f>
        <v>138604.5647373953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1472.7170210408817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kr*t0r*_xlfn.GAMMA.DIST(Tabella211[[#This Row],[Day]]/t0r,wr+1,1,1)*_xlfn.GAMMA(wr+1)</f>
        <v>26754.439639079279</v>
      </c>
      <c r="S52" s="10">
        <f>kr*((Tabella211[[#This Row],[Day]]/t0r)^wr)*EXP(-(Tabella211[[#This Row],[Day]]/t0r))</f>
        <v>1705.6345130041389</v>
      </c>
      <c r="T52" s="60">
        <f>Tabella211[[#This Row],[Cum_R_fit]]*NOT(ISBLANK(Tabella211[[#This Row],[Cum_recov]]))</f>
        <v>26754.439639079279</v>
      </c>
      <c r="U52" s="10">
        <f>Tabella211[[#This Row],[Cum_R_fit]]+CIr</f>
        <v>27550.408630768849</v>
      </c>
      <c r="V52" s="10">
        <f>MAX(Tabella211[[#This Row],[Cum_R_fit]]-CIr,0)</f>
        <v>25958.470647389709</v>
      </c>
      <c r="W52" s="10">
        <f>'dpc-covid19-ita-andamento-naz'!K46</f>
        <v>17669</v>
      </c>
      <c r="X52" s="26">
        <f>Tabella211[[#This Row],[Cum_deaths]]-W51</f>
        <v>542</v>
      </c>
      <c r="Y52" s="65">
        <f>Tabella211[[#This Row],[Cum_deaths]]*NOT(ISBLANK(Tabella211[[#This Row],[Cum_deaths]]))</f>
        <v>17669</v>
      </c>
      <c r="Z52" s="50">
        <f>kh*t0h*_xlfn.GAMMA.DIST(Tabella211[[#This Row],[Day]]/t0h,wh+1,1,1)*_xlfn.GAMMA(wh+1)</f>
        <v>17801.621615823795</v>
      </c>
      <c r="AA52" s="10">
        <f>kh*((Tabella211[[#This Row],[Day]]/t0h)^wh)*EXP(-(Tabella211[[#This Row],[Day]]/t0h))</f>
        <v>590.25070644329355</v>
      </c>
      <c r="AB52" s="65">
        <f>Tabella211[[#This Row],[Cum_D_fit]]*NOT(ISBLANK(Tabella211[[#This Row],[Cum_deaths]]))</f>
        <v>17801.621615823795</v>
      </c>
      <c r="AC52" s="10">
        <f>Tabella211[[#This Row],[Cum_D_fit]]+CIh</f>
        <v>18029.564728292</v>
      </c>
      <c r="AD52" s="10">
        <f>MAX(Tabella211[[#This Row],[Cum_D_fit]]-CIh,0)</f>
        <v>17573.67850335559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k*t0*_xlfn.GAMMA.DIST(Tabella211[[#This Row],[Day]]/t0,w+1,1,1)*_xlfn.GAMMA(w+1)</f>
        <v>144858.32368694126</v>
      </c>
      <c r="H53" s="10">
        <f>k*((Tabella211[[#This Row],[Day]]/t0)^w)*EXP(-(Tabella211[[#This Row],[Day]]/t0))</f>
        <v>3596.8210818228235</v>
      </c>
      <c r="I53" s="56">
        <f>Tabella211[[#This Row],[Cum_fit]]*NOT(ISBLANK(Tabella211[[#This Row],[Cum_confirmed]]))</f>
        <v>144858.32368694126</v>
      </c>
      <c r="J53" s="10">
        <f>Tabella211[[#This Row],[Cum_fit]]+CI</f>
        <v>147429.36731351464</v>
      </c>
      <c r="K53" s="10">
        <f>MAX(Tabella211[[#This Row],[Cum_fit]]-CI,0)</f>
        <v>142287.28006036789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1259.6225891975462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kr*t0r*_xlfn.GAMMA.DIST(Tabella211[[#This Row],[Day]]/t0r,wr+1,1,1)*_xlfn.GAMMA(wr+1)</f>
        <v>28495.023528993628</v>
      </c>
      <c r="S53" s="10">
        <f>kr*((Tabella211[[#This Row],[Day]]/t0r)^wr)*EXP(-(Tabella211[[#This Row],[Day]]/t0r))</f>
        <v>1775.7343278271285</v>
      </c>
      <c r="T53" s="60">
        <f>Tabella211[[#This Row],[Cum_R_fit]]*NOT(ISBLANK(Tabella211[[#This Row],[Cum_recov]]))</f>
        <v>28495.023528993628</v>
      </c>
      <c r="U53" s="10">
        <f>Tabella211[[#This Row],[Cum_R_fit]]+CIr</f>
        <v>29290.992520683198</v>
      </c>
      <c r="V53" s="10">
        <f>MAX(Tabella211[[#This Row],[Cum_R_fit]]-CIr,0)</f>
        <v>27699.054537304059</v>
      </c>
      <c r="W53" s="10">
        <f>'dpc-covid19-ita-andamento-naz'!K47</f>
        <v>18279</v>
      </c>
      <c r="X53" s="26">
        <f>Tabella211[[#This Row],[Cum_deaths]]-W52</f>
        <v>610</v>
      </c>
      <c r="Y53" s="65">
        <f>Tabella211[[#This Row],[Cum_deaths]]*NOT(ISBLANK(Tabella211[[#This Row],[Cum_deaths]]))</f>
        <v>18279</v>
      </c>
      <c r="Z53" s="50">
        <f>kh*t0h*_xlfn.GAMMA.DIST(Tabella211[[#This Row],[Day]]/t0h,wh+1,1,1)*_xlfn.GAMMA(wh+1)</f>
        <v>18377.52046593307</v>
      </c>
      <c r="AA53" s="10">
        <f>kh*((Tabella211[[#This Row],[Day]]/t0h)^wh)*EXP(-(Tabella211[[#This Row],[Day]]/t0h))</f>
        <v>561.46416479814889</v>
      </c>
      <c r="AB53" s="65">
        <f>Tabella211[[#This Row],[Cum_D_fit]]*NOT(ISBLANK(Tabella211[[#This Row],[Cum_deaths]]))</f>
        <v>18377.52046593307</v>
      </c>
      <c r="AC53" s="10">
        <f>Tabella211[[#This Row],[Cum_D_fit]]+CIh</f>
        <v>18605.463578401275</v>
      </c>
      <c r="AD53" s="10">
        <f>MAX(Tabella211[[#This Row],[Cum_D_fit]]-CIh,0)</f>
        <v>18149.577353464865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50">
        <f>k*t0*_xlfn.GAMMA.DIST(Tabella211[[#This Row],[Day]]/t0,w+1,1,1)*_xlfn.GAMMA(w+1)</f>
        <v>148369.41558074084</v>
      </c>
      <c r="H54" s="10">
        <f>k*((Tabella211[[#This Row],[Day]]/t0)^w)*EXP(-(Tabella211[[#This Row],[Day]]/t0))</f>
        <v>3425.5309089653151</v>
      </c>
      <c r="I54" s="56">
        <f>Tabella211[[#This Row],[Cum_fit]]*NOT(ISBLANK(Tabella211[[#This Row],[Cum_confirmed]]))</f>
        <v>148369.41558074084</v>
      </c>
      <c r="J54" s="10">
        <f>Tabella211[[#This Row],[Cum_fit]]+CI</f>
        <v>150940.45920731421</v>
      </c>
      <c r="K54" s="10">
        <f>MAX(Tabella211[[#This Row],[Cum_fit]]-CI,0)</f>
        <v>145798.37195416747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1046.1668910762114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50">
        <f>kr*t0r*_xlfn.GAMMA.DIST(Tabella211[[#This Row],[Day]]/t0r,wr+1,1,1)*_xlfn.GAMMA(wr+1)</f>
        <v>30306.308926710881</v>
      </c>
      <c r="S54" s="10">
        <f>kr*((Tabella211[[#This Row],[Day]]/t0r)^wr)*EXP(-(Tabella211[[#This Row],[Day]]/t0r))</f>
        <v>1847.0360437126717</v>
      </c>
      <c r="T54" s="60">
        <f>Tabella211[[#This Row],[Cum_R_fit]]*NOT(ISBLANK(Tabella211[[#This Row],[Cum_recov]]))</f>
        <v>30306.308926710881</v>
      </c>
      <c r="U54" s="10">
        <f>Tabella211[[#This Row],[Cum_R_fit]]+CIr</f>
        <v>31102.27791840045</v>
      </c>
      <c r="V54" s="10">
        <f>MAX(Tabella211[[#This Row],[Cum_R_fit]]-CIr,0)</f>
        <v>29510.339935021311</v>
      </c>
      <c r="W54" s="10">
        <f>'dpc-covid19-ita-andamento-naz'!K48</f>
        <v>18849</v>
      </c>
      <c r="X54" s="26">
        <f>Tabella211[[#This Row],[Cum_deaths]]-W53</f>
        <v>570</v>
      </c>
      <c r="Y54" s="65">
        <f>Tabella211[[#This Row],[Cum_deaths]]*NOT(ISBLANK(Tabella211[[#This Row],[Cum_deaths]]))</f>
        <v>18849</v>
      </c>
      <c r="Z54" s="50">
        <f>kh*t0h*_xlfn.GAMMA.DIST(Tabella211[[#This Row],[Day]]/t0h,wh+1,1,1)*_xlfn.GAMMA(wh+1)</f>
        <v>18924.433726277333</v>
      </c>
      <c r="AA54" s="10">
        <f>kh*((Tabella211[[#This Row],[Day]]/t0h)^wh)*EXP(-(Tabella211[[#This Row],[Day]]/t0h))</f>
        <v>532.32797417643189</v>
      </c>
      <c r="AB54" s="65">
        <f>Tabella211[[#This Row],[Cum_D_fit]]*NOT(ISBLANK(Tabella211[[#This Row],[Cum_deaths]]))</f>
        <v>18924.433726277333</v>
      </c>
      <c r="AC54" s="10">
        <f>Tabella211[[#This Row],[Cum_D_fit]]+CIh</f>
        <v>19152.376838745538</v>
      </c>
      <c r="AD54" s="10">
        <f>MAX(Tabella211[[#This Row],[Cum_D_fit]]-CIh,0)</f>
        <v>18696.490613809128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Tabella211[[#This Row],[Cum_confirmed]]*NOT(ISBLANK(Tabella211[[#This Row],[Cum_confirmed]]))</f>
        <v>152271</v>
      </c>
      <c r="G55" s="50">
        <f>k*t0*_xlfn.GAMMA.DIST(Tabella211[[#This Row],[Day]]/t0,w+1,1,1)*_xlfn.GAMMA(w+1)</f>
        <v>151709.88094428022</v>
      </c>
      <c r="H55" s="10">
        <f>k*((Tabella211[[#This Row],[Day]]/t0)^w)*EXP(-(Tabella211[[#This Row],[Day]]/t0))</f>
        <v>3255.7230234932158</v>
      </c>
      <c r="I55" s="56">
        <f>Tabella211[[#This Row],[Cum_fit]]*NOT(ISBLANK(Tabella211[[#This Row],[Cum_confirmed]]))</f>
        <v>151709.88094428022</v>
      </c>
      <c r="J55" s="10">
        <f>Tabella211[[#This Row],[Cum_fit]]+CI</f>
        <v>154280.92457085359</v>
      </c>
      <c r="K55" s="10">
        <f>MAX(Tabella211[[#This Row],[Cum_fit]]-CI,0)</f>
        <v>149138.83731770684</v>
      </c>
      <c r="L55" s="54">
        <f>'dpc-covid19-ita-andamento-naz'!G49</f>
        <v>100269</v>
      </c>
      <c r="M55" s="54">
        <f>'dpc-covid19-ita-andamento-naz'!H49</f>
        <v>1996</v>
      </c>
      <c r="N55" s="54">
        <f>Tabella211[[#This Row],[New_cases_fit]]-Tabella211[[#This Row],[New_Recovered_fit]]-Tabella211[[#This Row],[New_Deaths_fit]]</f>
        <v>833.07438399730688</v>
      </c>
      <c r="O55" s="10">
        <f>'dpc-covid19-ita-andamento-naz'!J49</f>
        <v>32534</v>
      </c>
      <c r="P55" s="48">
        <f>Tabella211[[#This Row],[Cum_recov]]-O54</f>
        <v>2079</v>
      </c>
      <c r="Q55" s="60">
        <f>Tabella211[[#This Row],[Cum_recov]]*NOT(ISBLANK(Tabella211[[#This Row],[Cum_recov]]))</f>
        <v>32534</v>
      </c>
      <c r="R55" s="50">
        <f>kr*t0r*_xlfn.GAMMA.DIST(Tabella211[[#This Row],[Day]]/t0r,wr+1,1,1)*_xlfn.GAMMA(wr+1)</f>
        <v>32189.493303926301</v>
      </c>
      <c r="S55" s="10">
        <f>kr*((Tabella211[[#This Row],[Day]]/t0r)^wr)*EXP(-(Tabella211[[#This Row],[Day]]/t0r))</f>
        <v>1919.5308270346168</v>
      </c>
      <c r="T55" s="60">
        <f>Tabella211[[#This Row],[Cum_R_fit]]*NOT(ISBLANK(Tabella211[[#This Row],[Cum_recov]]))</f>
        <v>32189.493303926301</v>
      </c>
      <c r="U55" s="10">
        <f>Tabella211[[#This Row],[Cum_R_fit]]+CIr</f>
        <v>32985.462295615871</v>
      </c>
      <c r="V55" s="10">
        <f>MAX(Tabella211[[#This Row],[Cum_R_fit]]-CIr,0)</f>
        <v>31393.524312236732</v>
      </c>
      <c r="W55" s="10">
        <f>'dpc-covid19-ita-andamento-naz'!K49</f>
        <v>19468</v>
      </c>
      <c r="X55" s="26">
        <f>Tabella211[[#This Row],[Cum_deaths]]-W54</f>
        <v>619</v>
      </c>
      <c r="Y55" s="65">
        <f>Tabella211[[#This Row],[Cum_deaths]]*NOT(ISBLANK(Tabella211[[#This Row],[Cum_deaths]]))</f>
        <v>19468</v>
      </c>
      <c r="Z55" s="50">
        <f>kh*t0h*_xlfn.GAMMA.DIST(Tabella211[[#This Row],[Day]]/t0h,wh+1,1,1)*_xlfn.GAMMA(wh+1)</f>
        <v>19442.152094325742</v>
      </c>
      <c r="AA55" s="10">
        <f>kh*((Tabella211[[#This Row],[Day]]/t0h)^wh)*EXP(-(Tabella211[[#This Row],[Day]]/t0h))</f>
        <v>503.11781246129215</v>
      </c>
      <c r="AB55" s="65">
        <f>Tabella211[[#This Row],[Cum_D_fit]]*NOT(ISBLANK(Tabella211[[#This Row],[Cum_deaths]]))</f>
        <v>19442.152094325742</v>
      </c>
      <c r="AC55" s="10">
        <f>Tabella211[[#This Row],[Cum_D_fit]]+CIh</f>
        <v>19670.095206793947</v>
      </c>
      <c r="AD55" s="10">
        <f>MAX(Tabella211[[#This Row],[Cum_D_fit]]-CIh,0)</f>
        <v>19214.208981857537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Tabella211[[#This Row],[Cum_confirmed]]*NOT(ISBLANK(Tabella211[[#This Row],[Cum_confirmed]]))</f>
        <v>156363</v>
      </c>
      <c r="G56" s="50">
        <f>k*t0*_xlfn.GAMMA.DIST(Tabella211[[#This Row],[Day]]/t0,w+1,1,1)*_xlfn.GAMMA(w+1)</f>
        <v>154881.64717699765</v>
      </c>
      <c r="H56" s="10">
        <f>k*((Tabella211[[#This Row],[Day]]/t0)^w)*EXP(-(Tabella211[[#This Row],[Day]]/t0))</f>
        <v>3088.2679350855069</v>
      </c>
      <c r="I56" s="56">
        <f>Tabella211[[#This Row],[Cum_fit]]*NOT(ISBLANK(Tabella211[[#This Row],[Cum_confirmed]]))</f>
        <v>154881.64717699765</v>
      </c>
      <c r="J56" s="10">
        <f>Tabella211[[#This Row],[Cum_fit]]+CI</f>
        <v>157452.69080357102</v>
      </c>
      <c r="K56" s="10">
        <f>MAX(Tabella211[[#This Row],[Cum_fit]]-CI,0)</f>
        <v>152310.60355042428</v>
      </c>
      <c r="L56" s="54">
        <f>'dpc-covid19-ita-andamento-naz'!G50</f>
        <v>102253</v>
      </c>
      <c r="M56" s="54">
        <f>'dpc-covid19-ita-andamento-naz'!H50</f>
        <v>1984</v>
      </c>
      <c r="N56" s="54">
        <f>Tabella211[[#This Row],[New_cases_fit]]-Tabella211[[#This Row],[New_Recovered_fit]]-Tabella211[[#This Row],[New_Deaths_fit]]</f>
        <v>620.97883957665613</v>
      </c>
      <c r="O56" s="10">
        <f>'dpc-covid19-ita-andamento-naz'!J50</f>
        <v>34211</v>
      </c>
      <c r="P56" s="48">
        <f>Tabella211[[#This Row],[Cum_recov]]-O55</f>
        <v>1677</v>
      </c>
      <c r="Q56" s="60">
        <f>Tabella211[[#This Row],[Cum_recov]]*NOT(ISBLANK(Tabella211[[#This Row],[Cum_recov]]))</f>
        <v>34211</v>
      </c>
      <c r="R56" s="50">
        <f>kr*t0r*_xlfn.GAMMA.DIST(Tabella211[[#This Row],[Day]]/t0r,wr+1,1,1)*_xlfn.GAMMA(wr+1)</f>
        <v>34145.76537297367</v>
      </c>
      <c r="S56" s="10">
        <f>kr*((Tabella211[[#This Row],[Day]]/t0r)^wr)*EXP(-(Tabella211[[#This Row],[Day]]/t0r))</f>
        <v>1993.2099916495263</v>
      </c>
      <c r="T56" s="60">
        <f>Tabella211[[#This Row],[Cum_R_fit]]*NOT(ISBLANK(Tabella211[[#This Row],[Cum_recov]]))</f>
        <v>34145.76537297367</v>
      </c>
      <c r="U56" s="10">
        <f>Tabella211[[#This Row],[Cum_R_fit]]+CIr</f>
        <v>34941.734364663236</v>
      </c>
      <c r="V56" s="10">
        <f>MAX(Tabella211[[#This Row],[Cum_R_fit]]-CIr,0)</f>
        <v>33349.796381284104</v>
      </c>
      <c r="W56" s="10">
        <f>'dpc-covid19-ita-andamento-naz'!K50</f>
        <v>19899</v>
      </c>
      <c r="X56" s="26">
        <f>Tabella211[[#This Row],[Cum_deaths]]-W55</f>
        <v>431</v>
      </c>
      <c r="Y56" s="65">
        <f>Tabella211[[#This Row],[Cum_deaths]]*NOT(ISBLANK(Tabella211[[#This Row],[Cum_deaths]]))</f>
        <v>19899</v>
      </c>
      <c r="Z56" s="50">
        <f>kh*t0h*_xlfn.GAMMA.DIST(Tabella211[[#This Row],[Day]]/t0h,wh+1,1,1)*_xlfn.GAMMA(wh+1)</f>
        <v>19930.72683814236</v>
      </c>
      <c r="AA56" s="10">
        <f>kh*((Tabella211[[#This Row],[Day]]/t0h)^wh)*EXP(-(Tabella211[[#This Row],[Day]]/t0h))</f>
        <v>474.0791038593245</v>
      </c>
      <c r="AB56" s="65">
        <f>Tabella211[[#This Row],[Cum_D_fit]]*NOT(ISBLANK(Tabella211[[#This Row],[Cum_deaths]]))</f>
        <v>19930.72683814236</v>
      </c>
      <c r="AC56" s="10">
        <f>Tabella211[[#This Row],[Cum_D_fit]]+CIh</f>
        <v>20158.669950610565</v>
      </c>
      <c r="AD56" s="10">
        <f>MAX(Tabella211[[#This Row],[Cum_D_fit]]-CIh,0)</f>
        <v>19702.783725674155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Tabella211[[#This Row],[Cum_confirmed]]*NOT(ISBLANK(Tabella211[[#This Row],[Cum_confirmed]]))</f>
        <v>159516</v>
      </c>
      <c r="G57" s="50">
        <f>k*t0*_xlfn.GAMMA.DIST(Tabella211[[#This Row],[Day]]/t0,w+1,1,1)*_xlfn.GAMMA(w+1)</f>
        <v>157887.45399020263</v>
      </c>
      <c r="H57" s="10">
        <f>k*((Tabella211[[#This Row],[Day]]/t0)^w)*EXP(-(Tabella211[[#This Row],[Day]]/t0))</f>
        <v>2923.9207314327823</v>
      </c>
      <c r="I57" s="56">
        <f>Tabella211[[#This Row],[Cum_fit]]*NOT(ISBLANK(Tabella211[[#This Row],[Cum_confirmed]]))</f>
        <v>157887.45399020263</v>
      </c>
      <c r="J57" s="10">
        <f>Tabella211[[#This Row],[Cum_fit]]+CI</f>
        <v>160458.497616776</v>
      </c>
      <c r="K57" s="10">
        <f>MAX(Tabella211[[#This Row],[Cum_fit]]-CI,0)</f>
        <v>155316.41036362926</v>
      </c>
      <c r="L57" s="54">
        <f>'dpc-covid19-ita-andamento-naz'!G51</f>
        <v>103616</v>
      </c>
      <c r="M57" s="54">
        <f>'dpc-covid19-ita-andamento-naz'!H51</f>
        <v>1363</v>
      </c>
      <c r="N57" s="54">
        <f>Tabella211[[#This Row],[New_cases_fit]]-Tabella211[[#This Row],[New_Recovered_fit]]-Tabella211[[#This Row],[New_Deaths_fit]]</f>
        <v>410.42862904014959</v>
      </c>
      <c r="O57" s="10">
        <f>'dpc-covid19-ita-andamento-naz'!J51</f>
        <v>35435</v>
      </c>
      <c r="P57" s="48">
        <f>Tabella211[[#This Row],[Cum_recov]]-O56</f>
        <v>1224</v>
      </c>
      <c r="Q57" s="60">
        <f>Tabella211[[#This Row],[Cum_recov]]*NOT(ISBLANK(Tabella211[[#This Row],[Cum_recov]]))</f>
        <v>35435</v>
      </c>
      <c r="R57" s="50">
        <f>kr*t0r*_xlfn.GAMMA.DIST(Tabella211[[#This Row],[Day]]/t0r,wr+1,1,1)*_xlfn.GAMMA(wr+1)</f>
        <v>36176.305231238097</v>
      </c>
      <c r="S57" s="10">
        <f>kr*((Tabella211[[#This Row],[Day]]/t0r)^wr)*EXP(-(Tabella211[[#This Row],[Day]]/t0r))</f>
        <v>2068.0649928255652</v>
      </c>
      <c r="T57" s="60">
        <f>Tabella211[[#This Row],[Cum_R_fit]]*NOT(ISBLANK(Tabella211[[#This Row],[Cum_recov]]))</f>
        <v>36176.305231238097</v>
      </c>
      <c r="U57" s="10">
        <f>Tabella211[[#This Row],[Cum_R_fit]]+CIr</f>
        <v>36972.274222927663</v>
      </c>
      <c r="V57" s="10">
        <f>MAX(Tabella211[[#This Row],[Cum_R_fit]]-CIr,0)</f>
        <v>35380.336239548531</v>
      </c>
      <c r="W57" s="10">
        <f>'dpc-covid19-ita-andamento-naz'!K51</f>
        <v>20465</v>
      </c>
      <c r="X57" s="26">
        <f>Tabella211[[#This Row],[Cum_deaths]]-W56</f>
        <v>566</v>
      </c>
      <c r="Y57" s="65">
        <f>Tabella211[[#This Row],[Cum_deaths]]*NOT(ISBLANK(Tabella211[[#This Row],[Cum_deaths]]))</f>
        <v>20465</v>
      </c>
      <c r="Z57" s="50">
        <f>kh*t0h*_xlfn.GAMMA.DIST(Tabella211[[#This Row],[Day]]/t0h,wh+1,1,1)*_xlfn.GAMMA(wh+1)</f>
        <v>20390.439535164809</v>
      </c>
      <c r="AA57" s="10">
        <f>kh*((Tabella211[[#This Row],[Day]]/t0h)^wh)*EXP(-(Tabella211[[#This Row],[Day]]/t0h))</f>
        <v>445.42710956706748</v>
      </c>
      <c r="AB57" s="65">
        <f>Tabella211[[#This Row],[Cum_D_fit]]*NOT(ISBLANK(Tabella211[[#This Row],[Cum_deaths]]))</f>
        <v>20390.439535164809</v>
      </c>
      <c r="AC57" s="10">
        <f>Tabella211[[#This Row],[Cum_D_fit]]+CIh</f>
        <v>20618.382647633014</v>
      </c>
      <c r="AD57" s="10">
        <f>MAX(Tabella211[[#This Row],[Cum_D_fit]]-CIh,0)</f>
        <v>20162.496422696604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Tabella211[[#This Row],[Cum_confirmed]]*NOT(ISBLANK(Tabella211[[#This Row],[Cum_confirmed]]))</f>
        <v>0</v>
      </c>
      <c r="G58" s="50">
        <f>k*t0*_xlfn.GAMMA.DIST(Tabella211[[#This Row],[Day]]/t0,w+1,1,1)*_xlfn.GAMMA(w+1)</f>
        <v>160730.74103426683</v>
      </c>
      <c r="H58" s="10">
        <f>k*((Tabella211[[#This Row],[Day]]/t0)^w)*EXP(-(Tabella211[[#This Row],[Day]]/t0))</f>
        <v>2763.3272968148772</v>
      </c>
      <c r="I58" s="56">
        <f>Tabella211[[#This Row],[Cum_fit]]*NOT(ISBLANK(Tabella211[[#This Row],[Cum_confirmed]]))</f>
        <v>0</v>
      </c>
      <c r="L58" s="55"/>
      <c r="M58" s="54"/>
      <c r="N58" s="54">
        <f>Tabella211[[#This Row],[New_cases_fit]]-Tabella211[[#This Row],[New_Recovered_fit]]-Tabella211[[#This Row],[New_Deaths_fit]]</f>
        <v>201.89228106777546</v>
      </c>
      <c r="P58" s="48"/>
      <c r="Q58" s="60">
        <f>Tabella211[[#This Row],[Cum_recov]]*NOT(ISBLANK(Tabella211[[#This Row],[Cum_recov]]))</f>
        <v>0</v>
      </c>
      <c r="R58" s="50">
        <f>kr*t0r*_xlfn.GAMMA.DIST(Tabella211[[#This Row],[Day]]/t0r,wr+1,1,1)*_xlfn.GAMMA(wr+1)</f>
        <v>38282.284499694855</v>
      </c>
      <c r="S58" s="10">
        <f>kr*((Tabella211[[#This Row],[Day]]/t0r)^wr)*EXP(-(Tabella211[[#This Row],[Day]]/t0r))</f>
        <v>2144.0874215570734</v>
      </c>
      <c r="T58" s="60">
        <f>Tabella211[[#This Row],[Cum_R_fit]]*NOT(ISBLANK(Tabella211[[#This Row],[Cum_recov]]))</f>
        <v>0</v>
      </c>
      <c r="X58" s="26"/>
      <c r="Y58" s="65">
        <f>Tabella211[[#This Row],[Cum_deaths]]*NOT(ISBLANK(Tabella211[[#This Row],[Cum_deaths]]))</f>
        <v>0</v>
      </c>
      <c r="Z58" s="50">
        <f>kh*t0h*_xlfn.GAMMA.DIST(Tabella211[[#This Row],[Day]]/t0h,wh+1,1,1)*_xlfn.GAMMA(wh+1)</f>
        <v>20821.772199245297</v>
      </c>
      <c r="AA58" s="10">
        <f>kh*((Tabella211[[#This Row],[Day]]/t0h)^wh)*EXP(-(Tabella211[[#This Row],[Day]]/t0h))</f>
        <v>417.3475941900283</v>
      </c>
      <c r="AB58" s="65">
        <f>Tabella211[[#This Row],[Cum_D_fit]]*NOT(ISBLANK(Tabella211[[#This Row],[Cum_deaths]]))</f>
        <v>0</v>
      </c>
      <c r="AC58" s="10"/>
      <c r="AD58" s="10"/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k*t0*_xlfn.GAMMA.DIST(Tabella211[[#This Row],[Day]]/t0,w+1,1,1)*_xlfn.GAMMA(w+1)</f>
        <v>163415.54206629383</v>
      </c>
      <c r="H59" s="10">
        <f>k*((Tabella211[[#This Row],[Day]]/t0)^w)*EXP(-(Tabella211[[#This Row],[Day]]/t0))</f>
        <v>2607.0311368042981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-4.2358175924401849</v>
      </c>
      <c r="P59" s="48"/>
      <c r="Q59" s="60">
        <f>Tabella211[[#This Row],[Cum_recov]]*NOT(ISBLANK(Tabella211[[#This Row],[Cum_recov]]))</f>
        <v>0</v>
      </c>
      <c r="R59" s="50">
        <f>kr*t0r*_xlfn.GAMMA.DIST(Tabella211[[#This Row],[Day]]/t0r,wr+1,1,1)*_xlfn.GAMMA(wr+1)</f>
        <v>40464.866455940864</v>
      </c>
      <c r="S59" s="10">
        <f>kr*((Tabella211[[#This Row],[Day]]/t0r)^wr)*EXP(-(Tabella211[[#This Row],[Day]]/t0r))</f>
        <v>2221.268999232766</v>
      </c>
      <c r="T59" s="60">
        <f>Tabella211[[#This Row],[Cum_R_fit]]*NOT(ISBLANK(Tabella211[[#This Row],[Cum_recov]]))</f>
        <v>0</v>
      </c>
      <c r="X59" s="26"/>
      <c r="Y59" s="65">
        <f>Tabella211[[#This Row],[Cum_deaths]]*NOT(ISBLANK(Tabella211[[#This Row],[Cum_deaths]]))</f>
        <v>0</v>
      </c>
      <c r="Z59" s="50">
        <f>kh*t0h*_xlfn.GAMMA.DIST(Tabella211[[#This Row],[Day]]/t0h,wh+1,1,1)*_xlfn.GAMMA(wh+1)</f>
        <v>21225.378314662048</v>
      </c>
      <c r="AA59" s="10">
        <f>kh*((Tabella211[[#This Row],[Day]]/t0h)^wh)*EXP(-(Tabella211[[#This Row],[Day]]/t0h))</f>
        <v>389.99795516397228</v>
      </c>
      <c r="AB59" s="65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k*t0*_xlfn.GAMMA.DIST(Tabella211[[#This Row],[Day]]/t0,w+1,1,1)*_xlfn.GAMMA(w+1)</f>
        <v>165946.38615666609</v>
      </c>
      <c r="H60" s="10">
        <f>k*((Tabella211[[#This Row],[Day]]/t0)^w)*EXP(-(Tabella211[[#This Row],[Day]]/t0))</f>
        <v>2455.4805988802568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-207.62968505058171</v>
      </c>
      <c r="P60" s="48"/>
      <c r="Q60" s="60">
        <f>Tabella211[[#This Row],[Cum_recov]]*NOT(ISBLANK(Tabella211[[#This Row],[Cum_recov]]))</f>
        <v>0</v>
      </c>
      <c r="R60" s="50">
        <f>kr*t0r*_xlfn.GAMMA.DIST(Tabella211[[#This Row],[Day]]/t0r,wr+1,1,1)*_xlfn.GAMMA(wr+1)</f>
        <v>42725.206162059992</v>
      </c>
      <c r="S60" s="10">
        <f>kr*((Tabella211[[#This Row],[Day]]/t0r)^wr)*EXP(-(Tabella211[[#This Row],[Day]]/t0r))</f>
        <v>2299.6015726288197</v>
      </c>
      <c r="T60" s="60">
        <f>Tabella211[[#This Row],[Cum_R_fit]]*NOT(ISBLANK(Tabella211[[#This Row],[Cum_recov]]))</f>
        <v>0</v>
      </c>
      <c r="X60" s="26"/>
      <c r="Y60" s="65">
        <f>Tabella211[[#This Row],[Cum_deaths]]*NOT(ISBLANK(Tabella211[[#This Row],[Cum_deaths]]))</f>
        <v>0</v>
      </c>
      <c r="Z60" s="50">
        <f>kh*t0h*_xlfn.GAMMA.DIST(Tabella211[[#This Row],[Day]]/t0h,wh+1,1,1)*_xlfn.GAMMA(wh+1)</f>
        <v>21602.05518736365</v>
      </c>
      <c r="AA60" s="10">
        <f>kh*((Tabella211[[#This Row],[Day]]/t0h)^wh)*EXP(-(Tabella211[[#This Row],[Day]]/t0h))</f>
        <v>363.50871130201887</v>
      </c>
      <c r="AB60" s="65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k*t0*_xlfn.GAMMA.DIST(Tabella211[[#This Row],[Day]]/t0,w+1,1,1)*_xlfn.GAMMA(w+1)</f>
        <v>168328.2062380412</v>
      </c>
      <c r="H61" s="10">
        <f>k*((Tabella211[[#This Row],[Day]]/t0)^w)*EXP(-(Tabella211[[#This Row],[Day]]/t0))</f>
        <v>2309.03630917275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-408.02605674468225</v>
      </c>
      <c r="P61" s="48"/>
      <c r="Q61" s="60">
        <f>Tabella211[[#This Row],[Cum_recov]]*NOT(ISBLANK(Tabella211[[#This Row],[Cum_recov]]))</f>
        <v>0</v>
      </c>
      <c r="R61" s="50">
        <f>kr*t0r*_xlfn.GAMMA.DIST(Tabella211[[#This Row],[Day]]/t0r,wr+1,1,1)*_xlfn.GAMMA(wr+1)</f>
        <v>45064.450587632506</v>
      </c>
      <c r="S61" s="10">
        <f>kr*((Tabella211[[#This Row],[Day]]/t0r)^wr)*EXP(-(Tabella211[[#This Row],[Day]]/t0r))</f>
        <v>2379.0771092009022</v>
      </c>
      <c r="T61" s="60">
        <f>Tabella211[[#This Row],[Cum_R_fit]]*NOT(ISBLANK(Tabella211[[#This Row],[Cum_recov]]))</f>
        <v>0</v>
      </c>
      <c r="X61" s="26"/>
      <c r="Y61" s="65">
        <f>Tabella211[[#This Row],[Cum_deaths]]*NOT(ISBLANK(Tabella211[[#This Row],[Cum_deaths]]))</f>
        <v>0</v>
      </c>
      <c r="Z61" s="50">
        <f>kh*t0h*_xlfn.GAMMA.DIST(Tabella211[[#This Row],[Day]]/t0h,wh+1,1,1)*_xlfn.GAMMA(wh+1)</f>
        <v>21952.717924817371</v>
      </c>
      <c r="AA61" s="10">
        <f>kh*((Tabella211[[#This Row],[Day]]/t0h)^wh)*EXP(-(Tabella211[[#This Row],[Day]]/t0h))</f>
        <v>337.98525671652999</v>
      </c>
      <c r="AB61" s="65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k*t0*_xlfn.GAMMA.DIST(Tabella211[[#This Row],[Day]]/t0,w+1,1,1)*_xlfn.GAMMA(w+1)</f>
        <v>170566.25513489638</v>
      </c>
      <c r="H62" s="10">
        <f>k*((Tabella211[[#This Row],[Day]]/t0)^w)*EXP(-(Tabella211[[#This Row],[Day]]/t0))</f>
        <v>2167.9786737865888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-605.21881600494817</v>
      </c>
      <c r="P62" s="48"/>
      <c r="Q62" s="60">
        <f>Tabella211[[#This Row],[Cum_recov]]*NOT(ISBLANK(Tabella211[[#This Row],[Cum_recov]]))</f>
        <v>0</v>
      </c>
      <c r="R62" s="50">
        <f>kr*t0r*_xlfn.GAMMA.DIST(Tabella211[[#This Row],[Day]]/t0r,wr+1,1,1)*_xlfn.GAMMA(wr+1)</f>
        <v>47483.73872817654</v>
      </c>
      <c r="S62" s="10">
        <f>kr*((Tabella211[[#This Row],[Day]]/t0r)^wr)*EXP(-(Tabella211[[#This Row],[Day]]/t0r))</f>
        <v>2459.6876926517921</v>
      </c>
      <c r="T62" s="60">
        <f>Tabella211[[#This Row],[Cum_R_fit]]*NOT(ISBLANK(Tabella211[[#This Row],[Cum_recov]]))</f>
        <v>0</v>
      </c>
      <c r="X62" s="26"/>
      <c r="Y62" s="65">
        <f>Tabella211[[#This Row],[Cum_deaths]]*NOT(ISBLANK(Tabella211[[#This Row],[Cum_deaths]]))</f>
        <v>0</v>
      </c>
      <c r="Z62" s="50">
        <f>kh*t0h*_xlfn.GAMMA.DIST(Tabella211[[#This Row],[Day]]/t0h,wh+1,1,1)*_xlfn.GAMMA(wh+1)</f>
        <v>22278.375267436826</v>
      </c>
      <c r="AA62" s="10">
        <f>kh*((Tabella211[[#This Row],[Day]]/t0h)^wh)*EXP(-(Tabella211[[#This Row],[Day]]/t0h))</f>
        <v>313.50979713974499</v>
      </c>
      <c r="AB62" s="65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k*t0*_xlfn.GAMMA.DIST(Tabella211[[#This Row],[Day]]/t0,w+1,1,1)*_xlfn.GAMMA(w+1)</f>
        <v>172666.02907329728</v>
      </c>
      <c r="H63" s="10">
        <f>k*((Tabella211[[#This Row],[Day]]/t0)^w)*EXP(-(Tabella211[[#This Row],[Day]]/t0))</f>
        <v>2032.5153189953214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-799.0535963655492</v>
      </c>
      <c r="P63" s="48"/>
      <c r="Q63" s="60">
        <f>Tabella211[[#This Row],[Cum_recov]]*NOT(ISBLANK(Tabella211[[#This Row],[Cum_recov]]))</f>
        <v>0</v>
      </c>
      <c r="R63" s="50">
        <f>kr*t0r*_xlfn.GAMMA.DIST(Tabella211[[#This Row],[Day]]/t0r,wr+1,1,1)*_xlfn.GAMMA(wr+1)</f>
        <v>49984.201719285295</v>
      </c>
      <c r="S63" s="10">
        <f>kr*((Tabella211[[#This Row],[Day]]/t0r)^wr)*EXP(-(Tabella211[[#This Row],[Day]]/t0r))</f>
        <v>2541.4255187533781</v>
      </c>
      <c r="T63" s="60">
        <f>Tabella211[[#This Row],[Cum_R_fit]]*NOT(ISBLANK(Tabella211[[#This Row],[Cum_recov]]))</f>
        <v>0</v>
      </c>
      <c r="X63" s="26"/>
      <c r="Y63" s="65">
        <f>Tabella211[[#This Row],[Cum_deaths]]*NOT(ISBLANK(Tabella211[[#This Row],[Cum_deaths]]))</f>
        <v>0</v>
      </c>
      <c r="Z63" s="50">
        <f>kh*t0h*_xlfn.GAMMA.DIST(Tabella211[[#This Row],[Day]]/t0h,wh+1,1,1)*_xlfn.GAMMA(wh+1)</f>
        <v>22580.107417062172</v>
      </c>
      <c r="AA63" s="10">
        <f>kh*((Tabella211[[#This Row],[Day]]/t0h)^wh)*EXP(-(Tabella211[[#This Row],[Day]]/t0h))</f>
        <v>290.14339660749249</v>
      </c>
      <c r="AB63" s="65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k*t0*_xlfn.GAMMA.DIST(Tabella211[[#This Row],[Day]]/t0,w+1,1,1)*_xlfn.GAMMA(w+1)</f>
        <v>174633.1985567438</v>
      </c>
      <c r="H64" s="10">
        <f>k*((Tabella211[[#This Row],[Day]]/t0)^w)*EXP(-(Tabella211[[#This Row],[Day]]/t0))</f>
        <v>1902.7883679622119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-989.42259664086419</v>
      </c>
      <c r="P64" s="48"/>
      <c r="Q64" s="60">
        <f>Tabella211[[#This Row],[Cum_recov]]*NOT(ISBLANK(Tabella211[[#This Row],[Cum_recov]]))</f>
        <v>0</v>
      </c>
      <c r="R64" s="50">
        <f>kr*t0r*_xlfn.GAMMA.DIST(Tabella211[[#This Row],[Day]]/t0r,wr+1,1,1)*_xlfn.GAMMA(wr+1)</f>
        <v>52566.962946706524</v>
      </c>
      <c r="S64" s="10">
        <f>kr*((Tabella211[[#This Row],[Day]]/t0r)^wr)*EXP(-(Tabella211[[#This Row],[Day]]/t0r))</f>
        <v>2624.2828914039783</v>
      </c>
      <c r="T64" s="60">
        <f>Tabella211[[#This Row],[Cum_R_fit]]*NOT(ISBLANK(Tabella211[[#This Row],[Cum_recov]]))</f>
        <v>0</v>
      </c>
      <c r="X64" s="26"/>
      <c r="Y64" s="65">
        <f>Tabella211[[#This Row],[Cum_deaths]]*NOT(ISBLANK(Tabella211[[#This Row],[Cum_deaths]]))</f>
        <v>0</v>
      </c>
      <c r="Z64" s="50">
        <f>kh*t0h*_xlfn.GAMMA.DIST(Tabella211[[#This Row],[Day]]/t0h,wh+1,1,1)*_xlfn.GAMMA(wh+1)</f>
        <v>22859.045941325192</v>
      </c>
      <c r="AA64" s="10">
        <f>kh*((Tabella211[[#This Row],[Day]]/t0h)^wh)*EXP(-(Tabella211[[#This Row],[Day]]/t0h))</f>
        <v>267.9280731990977</v>
      </c>
      <c r="AB64" s="65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k*t0*_xlfn.GAMMA.DIST(Tabella211[[#This Row],[Day]]/t0,w+1,1,1)*_xlfn.GAMMA(w+1)</f>
        <v>176473.54640225641</v>
      </c>
      <c r="H65" s="10">
        <f>k*((Tabella211[[#This Row],[Day]]/t0)^w)*EXP(-(Tabella211[[#This Row],[Day]]/t0))</f>
        <v>1778.8814725351508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-1176.2596391298248</v>
      </c>
      <c r="P65" s="48"/>
      <c r="Q65" s="60">
        <f>Tabella211[[#This Row],[Cum_recov]]*NOT(ISBLANK(Tabella211[[#This Row],[Cum_recov]]))</f>
        <v>0</v>
      </c>
      <c r="R65" s="50">
        <f>kr*t0r*_xlfn.GAMMA.DIST(Tabella211[[#This Row],[Day]]/t0r,wr+1,1,1)*_xlfn.GAMMA(wr+1)</f>
        <v>55233.138152588872</v>
      </c>
      <c r="S65" s="10">
        <f>kr*((Tabella211[[#This Row],[Day]]/t0r)^wr)*EXP(-(Tabella211[[#This Row],[Day]]/t0r))</f>
        <v>2708.2522189034603</v>
      </c>
      <c r="T65" s="60">
        <f>Tabella211[[#This Row],[Cum_R_fit]]*NOT(ISBLANK(Tabella211[[#This Row],[Cum_recov]]))</f>
        <v>0</v>
      </c>
      <c r="X65" s="26"/>
      <c r="Y65" s="65">
        <f>Tabella211[[#This Row],[Cum_deaths]]*NOT(ISBLANK(Tabella211[[#This Row],[Cum_deaths]]))</f>
        <v>0</v>
      </c>
      <c r="Z65" s="50">
        <f>kh*t0h*_xlfn.GAMMA.DIST(Tabella211[[#This Row],[Day]]/t0h,wh+1,1,1)*_xlfn.GAMMA(wh+1)</f>
        <v>23116.3557765931</v>
      </c>
      <c r="AA65" s="10">
        <f>kh*((Tabella211[[#This Row],[Day]]/t0h)^wh)*EXP(-(Tabella211[[#This Row],[Day]]/t0h))</f>
        <v>246.88889276151531</v>
      </c>
      <c r="AB65" s="65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k*t0*_xlfn.GAMMA.DIST(Tabella211[[#This Row],[Day]]/t0,w+1,1,1)*_xlfn.GAMMA(w+1)</f>
        <v>178192.91265884382</v>
      </c>
      <c r="H66" s="10">
        <f>k*((Tabella211[[#This Row],[Day]]/t0)^w)*EXP(-(Tabella211[[#This Row],[Day]]/t0))</f>
        <v>1660.8265371330574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-1359.5354923836794</v>
      </c>
      <c r="P66" s="48"/>
      <c r="Q66" s="60">
        <f>Tabella211[[#This Row],[Cum_recov]]*NOT(ISBLANK(Tabella211[[#This Row],[Cum_recov]]))</f>
        <v>0</v>
      </c>
      <c r="R66" s="50">
        <f>kr*t0r*_xlfn.GAMMA.DIST(Tabella211[[#This Row],[Day]]/t0r,wr+1,1,1)*_xlfn.GAMMA(wr+1)</f>
        <v>57983.835538105661</v>
      </c>
      <c r="S66" s="10">
        <f>kr*((Tabella211[[#This Row],[Day]]/t0r)^wr)*EXP(-(Tabella211[[#This Row],[Day]]/t0r))</f>
        <v>2793.3260104304613</v>
      </c>
      <c r="T66" s="60">
        <f>Tabella211[[#This Row],[Cum_R_fit]]*NOT(ISBLANK(Tabella211[[#This Row],[Cum_recov]]))</f>
        <v>0</v>
      </c>
      <c r="X66" s="26"/>
      <c r="Y66" s="65">
        <f>Tabella211[[#This Row],[Cum_deaths]]*NOT(ISBLANK(Tabella211[[#This Row],[Cum_deaths]]))</f>
        <v>0</v>
      </c>
      <c r="Z66" s="50">
        <f>kh*t0h*_xlfn.GAMMA.DIST(Tabella211[[#This Row],[Day]]/t0h,wh+1,1,1)*_xlfn.GAMMA(wh+1)</f>
        <v>23353.219305947332</v>
      </c>
      <c r="AA66" s="10">
        <f>kh*((Tabella211[[#This Row],[Day]]/t0h)^wh)*EXP(-(Tabella211[[#This Row],[Day]]/t0h))</f>
        <v>227.03601908627545</v>
      </c>
      <c r="AB66" s="65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k*t0*_xlfn.GAMMA.DIST(Tabella211[[#This Row],[Day]]/t0,w+1,1,1)*_xlfn.GAMMA(w+1)</f>
        <v>179797.14607577593</v>
      </c>
      <c r="H67" s="10">
        <f>k*((Tabella211[[#This Row],[Day]]/t0)^w)*EXP(-(Tabella211[[#This Row],[Day]]/t0))</f>
        <v>1548.6100878939328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-1539.2534725354694</v>
      </c>
      <c r="P67" s="48"/>
      <c r="Q67" s="60">
        <f>Tabella211[[#This Row],[Cum_recov]]*NOT(ISBLANK(Tabella211[[#This Row],[Cum_recov]]))</f>
        <v>0</v>
      </c>
      <c r="R67" s="50">
        <f>kr*t0r*_xlfn.GAMMA.DIST(Tabella211[[#This Row],[Day]]/t0r,wr+1,1,1)*_xlfn.GAMMA(wr+1)</f>
        <v>60820.155862651249</v>
      </c>
      <c r="S67" s="10">
        <f>kr*((Tabella211[[#This Row],[Day]]/t0r)^wr)*EXP(-(Tabella211[[#This Row],[Day]]/t0r))</f>
        <v>2879.4968727071828</v>
      </c>
      <c r="T67" s="60">
        <f>Tabella211[[#This Row],[Cum_R_fit]]*NOT(ISBLANK(Tabella211[[#This Row],[Cum_recov]]))</f>
        <v>0</v>
      </c>
      <c r="X67" s="26"/>
      <c r="Y67" s="65">
        <f>Tabella211[[#This Row],[Cum_deaths]]*NOT(ISBLANK(Tabella211[[#This Row],[Cum_deaths]]))</f>
        <v>0</v>
      </c>
      <c r="Z67" s="50">
        <f>kh*t0h*_xlfn.GAMMA.DIST(Tabella211[[#This Row],[Day]]/t0h,wh+1,1,1)*_xlfn.GAMMA(wh+1)</f>
        <v>23570.822451552318</v>
      </c>
      <c r="AA67" s="10">
        <f>kh*((Tabella211[[#This Row],[Day]]/t0h)^wh)*EXP(-(Tabella211[[#This Row],[Day]]/t0h))</f>
        <v>208.36668772221935</v>
      </c>
      <c r="AB67" s="65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k*t0*_xlfn.GAMMA.DIST(Tabella211[[#This Row],[Day]]/t0,w+1,1,1)*_xlfn.GAMMA(w+1)</f>
        <v>181292.06174841727</v>
      </c>
      <c r="H68" s="10">
        <f>k*((Tabella211[[#This Row],[Day]]/t0)^w)*EXP(-(Tabella211[[#This Row],[Day]]/t0))</f>
        <v>1442.1792542242154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-1715.445331035188</v>
      </c>
      <c r="P68" s="48"/>
      <c r="Q68" s="60">
        <f>Tabella211[[#This Row],[Cum_recov]]*NOT(ISBLANK(Tabella211[[#This Row],[Cum_recov]]))</f>
        <v>0</v>
      </c>
      <c r="R68" s="50">
        <f>kr*t0r*_xlfn.GAMMA.DIST(Tabella211[[#This Row],[Day]]/t0r,wr+1,1,1)*_xlfn.GAMMA(wr+1)</f>
        <v>63743.192539789787</v>
      </c>
      <c r="S68" s="10">
        <f>kr*((Tabella211[[#This Row],[Day]]/t0r)^wr)*EXP(-(Tabella211[[#This Row],[Day]]/t0r))</f>
        <v>2966.7575068387109</v>
      </c>
      <c r="T68" s="60">
        <f>Tabella211[[#This Row],[Cum_R_fit]]*NOT(ISBLANK(Tabella211[[#This Row],[Cum_recov]]))</f>
        <v>0</v>
      </c>
      <c r="X68" s="26"/>
      <c r="Y68" s="65">
        <f>Tabella211[[#This Row],[Cum_deaths]]*NOT(ISBLANK(Tabella211[[#This Row],[Cum_deaths]]))</f>
        <v>0</v>
      </c>
      <c r="Z68" s="50">
        <f>kh*t0h*_xlfn.GAMMA.DIST(Tabella211[[#This Row],[Day]]/t0h,wh+1,1,1)*_xlfn.GAMMA(wh+1)</f>
        <v>23770.342691935672</v>
      </c>
      <c r="AA68" s="10">
        <f>kh*((Tabella211[[#This Row],[Day]]/t0h)^wh)*EXP(-(Tabella211[[#This Row],[Day]]/t0h))</f>
        <v>190.86707842069254</v>
      </c>
      <c r="AB68" s="65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k*t0*_xlfn.GAMMA.DIST(Tabella211[[#This Row],[Day]]/t0,w+1,1,1)*_xlfn.GAMMA(w+1)</f>
        <v>182683.40454264599</v>
      </c>
      <c r="H69" s="10">
        <f>k*((Tabella211[[#This Row],[Day]]/t0)^w)*EXP(-(Tabella211[[#This Row],[Day]]/t0))</f>
        <v>1341.4473418298132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-1888.1674315781756</v>
      </c>
      <c r="P69" s="48"/>
      <c r="Q69" s="60">
        <f>Tabella211[[#This Row],[Cum_recov]]*NOT(ISBLANK(Tabella211[[#This Row],[Cum_recov]]))</f>
        <v>0</v>
      </c>
      <c r="R69" s="50">
        <f>kr*t0r*_xlfn.GAMMA.DIST(Tabella211[[#This Row],[Day]]/t0r,wr+1,1,1)*_xlfn.GAMMA(wr+1)</f>
        <v>66754.031730126648</v>
      </c>
      <c r="S69" s="10">
        <f>kr*((Tabella211[[#This Row],[Day]]/t0r)^wr)*EXP(-(Tabella211[[#This Row],[Day]]/t0r))</f>
        <v>3055.1007053147691</v>
      </c>
      <c r="T69" s="60">
        <f>Tabella211[[#This Row],[Cum_R_fit]]*NOT(ISBLANK(Tabella211[[#This Row],[Cum_recov]]))</f>
        <v>0</v>
      </c>
      <c r="X69" s="26"/>
      <c r="Y69" s="65">
        <f>Tabella211[[#This Row],[Cum_deaths]]*NOT(ISBLANK(Tabella211[[#This Row],[Cum_deaths]]))</f>
        <v>0</v>
      </c>
      <c r="Z69" s="50">
        <f>kh*t0h*_xlfn.GAMMA.DIST(Tabella211[[#This Row],[Day]]/t0h,wh+1,1,1)*_xlfn.GAMMA(wh+1)</f>
        <v>23952.938893217681</v>
      </c>
      <c r="AA69" s="10">
        <f>kh*((Tabella211[[#This Row],[Day]]/t0h)^wh)*EXP(-(Tabella211[[#This Row],[Day]]/t0h))</f>
        <v>174.51406809321972</v>
      </c>
      <c r="AB69" s="65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k*t0*_xlfn.GAMMA.DIST(Tabella211[[#This Row],[Day]]/t0,w+1,1,1)*_xlfn.GAMMA(w+1)</f>
        <v>183976.81788315435</v>
      </c>
      <c r="H70" s="10">
        <f>k*((Tabella211[[#This Row],[Day]]/t0)^w)*EXP(-(Tabella211[[#This Row],[Day]]/t0))</f>
        <v>1246.2989863885998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-2057.4972148956731</v>
      </c>
      <c r="P70" s="48"/>
      <c r="Q70" s="60">
        <f>Tabella211[[#This Row],[Cum_recov]]*NOT(ISBLANK(Tabella211[[#This Row],[Cum_recov]]))</f>
        <v>0</v>
      </c>
      <c r="R70" s="50">
        <f>kr*t0r*_xlfn.GAMMA.DIST(Tabella211[[#This Row],[Day]]/t0r,wr+1,1,1)*_xlfn.GAMMA(wr+1)</f>
        <v>69853.752431256551</v>
      </c>
      <c r="S70" s="10">
        <f>kr*((Tabella211[[#This Row],[Day]]/t0r)^wr)*EXP(-(Tabella211[[#This Row],[Day]]/t0r))</f>
        <v>3144.5193491629175</v>
      </c>
      <c r="T70" s="60">
        <f>Tabella211[[#This Row],[Cum_R_fit]]*NOT(ISBLANK(Tabella211[[#This Row],[Cum_recov]]))</f>
        <v>0</v>
      </c>
      <c r="X70" s="26"/>
      <c r="Y70" s="65">
        <f>Tabella211[[#This Row],[Cum_deaths]]*NOT(ISBLANK(Tabella211[[#This Row],[Cum_deaths]]))</f>
        <v>0</v>
      </c>
      <c r="Z70" s="50">
        <f>kh*t0h*_xlfn.GAMMA.DIST(Tabella211[[#This Row],[Day]]/t0h,wh+1,1,1)*_xlfn.GAMMA(wh+1)</f>
        <v>24119.742828263308</v>
      </c>
      <c r="AA70" s="10">
        <f>kh*((Tabella211[[#This Row],[Day]]/t0h)^wh)*EXP(-(Tabella211[[#This Row],[Day]]/t0h))</f>
        <v>159.27685212135557</v>
      </c>
      <c r="AB70" s="65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k*t0*_xlfn.GAMMA.DIST(Tabella211[[#This Row],[Day]]/t0,w+1,1,1)*_xlfn.GAMMA(w+1)</f>
        <v>185177.81748441342</v>
      </c>
      <c r="H71" s="10">
        <f>k*((Tabella211[[#This Row],[Day]]/t0)^w)*EXP(-(Tabella211[[#This Row],[Day]]/t0))</f>
        <v>1156.5948854146247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-2223.5299467557547</v>
      </c>
      <c r="P71" s="48"/>
      <c r="Q71" s="60">
        <f>Tabella211[[#This Row],[Cum_recov]]*NOT(ISBLANK(Tabella211[[#This Row],[Cum_recov]]))</f>
        <v>0</v>
      </c>
      <c r="R71" s="50">
        <f>kr*t0r*_xlfn.GAMMA.DIST(Tabella211[[#This Row],[Day]]/t0r,wr+1,1,1)*_xlfn.GAMMA(wr+1)</f>
        <v>73043.426564938127</v>
      </c>
      <c r="S71" s="10">
        <f>kr*((Tabella211[[#This Row],[Day]]/t0r)^wr)*EXP(-(Tabella211[[#This Row],[Day]]/t0r))</f>
        <v>3235.0064052431439</v>
      </c>
      <c r="T71" s="60">
        <f>Tabella211[[#This Row],[Cum_R_fit]]*NOT(ISBLANK(Tabella211[[#This Row],[Cum_recov]]))</f>
        <v>0</v>
      </c>
      <c r="X71" s="26"/>
      <c r="Y71" s="65">
        <f>Tabella211[[#This Row],[Cum_deaths]]*NOT(ISBLANK(Tabella211[[#This Row],[Cum_deaths]]))</f>
        <v>0</v>
      </c>
      <c r="Z71" s="50">
        <f>kh*t0h*_xlfn.GAMMA.DIST(Tabella211[[#This Row],[Day]]/t0h,wh+1,1,1)*_xlfn.GAMMA(wh+1)</f>
        <v>24271.852248176892</v>
      </c>
      <c r="AA71" s="10">
        <f>kh*((Tabella211[[#This Row],[Day]]/t0h)^wh)*EXP(-(Tabella211[[#This Row],[Day]]/t0h))</f>
        <v>145.11842692723565</v>
      </c>
      <c r="AB71" s="65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k*t0*_xlfn.GAMMA.DIST(Tabella211[[#This Row],[Day]]/t0,w+1,1,1)*_xlfn.GAMMA(w+1)</f>
        <v>186291.76960419156</v>
      </c>
      <c r="H72" s="10">
        <f>k*((Tabella211[[#This Row],[Day]]/t0)^w)*EXP(-(Tabella211[[#This Row],[Day]]/t0))</f>
        <v>1072.176112738754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-2386.3757418796204</v>
      </c>
      <c r="P72" s="48"/>
      <c r="Q72" s="60">
        <f>Tabella211[[#This Row],[Cum_recov]]*NOT(ISBLANK(Tabella211[[#This Row],[Cum_recov]]))</f>
        <v>0</v>
      </c>
      <c r="R72" s="50">
        <f>kr*t0r*_xlfn.GAMMA.DIST(Tabella211[[#This Row],[Day]]/t0r,wr+1,1,1)*_xlfn.GAMMA(wr+1)</f>
        <v>76324.119061628779</v>
      </c>
      <c r="S72" s="10">
        <f>kr*((Tabella211[[#This Row],[Day]]/t0r)^wr)*EXP(-(Tabella211[[#This Row],[Day]]/t0r))</f>
        <v>3326.5549236745119</v>
      </c>
      <c r="T72" s="60">
        <f>Tabella211[[#This Row],[Cum_R_fit]]*NOT(ISBLANK(Tabella211[[#This Row],[Cum_recov]]))</f>
        <v>0</v>
      </c>
      <c r="X72" s="26"/>
      <c r="Y72" s="65">
        <f>Tabella211[[#This Row],[Cum_deaths]]*NOT(ISBLANK(Tabella211[[#This Row],[Cum_deaths]]))</f>
        <v>0</v>
      </c>
      <c r="Z72" s="50">
        <f>kh*t0h*_xlfn.GAMMA.DIST(Tabella211[[#This Row],[Day]]/t0h,wh+1,1,1)*_xlfn.GAMMA(wh+1)</f>
        <v>24410.32536565022</v>
      </c>
      <c r="AA72" s="10">
        <f>kh*((Tabella211[[#This Row],[Day]]/t0h)^wh)*EXP(-(Tabella211[[#This Row],[Day]]/t0h))</f>
        <v>131.99693094386228</v>
      </c>
      <c r="AB72" s="65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k*t0*_xlfn.GAMMA.DIST(Tabella211[[#This Row],[Day]]/t0,w+1,1,1)*_xlfn.GAMMA(w+1)</f>
        <v>187323.87340681083</v>
      </c>
      <c r="H73" s="10">
        <f>k*((Tabella211[[#This Row],[Day]]/t0)^w)*EXP(-(Tabella211[[#This Row],[Day]]/t0))</f>
        <v>992.86802555676297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-2546.1568544102197</v>
      </c>
      <c r="P73" s="48"/>
      <c r="Q73" s="60">
        <f>Tabella211[[#This Row],[Cum_recov]]*NOT(ISBLANK(Tabella211[[#This Row],[Cum_recov]]))</f>
        <v>0</v>
      </c>
      <c r="R73" s="50">
        <f>kr*t0r*_xlfn.GAMMA.DIST(Tabella211[[#This Row],[Day]]/t0r,wr+1,1,1)*_xlfn.GAMMA(wr+1)</f>
        <v>79696.887942508547</v>
      </c>
      <c r="S73" s="10">
        <f>kr*((Tabella211[[#This Row],[Day]]/t0r)^wr)*EXP(-(Tabella211[[#This Row],[Day]]/t0r))</f>
        <v>3419.1580353854088</v>
      </c>
      <c r="T73" s="60">
        <f>Tabella211[[#This Row],[Cum_R_fit]]*NOT(ISBLANK(Tabella211[[#This Row],[Cum_recov]]))</f>
        <v>0</v>
      </c>
      <c r="X73" s="26"/>
      <c r="Y73" s="65">
        <f>Tabella211[[#This Row],[Cum_deaths]]*NOT(ISBLANK(Tabella211[[#This Row],[Cum_deaths]]))</f>
        <v>0</v>
      </c>
      <c r="Z73" s="50">
        <f>kh*t0h*_xlfn.GAMMA.DIST(Tabella211[[#This Row],[Day]]/t0h,wh+1,1,1)*_xlfn.GAMMA(wh+1)</f>
        <v>24536.176608604354</v>
      </c>
      <c r="AA73" s="10">
        <f>kh*((Tabella211[[#This Row],[Day]]/t0h)^wh)*EXP(-(Tabella211[[#This Row],[Day]]/t0h))</f>
        <v>119.86684458157391</v>
      </c>
      <c r="AB73" s="65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k*t0*_xlfn.GAMMA.DIST(Tabella211[[#This Row],[Day]]/t0,w+1,1,1)*_xlfn.GAMMA(w+1)</f>
        <v>188279.14703553676</v>
      </c>
      <c r="H74" s="10">
        <f>k*((Tabella211[[#This Row],[Day]]/t0)^w)*EXP(-(Tabella211[[#This Row],[Day]]/t0))</f>
        <v>918.48377833621487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-2703.0052239879624</v>
      </c>
      <c r="P74" s="48"/>
      <c r="Q74" s="60">
        <f>Tabella211[[#This Row],[Cum_recov]]*NOT(ISBLANK(Tabella211[[#This Row],[Cum_recov]]))</f>
        <v>0</v>
      </c>
      <c r="R74" s="50">
        <f>kr*t0r*_xlfn.GAMMA.DIST(Tabella211[[#This Row],[Day]]/t0r,wr+1,1,1)*_xlfn.GAMMA(wr+1)</f>
        <v>83162.784399113647</v>
      </c>
      <c r="S74" s="10">
        <f>kr*((Tabella211[[#This Row],[Day]]/t0r)^wr)*EXP(-(Tabella211[[#This Row],[Day]]/t0r))</f>
        <v>3512.8089497795186</v>
      </c>
      <c r="T74" s="60">
        <f>Tabella211[[#This Row],[Cum_R_fit]]*NOT(ISBLANK(Tabella211[[#This Row],[Cum_recov]]))</f>
        <v>0</v>
      </c>
      <c r="X74" s="26"/>
      <c r="Y74" s="65">
        <f>Tabella211[[#This Row],[Cum_deaths]]*NOT(ISBLANK(Tabella211[[#This Row],[Cum_deaths]]))</f>
        <v>0</v>
      </c>
      <c r="Z74" s="50">
        <f>kh*t0h*_xlfn.GAMMA.DIST(Tabella211[[#This Row],[Day]]/t0h,wh+1,1,1)*_xlfn.GAMMA(wh+1)</f>
        <v>24650.373504595598</v>
      </c>
      <c r="AA74" s="10">
        <f>kh*((Tabella211[[#This Row],[Day]]/t0h)^wh)*EXP(-(Tabella211[[#This Row],[Day]]/t0h))</f>
        <v>108.68005254465882</v>
      </c>
      <c r="AB74" s="65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k*t0*_xlfn.GAMMA.DIST(Tabella211[[#This Row],[Day]]/t0,w+1,1,1)*_xlfn.GAMMA(w+1)</f>
        <v>189162.4170095241</v>
      </c>
      <c r="H75" s="10">
        <f>k*((Tabella211[[#This Row],[Day]]/t0)^w)*EXP(-(Tabella211[[#This Row],[Day]]/t0))</f>
        <v>848.82746117904333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-2857.0602653176679</v>
      </c>
      <c r="P75" s="48"/>
      <c r="Q75" s="60">
        <f>Tabella211[[#This Row],[Cum_recov]]*NOT(ISBLANK(Tabella211[[#This Row],[Cum_recov]]))</f>
        <v>0</v>
      </c>
      <c r="R75" s="50">
        <f>kr*t0r*_xlfn.GAMMA.DIST(Tabella211[[#This Row],[Day]]/t0r,wr+1,1,1)*_xlfn.GAMMA(wr+1)</f>
        <v>86722.852870689734</v>
      </c>
      <c r="S75" s="10">
        <f>kr*((Tabella211[[#This Row],[Day]]/t0r)^wr)*EXP(-(Tabella211[[#This Row],[Day]]/t0r))</f>
        <v>3607.5009525102937</v>
      </c>
      <c r="T75" s="60">
        <f>Tabella211[[#This Row],[Cum_R_fit]]*NOT(ISBLANK(Tabella211[[#This Row],[Cum_recov]]))</f>
        <v>0</v>
      </c>
      <c r="X75" s="26"/>
      <c r="Y75" s="65">
        <f>Tabella211[[#This Row],[Cum_deaths]]*NOT(ISBLANK(Tabella211[[#This Row],[Cum_deaths]]))</f>
        <v>0</v>
      </c>
      <c r="Z75" s="50">
        <f>kh*t0h*_xlfn.GAMMA.DIST(Tabella211[[#This Row],[Day]]/t0h,wh+1,1,1)*_xlfn.GAMMA(wh+1)</f>
        <v>24753.834560926036</v>
      </c>
      <c r="AA75" s="10">
        <f>kh*((Tabella211[[#This Row],[Day]]/t0h)^wh)*EXP(-(Tabella211[[#This Row],[Day]]/t0h))</f>
        <v>98.386773986417779</v>
      </c>
      <c r="AB75" s="65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k*t0*_xlfn.GAMMA.DIST(Tabella211[[#This Row],[Day]]/t0,w+1,1,1)*_xlfn.GAMMA(w+1)</f>
        <v>189978.31057961009</v>
      </c>
      <c r="H76" s="10">
        <f>k*((Tabella211[[#This Row],[Day]]/t0)^w)*EXP(-(Tabella211[[#This Row],[Day]]/t0))</f>
        <v>783.69688264996466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-3008.4668882866058</v>
      </c>
      <c r="P76" s="48"/>
      <c r="Q76" s="60">
        <f>Tabella211[[#This Row],[Cum_recov]]*NOT(ISBLANK(Tabella211[[#This Row],[Cum_recov]]))</f>
        <v>0</v>
      </c>
      <c r="R76" s="50">
        <f>kr*t0r*_xlfn.GAMMA.DIST(Tabella211[[#This Row],[Day]]/t0r,wr+1,1,1)*_xlfn.GAMMA(wr+1)</f>
        <v>90378.131119371974</v>
      </c>
      <c r="S76" s="10">
        <f>kr*((Tabella211[[#This Row],[Day]]/t0r)^wr)*EXP(-(Tabella211[[#This Row],[Day]]/t0r))</f>
        <v>3703.2274033572617</v>
      </c>
      <c r="T76" s="60">
        <f>Tabella211[[#This Row],[Cum_R_fit]]*NOT(ISBLANK(Tabella211[[#This Row],[Cum_recov]]))</f>
        <v>0</v>
      </c>
      <c r="X76" s="26"/>
      <c r="Y76" s="65">
        <f>Tabella211[[#This Row],[Cum_deaths]]*NOT(ISBLANK(Tabella211[[#This Row],[Cum_deaths]]))</f>
        <v>0</v>
      </c>
      <c r="Z76" s="50">
        <f>kh*t0h*_xlfn.GAMMA.DIST(Tabella211[[#This Row],[Day]]/t0h,wh+1,1,1)*_xlfn.GAMMA(wh+1)</f>
        <v>24847.428011723707</v>
      </c>
      <c r="AA76" s="10">
        <f>kh*((Tabella211[[#This Row],[Day]]/t0h)^wh)*EXP(-(Tabella211[[#This Row],[Day]]/t0h))</f>
        <v>88.936367579308637</v>
      </c>
      <c r="AB76" s="65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k*t0*_xlfn.GAMMA.DIST(Tabella211[[#This Row],[Day]]/t0,w+1,1,1)*_xlfn.GAMMA(w+1)</f>
        <v>190731.25069814461</v>
      </c>
      <c r="H77" s="10">
        <f>k*((Tabella211[[#This Row],[Day]]/t0)^w)*EXP(-(Tabella211[[#This Row],[Day]]/t0))</f>
        <v>722.88601873137986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-3157.3737351608675</v>
      </c>
      <c r="P77" s="48"/>
      <c r="Q77" s="60">
        <f>Tabella211[[#This Row],[Cum_recov]]*NOT(ISBLANK(Tabella211[[#This Row],[Cum_recov]]))</f>
        <v>0</v>
      </c>
      <c r="R77" s="50">
        <f>kr*t0r*_xlfn.GAMMA.DIST(Tabella211[[#This Row],[Day]]/t0r,wr+1,1,1)*_xlfn.GAMMA(wr+1)</f>
        <v>94129.650303289323</v>
      </c>
      <c r="S77" s="10">
        <f>kr*((Tabella211[[#This Row],[Day]]/t0r)^wr)*EXP(-(Tabella211[[#This Row],[Day]]/t0r))</f>
        <v>3799.981734197976</v>
      </c>
      <c r="T77" s="60">
        <f>Tabella211[[#This Row],[Cum_R_fit]]*NOT(ISBLANK(Tabella211[[#This Row],[Cum_recov]]))</f>
        <v>0</v>
      </c>
      <c r="X77" s="26"/>
      <c r="Y77" s="65">
        <f>Tabella211[[#This Row],[Cum_deaths]]*NOT(ISBLANK(Tabella211[[#This Row],[Cum_deaths]]))</f>
        <v>0</v>
      </c>
      <c r="Z77" s="50">
        <f>kh*t0h*_xlfn.GAMMA.DIST(Tabella211[[#This Row],[Day]]/t0h,wh+1,1,1)*_xlfn.GAMMA(wh+1)</f>
        <v>24931.971310929242</v>
      </c>
      <c r="AA77" s="10">
        <f>kh*((Tabella211[[#This Row],[Day]]/t0h)^wh)*EXP(-(Tabella211[[#This Row],[Day]]/t0h))</f>
        <v>80.278019694271237</v>
      </c>
      <c r="AB77" s="65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k*t0*_xlfn.GAMMA.DIST(Tabella211[[#This Row],[Day]]/t0,w+1,1,1)*_xlfn.GAMMA(w+1)</f>
        <v>191425.45328025502</v>
      </c>
      <c r="H78" s="10">
        <f>k*((Tabella211[[#This Row],[Day]]/t0)^w)*EXP(-(Tabella211[[#This Row],[Day]]/t0))</f>
        <v>666.18715057173608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-3303.9316210993925</v>
      </c>
      <c r="P78" s="48"/>
      <c r="Q78" s="60">
        <f>Tabella211[[#This Row],[Cum_recov]]*NOT(ISBLANK(Tabella211[[#This Row],[Cum_recov]]))</f>
        <v>0</v>
      </c>
      <c r="R78" s="50">
        <f>kr*t0r*_xlfn.GAMMA.DIST(Tabella211[[#This Row],[Day]]/t0r,wr+1,1,1)*_xlfn.GAMMA(wr+1)</f>
        <v>97978.435047686144</v>
      </c>
      <c r="S78" s="10">
        <f>kr*((Tabella211[[#This Row],[Day]]/t0r)^wr)*EXP(-(Tabella211[[#This Row],[Day]]/t0r))</f>
        <v>3897.7574470699005</v>
      </c>
      <c r="T78" s="60">
        <f>Tabella211[[#This Row],[Cum_R_fit]]*NOT(ISBLANK(Tabella211[[#This Row],[Cum_recov]]))</f>
        <v>0</v>
      </c>
      <c r="X78" s="26"/>
      <c r="Y78" s="65">
        <f>Tabella211[[#This Row],[Cum_deaths]]*NOT(ISBLANK(Tabella211[[#This Row],[Cum_deaths]]))</f>
        <v>0</v>
      </c>
      <c r="Z78" s="50">
        <f>kh*t0h*_xlfn.GAMMA.DIST(Tabella211[[#This Row],[Day]]/t0h,wh+1,1,1)*_xlfn.GAMMA(wh+1)</f>
        <v>25008.2312587091</v>
      </c>
      <c r="AA78" s="10">
        <f>kh*((Tabella211[[#This Row],[Day]]/t0h)^wh)*EXP(-(Tabella211[[#This Row],[Day]]/t0h))</f>
        <v>72.361324601227906</v>
      </c>
      <c r="AB78" s="65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3.7505911624637399E-5</v>
      </c>
      <c r="F99" s="10">
        <f>E99+CI</f>
        <v>2571.0436640792841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2.3993010646947285E-6</v>
      </c>
      <c r="J99" s="10">
        <f t="shared" ref="J99:J138" si="4">I99+CIh</f>
        <v>227.94311486750789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50.541550824028185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1.3397415663309572E-3</v>
      </c>
      <c r="F100" s="10">
        <f>E100+CI</f>
        <v>2571.0449663149388</v>
      </c>
      <c r="G100" s="10">
        <f>MAX(E100-CI,0)</f>
        <v>0</v>
      </c>
      <c r="H100" s="25">
        <v>1</v>
      </c>
      <c r="I100" s="8">
        <f t="shared" si="3"/>
        <v>4.0643012925073077E-4</v>
      </c>
      <c r="J100" s="10">
        <f t="shared" si="4"/>
        <v>227.94351889833609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1.0323706398863647E-2</v>
      </c>
      <c r="F101" s="10">
        <f>E101+CI</f>
        <v>2571.0539502797715</v>
      </c>
      <c r="G101" s="10">
        <f>MAX(E101-CI,0)</f>
        <v>0</v>
      </c>
      <c r="H101" s="25">
        <v>2</v>
      </c>
      <c r="I101" s="8">
        <f t="shared" si="3"/>
        <v>7.6084090199682536E-3</v>
      </c>
      <c r="J101" s="10">
        <f t="shared" si="4"/>
        <v>227.95072087722681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4.2465623910713776E-2</v>
      </c>
      <c r="F102" s="10">
        <f>E102+CI</f>
        <v>2571.0860921972831</v>
      </c>
      <c r="G102" s="10">
        <f>MAX(E102-CI,0)</f>
        <v>0</v>
      </c>
      <c r="H102" s="25">
        <v>3</v>
      </c>
      <c r="I102" s="8">
        <f t="shared" si="3"/>
        <v>5.7819306840428242E-2</v>
      </c>
      <c r="J102" s="10">
        <f t="shared" si="4"/>
        <v>228.00093177504726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0.1238643226579825</v>
      </c>
      <c r="F103" s="10">
        <f t="shared" ref="F103:F143" si="6">E103+CI</f>
        <v>2571.1674908960304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0.2681711721042645</v>
      </c>
      <c r="J103" s="10">
        <f t="shared" si="4"/>
        <v>228.21128364031111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0.29073280426428133</v>
      </c>
      <c r="F104" s="10">
        <f t="shared" si="6"/>
        <v>2571.3343593776367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0.91032220932429164</v>
      </c>
      <c r="J104" s="10">
        <f t="shared" si="4"/>
        <v>228.85343467753111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0.58746973604670105</v>
      </c>
      <c r="F105" s="10">
        <f t="shared" si="6"/>
        <v>2571.6310963094193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2.4917472621104948</v>
      </c>
      <c r="J105" s="10">
        <f t="shared" si="4"/>
        <v>230.43485973031733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1.0639339048479193</v>
      </c>
      <c r="F106" s="10">
        <f t="shared" si="6"/>
        <v>2572.1075604782204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5.8272082245608825</v>
      </c>
      <c r="J106" s="10">
        <f t="shared" si="4"/>
        <v>233.77032069276771</v>
      </c>
      <c r="K106" s="10">
        <f t="shared" si="5"/>
        <v>0</v>
      </c>
      <c r="L106" s="1"/>
      <c r="M106" s="5" t="s">
        <v>6</v>
      </c>
      <c r="N106" s="7">
        <f>TINV(0.05,df)</f>
        <v>2.0117405137297668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1.7724219964201855</v>
      </c>
      <c r="F107" s="10">
        <f t="shared" si="6"/>
        <v>2572.8160485697927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12.08568847298131</v>
      </c>
      <c r="J107" s="10">
        <f t="shared" si="4"/>
        <v>240.02880094118814</v>
      </c>
      <c r="K107" s="10">
        <f t="shared" si="5"/>
        <v>0</v>
      </c>
      <c r="L107" s="1"/>
      <c r="M107" s="5" t="s">
        <v>7</v>
      </c>
      <c r="N107" s="1">
        <f>Critical_t*SE_of_y</f>
        <v>2571.0436265733724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2.764713866348278</v>
      </c>
      <c r="F108" s="10">
        <f t="shared" si="6"/>
        <v>2573.8083404397207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22.803663605568321</v>
      </c>
      <c r="J108" s="10">
        <f t="shared" si="4"/>
        <v>250.74677607377515</v>
      </c>
      <c r="K108" s="10">
        <f t="shared" si="5"/>
        <v>0</v>
      </c>
      <c r="L108" s="1"/>
      <c r="M108" s="32" t="s">
        <v>67</v>
      </c>
      <c r="N108" s="33">
        <f>t0*_xlfn.GAMMA(w+1)</f>
        <v>278.40706475380841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4.0894270261837802</v>
      </c>
      <c r="F109" s="10">
        <f t="shared" si="6"/>
        <v>2575.1330535995562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39.861788258147982</v>
      </c>
      <c r="J109" s="10">
        <f t="shared" si="4"/>
        <v>267.80490072635484</v>
      </c>
      <c r="K109" s="10">
        <f t="shared" si="5"/>
        <v>0</v>
      </c>
      <c r="L109" s="1"/>
      <c r="M109" s="23" t="s">
        <v>53</v>
      </c>
      <c r="N109" s="3"/>
      <c r="AB109" s="45">
        <f>MAX($N$24)</f>
        <v>2193.6453166027754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5.7898219486469129</v>
      </c>
      <c r="F110" s="10">
        <f t="shared" si="6"/>
        <v>2576.8334485220194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65.427511877764417</v>
      </c>
      <c r="J110" s="10">
        <f t="shared" si="4"/>
        <v>293.37062434597124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7.9021229254718408</v>
      </c>
      <c r="F111" s="10">
        <f t="shared" si="6"/>
        <v>2578.9457494988442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101.8701027693776</v>
      </c>
      <c r="J111" s="10">
        <f t="shared" si="4"/>
        <v>329.81321523758442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10.454363365387058</v>
      </c>
      <c r="F112" s="10">
        <f t="shared" si="6"/>
        <v>2581.4979899387595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151.65687842635771</v>
      </c>
      <c r="J112" s="10">
        <f t="shared" si="4"/>
        <v>379.59999089456454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13.465726245070858</v>
      </c>
      <c r="F113" s="10">
        <f t="shared" si="6"/>
        <v>2584.5093528184434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217.24025028166943</v>
      </c>
      <c r="J113" s="10">
        <f t="shared" si="4"/>
        <v>445.18336274987627</v>
      </c>
      <c r="K113" s="10">
        <f t="shared" si="5"/>
        <v>0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16.946326393193942</v>
      </c>
      <c r="F114" s="10">
        <f t="shared" si="6"/>
        <v>2587.9899529665663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300.94479764504428</v>
      </c>
      <c r="J114" s="10">
        <f t="shared" si="4"/>
        <v>528.88791011325111</v>
      </c>
      <c r="K114" s="10">
        <f t="shared" si="5"/>
        <v>73.001685176837441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20.897368127577362</v>
      </c>
      <c r="F115" s="10">
        <f t="shared" si="6"/>
        <v>2591.9409947009499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404.86234994809388</v>
      </c>
      <c r="J115" s="10">
        <f t="shared" si="4"/>
        <v>632.80546241630077</v>
      </c>
      <c r="K115" s="10">
        <f t="shared" si="5"/>
        <v>176.91923747988704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25.311606647812059</v>
      </c>
      <c r="F116" s="10">
        <f t="shared" si="6"/>
        <v>2596.3552332211843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530.76132616492305</v>
      </c>
      <c r="J116" s="10">
        <f t="shared" si="4"/>
        <v>758.70443863312994</v>
      </c>
      <c r="K116" s="10">
        <f t="shared" si="5"/>
        <v>302.81821369671621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30.174042166198937</v>
      </c>
      <c r="F117" s="10">
        <f t="shared" si="6"/>
        <v>2601.2176687395713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680.01465111688481</v>
      </c>
      <c r="J117" s="10">
        <f t="shared" si="4"/>
        <v>907.9577635850917</v>
      </c>
      <c r="K117" s="10">
        <f t="shared" si="5"/>
        <v>452.07153864867797</v>
      </c>
      <c r="L117" s="1"/>
      <c r="M117" s="2" t="s">
        <v>6</v>
      </c>
      <c r="N117" s="7">
        <f>TINV(0.05,dfh)</f>
        <v>2.0117405137297668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35.46278016152003</v>
      </c>
      <c r="F118" s="10">
        <f t="shared" si="6"/>
        <v>2606.5064067348926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853.54866797470549</v>
      </c>
      <c r="J118" s="10">
        <f t="shared" si="4"/>
        <v>1081.4917804429124</v>
      </c>
      <c r="K118" s="10">
        <f t="shared" si="5"/>
        <v>625.6055555064986</v>
      </c>
      <c r="L118" s="1"/>
      <c r="M118" s="2" t="s">
        <v>7</v>
      </c>
      <c r="N118" s="1">
        <f>Critical_th*SE_of_yh</f>
        <v>227.94311246820683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41.149997903675271</v>
      </c>
      <c r="F119" s="10">
        <f t="shared" si="6"/>
        <v>2612.1936244770477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1051.8137527191277</v>
      </c>
      <c r="J119" s="10">
        <f t="shared" si="4"/>
        <v>1279.7568651873346</v>
      </c>
      <c r="K119" s="10">
        <f t="shared" si="5"/>
        <v>823.87064025092081</v>
      </c>
      <c r="L119" s="1"/>
      <c r="M119" s="34" t="s">
        <v>67</v>
      </c>
      <c r="N119" s="35">
        <f>t0h*_xlfn.GAMMA(wh+1)</f>
        <v>12773.5753527163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47.202965420551315</v>
      </c>
      <c r="F120" s="10">
        <f t="shared" si="6"/>
        <v>2618.2465919939236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1274.7759050544844</v>
      </c>
      <c r="J120" s="10">
        <f t="shared" si="4"/>
        <v>1502.7190175226913</v>
      </c>
      <c r="K120" s="10">
        <f t="shared" si="5"/>
        <v>1046.8327925862775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53.585077555205181</v>
      </c>
      <c r="F121" s="10">
        <f t="shared" si="6"/>
        <v>2624.6287041285777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1521.9274851976286</v>
      </c>
      <c r="J121" s="10">
        <f t="shared" si="4"/>
        <v>1749.8705976658355</v>
      </c>
      <c r="K121" s="10">
        <f t="shared" si="5"/>
        <v>1293.9843727294217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60.256862123527853</v>
      </c>
      <c r="F122" s="10">
        <f t="shared" si="6"/>
        <v>2631.3004886969002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1792.314491814652</v>
      </c>
      <c r="J122" s="10">
        <f t="shared" si="4"/>
        <v>2020.2576042828589</v>
      </c>
      <c r="K122" s="10">
        <f t="shared" si="5"/>
        <v>1564.3713793464451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67.176937049742349</v>
      </c>
      <c r="F123" s="10">
        <f t="shared" si="6"/>
        <v>2638.2205636231147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2084.577310492708</v>
      </c>
      <c r="J123" s="10">
        <f t="shared" si="4"/>
        <v>2312.5204229609149</v>
      </c>
      <c r="K123" s="10">
        <f t="shared" si="5"/>
        <v>1856.6341980245011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74.302896493761651</v>
      </c>
      <c r="F124" s="10">
        <f t="shared" si="6"/>
        <v>2645.3465230671341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2397.0016647420134</v>
      </c>
      <c r="J124" s="10">
        <f t="shared" si="4"/>
        <v>2624.9447772102203</v>
      </c>
      <c r="K124" s="10">
        <f t="shared" si="5"/>
        <v>2169.0585522738065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81.592112263636267</v>
      </c>
      <c r="F125" s="10">
        <f t="shared" si="6"/>
        <v>2652.6357388370088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2727.576524054974</v>
      </c>
      <c r="J125" s="10">
        <f t="shared" si="4"/>
        <v>2955.5196365231809</v>
      </c>
      <c r="K125" s="10">
        <f t="shared" si="5"/>
        <v>2499.6334115867671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89.002442180621301</v>
      </c>
      <c r="F126" s="10">
        <f t="shared" si="6"/>
        <v>2660.0460687539935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3074.0559149571927</v>
      </c>
      <c r="J126" s="10">
        <f t="shared" si="4"/>
        <v>3301.9990274253996</v>
      </c>
      <c r="K126" s="10">
        <f t="shared" si="5"/>
        <v>2846.1128024889858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96.492841542527799</v>
      </c>
      <c r="F127" s="10">
        <f t="shared" si="6"/>
        <v>2667.5364681159003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3434.0218922094346</v>
      </c>
      <c r="J127" s="10">
        <f t="shared" si="4"/>
        <v>3661.9650046776414</v>
      </c>
      <c r="K127" s="10">
        <f t="shared" si="5"/>
        <v>3206.0787797412277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104.02387745966973</v>
      </c>
      <c r="F128" s="10">
        <f t="shared" si="6"/>
        <v>2675.067504033042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3804.9463141826054</v>
      </c>
      <c r="J128" s="10">
        <f t="shared" si="4"/>
        <v>4032.8894266508123</v>
      </c>
      <c r="K128" s="10">
        <f t="shared" si="5"/>
        <v>3577.0032017143985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111.55814868742964</v>
      </c>
      <c r="F129" s="10">
        <f t="shared" si="6"/>
        <v>2682.6017752608022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4184.249491253142</v>
      </c>
      <c r="J129" s="10">
        <f t="shared" si="4"/>
        <v>4412.1926037213489</v>
      </c>
      <c r="K129" s="10">
        <f t="shared" si="5"/>
        <v>3956.3063787849351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119.06061573414677</v>
      </c>
      <c r="F130" s="10">
        <f t="shared" si="6"/>
        <v>2690.1042423075191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4569.3542083318052</v>
      </c>
      <c r="J130" s="10">
        <f t="shared" si="4"/>
        <v>4797.2973208000121</v>
      </c>
      <c r="K130" s="10">
        <f t="shared" si="5"/>
        <v>4341.4110958635983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126.49884757212864</v>
      </c>
      <c r="F131" s="10">
        <f t="shared" si="6"/>
        <v>2697.5424741455013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4957.7340389330657</v>
      </c>
      <c r="J131" s="10">
        <f t="shared" si="4"/>
        <v>5185.6771514012726</v>
      </c>
      <c r="K131" s="10">
        <f t="shared" si="5"/>
        <v>4729.7909264648588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133.84319231259829</v>
      </c>
      <c r="F132" s="10">
        <f t="shared" si="6"/>
        <v>2704.8868188859706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5346.9552517059965</v>
      </c>
      <c r="J132" s="10">
        <f t="shared" si="4"/>
        <v>5574.8983641742034</v>
      </c>
      <c r="K132" s="10">
        <f t="shared" si="5"/>
        <v>5119.0121392377896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141.06687980805364</v>
      </c>
      <c r="F133" s="10">
        <f t="shared" si="6"/>
        <v>2712.1105063814261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5734.7119500880217</v>
      </c>
      <c r="J133" s="10">
        <f t="shared" si="4"/>
        <v>5962.6550625562286</v>
      </c>
      <c r="K133" s="10">
        <f t="shared" si="5"/>
        <v>5506.7688376198148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148.14606439736218</v>
      </c>
      <c r="F134" s="10">
        <f t="shared" si="6"/>
        <v>2719.1896909707348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6118.854375610953</v>
      </c>
      <c r="J134" s="10">
        <f t="shared" si="4"/>
        <v>6346.7974880791598</v>
      </c>
      <c r="K134" s="10">
        <f t="shared" si="5"/>
        <v>5890.9112631427461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155.05981598187071</v>
      </c>
      <c r="F135" s="10">
        <f t="shared" si="6"/>
        <v>2726.103442555243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6497.4105432259748</v>
      </c>
      <c r="J135" s="10">
        <f t="shared" si="4"/>
        <v>6725.3536556941817</v>
      </c>
      <c r="K135" s="10">
        <f t="shared" si="5"/>
        <v>6269.4674307577679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161.79006737846586</v>
      </c>
      <c r="F136" s="10">
        <f t="shared" si="6"/>
        <v>2732.8336939518381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6868.6015636868851</v>
      </c>
      <c r="J136" s="10">
        <f t="shared" si="4"/>
        <v>7096.544676155092</v>
      </c>
      <c r="K136" s="10">
        <f t="shared" si="5"/>
        <v>6640.6584512186782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168.32152549306261</v>
      </c>
      <c r="F137" s="10">
        <f t="shared" si="6"/>
        <v>2739.3651520664353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7230.851146602874</v>
      </c>
      <c r="J137" s="10">
        <f t="shared" si="4"/>
        <v>7458.7942590710809</v>
      </c>
      <c r="K137" s="10">
        <f t="shared" si="5"/>
        <v>7002.9080341346671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174.64155334239675</v>
      </c>
      <c r="F138" s="10">
        <f t="shared" si="6"/>
        <v>2745.6851799157694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7582.7898727827314</v>
      </c>
      <c r="J138" s="10">
        <f t="shared" si="4"/>
        <v>7810.7329852509383</v>
      </c>
      <c r="K138" s="10">
        <f t="shared" si="5"/>
        <v>7354.8467603145245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180.74002936252987</v>
      </c>
      <c r="F139" s="10">
        <f t="shared" si="6"/>
        <v>2751.7836559359021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7923.2548813579269</v>
      </c>
      <c r="J139" s="10">
        <f>I139+CIh</f>
        <v>8151.1979938261338</v>
      </c>
      <c r="K139" s="10">
        <f>MAX(I139-CIh,0)</f>
        <v>7695.31176888972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186.60918981136822</v>
      </c>
      <c r="F140" s="10">
        <f t="shared" si="6"/>
        <v>2757.6528163847406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8251.2856417034109</v>
      </c>
      <c r="J140" s="10">
        <f>I140+CIh</f>
        <v>8479.2287541716178</v>
      </c>
      <c r="K140" s="10">
        <f>MAX(I140-CIh,0)</f>
        <v>8023.342529235204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192.24345942565367</v>
      </c>
      <c r="F141" s="10">
        <f t="shared" si="6"/>
        <v>2763.2870859990262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8566.1164782061278</v>
      </c>
      <c r="J141" s="10">
        <f>I141+CIh</f>
        <v>8794.0595906743347</v>
      </c>
      <c r="K141" s="10">
        <f>MAX(I141-CIh,0)</f>
        <v>8338.1733657379209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197.6392748506328</v>
      </c>
      <c r="F142" s="10">
        <f t="shared" si="6"/>
        <v>2768.6829014240052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8867.1664930498791</v>
      </c>
      <c r="J142" s="10">
        <f>I142+CIh</f>
        <v>9095.109605518086</v>
      </c>
      <c r="K142" s="10">
        <f>MAX(I142-CIh,0)</f>
        <v>8639.2233805816722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202.79490473846113</v>
      </c>
      <c r="F143" s="10">
        <f t="shared" si="6"/>
        <v>2773.8385313118333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9154.0274935407379</v>
      </c>
      <c r="J143" s="10">
        <f>I143+CIh</f>
        <v>9381.9706060089447</v>
      </c>
      <c r="K143" s="10">
        <f>MAX(I143-CIh,0)</f>
        <v>8926.084381072531</v>
      </c>
    </row>
    <row r="144" spans="2:14" x14ac:dyDescent="0.3">
      <c r="B144" s="9">
        <v>43926</v>
      </c>
      <c r="C144" s="4">
        <v>46</v>
      </c>
      <c r="E144" s="8">
        <f t="shared" si="2"/>
        <v>207.71026982075949</v>
      </c>
      <c r="I144" s="8">
        <f t="shared" si="3"/>
        <v>9426.4504806925688</v>
      </c>
    </row>
    <row r="145" spans="2:9" x14ac:dyDescent="0.3">
      <c r="B145" s="9">
        <v>43927</v>
      </c>
      <c r="C145" s="4">
        <v>47</v>
      </c>
      <c r="E145" s="8">
        <f t="shared" si="2"/>
        <v>212.38676570956403</v>
      </c>
      <c r="I145" s="8">
        <f t="shared" si="3"/>
        <v>9684.3311988129135</v>
      </c>
    </row>
    <row r="146" spans="2:9" x14ac:dyDescent="0.3">
      <c r="B146" s="9">
        <v>43928</v>
      </c>
      <c r="C146" s="4">
        <v>48</v>
      </c>
      <c r="E146" s="8">
        <f t="shared" si="2"/>
        <v>216.82709067429772</v>
      </c>
      <c r="I146" s="8">
        <f t="shared" si="3"/>
        <v>9927.695185039327</v>
      </c>
    </row>
    <row r="147" spans="2:9" x14ac:dyDescent="0.3">
      <c r="B147" s="9">
        <v>43929</v>
      </c>
      <c r="C147" s="4">
        <v>49</v>
      </c>
      <c r="E147" s="8">
        <f t="shared" si="2"/>
        <v>221.03508018316063</v>
      </c>
      <c r="I147" s="8">
        <f t="shared" si="3"/>
        <v>10156.682695921121</v>
      </c>
    </row>
    <row r="148" spans="2:9" x14ac:dyDescent="0.3">
      <c r="B148" s="9">
        <v>43930</v>
      </c>
      <c r="C148" s="4">
        <v>50</v>
      </c>
      <c r="E148" s="8">
        <f t="shared" si="2"/>
        <v>225.01554958643237</v>
      </c>
      <c r="I148" s="8">
        <f t="shared" si="3"/>
        <v>10371.533827398531</v>
      </c>
    </row>
    <row r="149" spans="2:9" x14ac:dyDescent="0.3">
      <c r="B149" s="9">
        <v>43931</v>
      </c>
      <c r="C149" s="4">
        <v>51</v>
      </c>
      <c r="E149" s="8">
        <f t="shared" si="2"/>
        <v>228.77414595613976</v>
      </c>
      <c r="I149" s="8">
        <f t="shared" si="3"/>
        <v>10572.574086552911</v>
      </c>
    </row>
    <row r="150" spans="2:9" x14ac:dyDescent="0.3">
      <c r="B150" s="9">
        <v>43932</v>
      </c>
      <c r="C150" s="4">
        <v>52</v>
      </c>
      <c r="E150" s="8">
        <f t="shared" si="2"/>
        <v>232.31720977982536</v>
      </c>
      <c r="I150" s="8">
        <f t="shared" si="3"/>
        <v>10760.200619483905</v>
      </c>
    </row>
    <row r="151" spans="2:9" x14ac:dyDescent="0.3">
      <c r="B151" s="9">
        <v>43933</v>
      </c>
      <c r="C151" s="4">
        <v>53</v>
      </c>
      <c r="E151" s="8">
        <f t="shared" si="2"/>
        <v>235.65164693340233</v>
      </c>
      <c r="I151" s="8">
        <f t="shared" si="3"/>
        <v>10934.869250410586</v>
      </c>
    </row>
    <row r="152" spans="2:9" x14ac:dyDescent="0.3">
      <c r="B152" s="9">
        <v>43934</v>
      </c>
      <c r="C152" s="4">
        <v>54</v>
      </c>
      <c r="E152" s="8">
        <f t="shared" si="2"/>
        <v>238.78481112642888</v>
      </c>
      <c r="I152" s="8">
        <f t="shared" si="3"/>
        <v>11097.082443062885</v>
      </c>
    </row>
    <row r="153" spans="2:9" x14ac:dyDescent="0.3">
      <c r="B153" s="9">
        <v>43935</v>
      </c>
      <c r="C153" s="4">
        <v>55</v>
      </c>
      <c r="E153" s="8">
        <f t="shared" si="2"/>
        <v>241.7243968193475</v>
      </c>
      <c r="I153" s="8">
        <f t="shared" si="3"/>
        <v>11247.378256824904</v>
      </c>
    </row>
    <row r="154" spans="2:9" x14ac:dyDescent="0.3">
      <c r="B154" s="9">
        <v>43936</v>
      </c>
      <c r="C154" s="4">
        <v>56</v>
      </c>
      <c r="E154" s="8">
        <f t="shared" si="2"/>
        <v>244.47834245289005</v>
      </c>
      <c r="I154" s="8">
        <f t="shared" si="3"/>
        <v>11386.320336897386</v>
      </c>
    </row>
    <row r="155" spans="2:9" x14ac:dyDescent="0.3">
      <c r="B155" s="9">
        <v>43937</v>
      </c>
      <c r="C155" s="4">
        <v>57</v>
      </c>
      <c r="E155" s="8">
        <f t="shared" si="2"/>
        <v>247.05474370148471</v>
      </c>
      <c r="I155" s="8">
        <f t="shared" si="3"/>
        <v>11514.488949783285</v>
      </c>
    </row>
    <row r="156" spans="2:9" x14ac:dyDescent="0.3">
      <c r="B156" s="9">
        <v>43938</v>
      </c>
      <c r="C156" s="4">
        <v>58</v>
      </c>
      <c r="E156" s="8">
        <f t="shared" si="2"/>
        <v>249.46177636167693</v>
      </c>
      <c r="I156" s="8">
        <f t="shared" si="3"/>
        <v>11632.473052369109</v>
      </c>
    </row>
    <row r="157" spans="2:9" x14ac:dyDescent="0.3">
      <c r="B157" s="9">
        <v>43939</v>
      </c>
      <c r="C157" s="4">
        <v>59</v>
      </c>
      <c r="E157" s="8">
        <f t="shared" si="2"/>
        <v>251.70762840997264</v>
      </c>
      <c r="I157" s="8">
        <f t="shared" si="3"/>
        <v>11740.863364394145</v>
      </c>
    </row>
    <row r="158" spans="2:9" x14ac:dyDescent="0.3">
      <c r="B158" s="9">
        <v>43940</v>
      </c>
      <c r="C158" s="4">
        <v>60</v>
      </c>
      <c r="E158" s="8">
        <f t="shared" si="2"/>
        <v>253.80044070897807</v>
      </c>
      <c r="I158" s="8">
        <f t="shared" si="3"/>
        <v>11840.246399737392</v>
      </c>
    </row>
    <row r="159" spans="2:9" x14ac:dyDescent="0.3">
      <c r="B159" s="9">
        <v>43941</v>
      </c>
      <c r="C159" s="4">
        <v>61</v>
      </c>
      <c r="E159" s="8">
        <f t="shared" si="2"/>
        <v>255.74825580329008</v>
      </c>
      <c r="I159" s="8">
        <f t="shared" si="3"/>
        <v>11931.199401250848</v>
      </c>
    </row>
    <row r="160" spans="2:9" x14ac:dyDescent="0.3">
      <c r="B160" s="9">
        <v>43942</v>
      </c>
      <c r="C160" s="4">
        <v>62</v>
      </c>
      <c r="E160" s="8">
        <f t="shared" si="2"/>
        <v>257.55897422457122</v>
      </c>
      <c r="I160" s="8">
        <f t="shared" si="3"/>
        <v>12014.286116363968</v>
      </c>
    </row>
    <row r="161" spans="2:9" x14ac:dyDescent="0.3">
      <c r="B161" s="9">
        <v>43943</v>
      </c>
      <c r="C161" s="4">
        <v>63</v>
      </c>
      <c r="E161" s="8">
        <f t="shared" si="2"/>
        <v>259.2403177161238</v>
      </c>
      <c r="I161" s="8">
        <f t="shared" si="3"/>
        <v>12090.053345925573</v>
      </c>
    </row>
    <row r="162" spans="2:9" x14ac:dyDescent="0.3">
      <c r="B162" s="9">
        <v>43944</v>
      </c>
      <c r="C162" s="4">
        <v>64</v>
      </c>
      <c r="E162" s="8">
        <f t="shared" si="2"/>
        <v>260.79979878882921</v>
      </c>
      <c r="I162" s="8">
        <f t="shared" si="3"/>
        <v>12159.028196304162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AT14:AT17"/>
    <mergeCell ref="AT24:AT27"/>
    <mergeCell ref="B2:H2"/>
    <mergeCell ref="H3:H6"/>
    <mergeCell ref="B4:G4"/>
    <mergeCell ref="B5:G5"/>
    <mergeCell ref="AI3:AM3"/>
    <mergeCell ref="AI4:AM4"/>
    <mergeCell ref="AI5:AM5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T78"/>
  <sheetViews>
    <sheetView tabSelected="1" zoomScale="55" zoomScaleNormal="55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5" width="8.88671875" style="2"/>
    <col min="46" max="46" width="9.5546875" style="2" bestFit="1" customWidth="1"/>
    <col min="47" max="16384" width="8.88671875" style="2"/>
  </cols>
  <sheetData>
    <row r="2" spans="2:46" ht="23.4" x14ac:dyDescent="0.45">
      <c r="B2" s="108" t="s">
        <v>11</v>
      </c>
      <c r="C2" s="108"/>
      <c r="D2" s="108"/>
      <c r="E2" s="108"/>
      <c r="F2" s="108"/>
      <c r="G2" s="108"/>
      <c r="H2" s="108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09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5" t="s">
        <v>108</v>
      </c>
      <c r="AI3" s="112" t="s">
        <v>71</v>
      </c>
      <c r="AJ3" s="112"/>
      <c r="AK3" s="112"/>
      <c r="AL3" s="112"/>
    </row>
    <row r="4" spans="2:46" ht="20.399999999999999" thickBot="1" x14ac:dyDescent="0.45">
      <c r="B4" s="110" t="s">
        <v>49</v>
      </c>
      <c r="C4" s="110"/>
      <c r="D4" s="110"/>
      <c r="E4" s="110"/>
      <c r="F4" s="110"/>
      <c r="G4" s="110"/>
      <c r="H4" s="109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104" t="s">
        <v>93</v>
      </c>
      <c r="AI4" s="112" t="s">
        <v>71</v>
      </c>
      <c r="AJ4" s="112"/>
      <c r="AK4" s="112"/>
      <c r="AL4" s="112"/>
    </row>
    <row r="5" spans="2:46" ht="18.600000000000001" thickTop="1" thickBot="1" x14ac:dyDescent="0.4">
      <c r="B5" s="111" t="s">
        <v>113</v>
      </c>
      <c r="C5" s="111"/>
      <c r="D5" s="111"/>
      <c r="E5" s="111"/>
      <c r="F5" s="111"/>
      <c r="G5" s="111"/>
      <c r="H5" s="109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104" t="s">
        <v>1</v>
      </c>
      <c r="AI5" s="112" t="s">
        <v>71</v>
      </c>
      <c r="AJ5" s="112"/>
      <c r="AK5" s="112"/>
      <c r="AL5" s="112"/>
    </row>
    <row r="6" spans="2:46" ht="19.2" thickTop="1" thickBot="1" x14ac:dyDescent="0.4">
      <c r="B6" s="27"/>
      <c r="C6" s="13"/>
      <c r="D6" s="13"/>
      <c r="E6" s="13"/>
      <c r="F6" s="13"/>
      <c r="G6" s="13"/>
      <c r="H6" s="109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65</v>
      </c>
      <c r="AD7" s="8" t="s">
        <v>66</v>
      </c>
      <c r="AE7" s="8"/>
      <c r="AF7" s="66" t="s">
        <v>46</v>
      </c>
      <c r="AG7" s="67" t="s">
        <v>94</v>
      </c>
      <c r="AH7" s="3"/>
      <c r="AT7" s="95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kn*t0n*_xlfn.GAMMA.DIST(Tabella2[[#This Row],[Day]]/t0n,wn+1,1,1)*_xlfn.GAMMA(wn+1)</f>
        <v>0</v>
      </c>
      <c r="H8" s="10">
        <f>kn*((Tabella2[[#This Row],[Day]]/t0n)^wn)*EXP(-(Tabella2[[#This Row],[Day]]/t0n))</f>
        <v>0</v>
      </c>
      <c r="I8" s="56">
        <f>Tabella2[[#This Row],[New_cases_fit]]*NOT(ISBLANK(Tabella2[[#This Row],[New cases]]))</f>
        <v>0</v>
      </c>
      <c r="J8" s="10">
        <f>Tabella2[[#This Row],[New_cases_fit]]+CIn</f>
        <v>1220.2615761355837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0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kd*t0d*_xlfn.GAMMA.DIST(Tabella2[[#This Row],[Day]]/t0d,wd+1,1,1)*_xlfn.GAMMA(wd+1)</f>
        <v>0</v>
      </c>
      <c r="S8" s="10">
        <f>kd*((Tabella2[[#This Row],[Day]]/t0d)^wd)*EXP(-(Tabella2[[#This Row],[Day]]/t0d))</f>
        <v>0</v>
      </c>
      <c r="T8" s="60">
        <f>Tabella2[[#This Row],[New_Recovered_fit]]*NOT(ISBLANK(Tabella2[[#This Row],[New recovered]]))</f>
        <v>0</v>
      </c>
      <c r="U8" s="10">
        <f>Tabella2[[#This Row],[New_Recovered_fit]]+CId</f>
        <v>557.27075024032013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5">
        <f>Tabella2[[#This Row],[New deaths]]*NOT(ISBLANK(Tabella2[[#This Row],[New deaths]]))</f>
        <v>0</v>
      </c>
      <c r="Z8" s="50">
        <f>kt*t0t*_xlfn.GAMMA.DIST(Tabella2[[#This Row],[Day]]/t0t,wt+1,1,1)*_xlfn.GAMMA(wt+1)</f>
        <v>0</v>
      </c>
      <c r="AA8" s="10">
        <f>kt*((Tabella2[[#This Row],[Day]]/t0t)^wt)*EXP(-(Tabella2[[#This Row],[Day]]/t0t))</f>
        <v>0</v>
      </c>
      <c r="AB8" s="65">
        <f>Tabella2[[#This Row],[New_Deaths_fit]]*NOT(ISBLANK(Tabella2[[#This Row],[New deaths]]))</f>
        <v>0</v>
      </c>
      <c r="AC8" s="10">
        <f>Tabella2[[#This Row],[New_Deaths_fit]]+CIt</f>
        <v>145.30412522783331</v>
      </c>
      <c r="AD8" s="10">
        <f>MAX(Tabella2[[#This Row],[New_Deaths_fit]]-CIt,0)</f>
        <v>0</v>
      </c>
      <c r="AE8" s="8"/>
      <c r="AF8" s="87" t="s">
        <v>108</v>
      </c>
      <c r="AG8" s="88">
        <f>k</f>
        <v>714.30948363205164</v>
      </c>
      <c r="AH8" s="3"/>
      <c r="AT8" s="129">
        <f>MAX($AG$14)</f>
        <v>0.95791856388863628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kn*t0n*_xlfn.GAMMA.DIST(Tabella2[[#This Row],[Day]]/t0n,wn+1,1,1)*_xlfn.GAMMA(wn+1)</f>
        <v>2.6790828365744101E-2</v>
      </c>
      <c r="H9" s="10">
        <f>kn*((Tabella2[[#This Row],[Day]]/t0n)^wn)*EXP(-(Tabella2[[#This Row],[Day]]/t0n))</f>
        <v>0.13963206978005366</v>
      </c>
      <c r="I9" s="56">
        <f>Tabella2[[#This Row],[New_cases_fit]]*NOT(ISBLANK(Tabella2[[#This Row],[New cases]]))</f>
        <v>0.13963206978005366</v>
      </c>
      <c r="J9" s="10">
        <f>Tabella2[[#This Row],[New_cases_fit]]+CIn</f>
        <v>1220.4012082053637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-1.5525379342105803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kd*t0d*_xlfn.GAMMA.DIST(Tabella2[[#This Row],[Day]]/t0d,wd+1,1,1)*_xlfn.GAMMA(wd+1)</f>
        <v>0.59606597495286373</v>
      </c>
      <c r="S9" s="10">
        <f>kd*((Tabella2[[#This Row],[Day]]/t0d)^wd)*EXP(-(Tabella2[[#This Row],[Day]]/t0d))</f>
        <v>1.6921339650576079</v>
      </c>
      <c r="T9" s="60">
        <f>Tabella2[[#This Row],[New_Recovered_fit]]*NOT(ISBLANK(Tabella2[[#This Row],[New recovered]]))</f>
        <v>1.6921339650576079</v>
      </c>
      <c r="U9" s="10">
        <f>Tabella2[[#This Row],[New_Recovered_fit]]+CId</f>
        <v>558.96288420537769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5">
        <f>Tabella2[[#This Row],[New deaths]]*NOT(ISBLANK(Tabella2[[#This Row],[New deaths]]))</f>
        <v>3</v>
      </c>
      <c r="Z9" s="50">
        <f>kt*t0t*_xlfn.GAMMA.DIST(Tabella2[[#This Row],[Day]]/t0t,wt+1,1,1)*_xlfn.GAMMA(wt+1)</f>
        <v>4.8168092625323027E-6</v>
      </c>
      <c r="AA9" s="10">
        <f>kt*((Tabella2[[#This Row],[Day]]/t0t)^wt)*EXP(-(Tabella2[[#This Row],[Day]]/t0t))</f>
        <v>3.6038933026031066E-5</v>
      </c>
      <c r="AB9" s="65">
        <f>Tabella2[[#This Row],[New_Deaths_fit]]*NOT(ISBLANK(Tabella2[[#This Row],[New deaths]]))</f>
        <v>3.6038933026031066E-5</v>
      </c>
      <c r="AC9" s="10">
        <f>Tabella2[[#This Row],[New_Deaths_fit]]+CIt</f>
        <v>145.30416126676633</v>
      </c>
      <c r="AD9" s="10">
        <f>MAX(Tabella2[[#This Row],[New_Deaths_fit]]-CIt,0)</f>
        <v>0</v>
      </c>
      <c r="AE9" s="8"/>
      <c r="AF9" s="87" t="s">
        <v>106</v>
      </c>
      <c r="AG9" s="88">
        <f>t0</f>
        <v>6.9432400059859463</v>
      </c>
      <c r="AH9" s="3"/>
      <c r="AT9" s="130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kn*t0n*_xlfn.GAMMA.DIST(Tabella2[[#This Row],[Day]]/t0n,wn+1,1,1)*_xlfn.GAMMA(wn+1)</f>
        <v>0.95699010644626215</v>
      </c>
      <c r="H10" s="10">
        <f>kn*((Tabella2[[#This Row],[Day]]/t0n)^wn)*EXP(-(Tabella2[[#This Row],[Day]]/t0n))</f>
        <v>2.4364074163428819</v>
      </c>
      <c r="I10" s="56">
        <f>Tabella2[[#This Row],[New_cases_fit]]*NOT(ISBLANK(Tabella2[[#This Row],[New cases]]))</f>
        <v>2.4364074163428819</v>
      </c>
      <c r="J10" s="10">
        <f>Tabella2[[#This Row],[New_cases_fit]]+CIn</f>
        <v>1222.6979835519267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-3.6165593786580423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kd*t0d*_xlfn.GAMMA.DIST(Tabella2[[#This Row],[Day]]/t0d,wd+1,1,1)*_xlfn.GAMMA(wd+1)</f>
        <v>4.2634817496890847</v>
      </c>
      <c r="S10" s="10">
        <f>kd*((Tabella2[[#This Row],[Day]]/t0d)^wd)*EXP(-(Tabella2[[#This Row],[Day]]/t0d))</f>
        <v>6.0499858848339967</v>
      </c>
      <c r="T10" s="60">
        <f>Tabella2[[#This Row],[New_Recovered_fit]]*NOT(ISBLANK(Tabella2[[#This Row],[New recovered]]))</f>
        <v>6.0499858848339967</v>
      </c>
      <c r="U10" s="10">
        <f>Tabella2[[#This Row],[New_Recovered_fit]]+CId</f>
        <v>563.3207361251541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5">
        <f>Tabella2[[#This Row],[New deaths]]*NOT(ISBLANK(Tabella2[[#This Row],[New deaths]]))</f>
        <v>2</v>
      </c>
      <c r="Z10" s="50">
        <f>kt*t0t*_xlfn.GAMMA.DIST(Tabella2[[#This Row],[Day]]/t0t,wt+1,1,1)*_xlfn.GAMMA(wt+1)</f>
        <v>8.1594445980717517E-4</v>
      </c>
      <c r="AA10" s="10">
        <f>kt*((Tabella2[[#This Row],[Day]]/t0t)^wt)*EXP(-(Tabella2[[#This Row],[Day]]/t0t))</f>
        <v>2.9809101669276772E-3</v>
      </c>
      <c r="AB10" s="65">
        <f>Tabella2[[#This Row],[New_Deaths_fit]]*NOT(ISBLANK(Tabella2[[#This Row],[New deaths]]))</f>
        <v>2.9809101669276772E-3</v>
      </c>
      <c r="AC10" s="10">
        <f>Tabella2[[#This Row],[New_Deaths_fit]]+CIt</f>
        <v>145.30710613800025</v>
      </c>
      <c r="AD10" s="10">
        <f>MAX(Tabella2[[#This Row],[New_Deaths_fit]]-CIt,0)</f>
        <v>0</v>
      </c>
      <c r="AE10" s="8"/>
      <c r="AF10" s="87" t="s">
        <v>1</v>
      </c>
      <c r="AG10" s="88">
        <f>w</f>
        <v>4.3328372913705868</v>
      </c>
      <c r="AH10" s="3"/>
      <c r="AT10" s="130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kn*t0n*_xlfn.GAMMA.DIST(Tabella2[[#This Row],[Day]]/t0n,wn+1,1,1)*_xlfn.GAMMA(wn+1)</f>
        <v>7.374321386941201</v>
      </c>
      <c r="H11" s="10">
        <f>kn*((Tabella2[[#This Row],[Day]]/t0n)^wn)*EXP(-(Tabella2[[#This Row],[Day]]/t0n))</f>
        <v>12.222933046851352</v>
      </c>
      <c r="I11" s="56">
        <f>Tabella2[[#This Row],[New_cases_fit]]*NOT(ISBLANK(Tabella2[[#This Row],[New cases]]))</f>
        <v>12.222933046851352</v>
      </c>
      <c r="J11" s="10">
        <f>Tabella2[[#This Row],[New_cases_fit]]+CIn</f>
        <v>1232.484509182435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-0.55526587353159129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kd*t0d*_xlfn.GAMMA.DIST(Tabella2[[#This Row],[Day]]/t0d,wd+1,1,1)*_xlfn.GAMMA(wd+1)</f>
        <v>13.472725353599897</v>
      </c>
      <c r="S11" s="10">
        <f>kd*((Tabella2[[#This Row],[Day]]/t0d)^wd)*EXP(-(Tabella2[[#This Row],[Day]]/t0d))</f>
        <v>12.741884641152168</v>
      </c>
      <c r="T11" s="60">
        <f>Tabella2[[#This Row],[New_Recovered_fit]]*NOT(ISBLANK(Tabella2[[#This Row],[New recovered]]))</f>
        <v>12.741884641152168</v>
      </c>
      <c r="U11" s="10">
        <f>Tabella2[[#This Row],[New_Recovered_fit]]+CId</f>
        <v>570.01263488147231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5">
        <f>Tabella2[[#This Row],[New deaths]]*NOT(ISBLANK(Tabella2[[#This Row],[New deaths]]))</f>
        <v>5</v>
      </c>
      <c r="Z11" s="50">
        <f>kt*t0t*_xlfn.GAMMA.DIST(Tabella2[[#This Row],[Day]]/t0t,wt+1,1,1)*_xlfn.GAMMA(wt+1)</f>
        <v>1.5274554569157533E-2</v>
      </c>
      <c r="AA11" s="10">
        <f>kt*((Tabella2[[#This Row],[Day]]/t0t)^wt)*EXP(-(Tabella2[[#This Row],[Day]]/t0t))</f>
        <v>3.6314279230775195E-2</v>
      </c>
      <c r="AB11" s="65">
        <f>Tabella2[[#This Row],[New_Deaths_fit]]*NOT(ISBLANK(Tabella2[[#This Row],[New deaths]]))</f>
        <v>3.6314279230775195E-2</v>
      </c>
      <c r="AC11" s="10">
        <f>Tabella2[[#This Row],[New_Deaths_fit]]+CIt</f>
        <v>145.34043950706408</v>
      </c>
      <c r="AD11" s="10">
        <f>MAX(Tabella2[[#This Row],[New_Deaths_fit]]-CIt,0)</f>
        <v>0</v>
      </c>
      <c r="AE11" s="8"/>
      <c r="AF11" s="89" t="s">
        <v>2</v>
      </c>
      <c r="AG11" s="90">
        <f>AVERAGE(Tabella2[New cases])</f>
        <v>3190.16</v>
      </c>
      <c r="AH11" s="3"/>
      <c r="AT11" s="130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kn*t0n*_xlfn.GAMMA.DIST(Tabella2[[#This Row],[Day]]/t0n,wn+1,1,1)*_xlfn.GAMMA(wn+1)</f>
        <v>30.333597887774864</v>
      </c>
      <c r="H12" s="10">
        <f>kn*((Tabella2[[#This Row],[Day]]/t0n)^wn)*EXP(-(Tabella2[[#This Row],[Day]]/t0n))</f>
        <v>36.809964285572086</v>
      </c>
      <c r="I12" s="56">
        <f>Tabella2[[#This Row],[New_cases_fit]]*NOT(ISBLANK(Tabella2[[#This Row],[New cases]]))</f>
        <v>36.809964285572086</v>
      </c>
      <c r="J12" s="10">
        <f>Tabella2[[#This Row],[New_cases_fit]]+CIn</f>
        <v>1257.0715404211558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15.000170440691509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kd*t0d*_xlfn.GAMMA.DIST(Tabella2[[#This Row],[Day]]/t0d,wd+1,1,1)*_xlfn.GAMMA(wd+1)</f>
        <v>30.471412682240938</v>
      </c>
      <c r="S12" s="10">
        <f>kd*((Tabella2[[#This Row],[Day]]/t0d)^wd)*EXP(-(Tabella2[[#This Row],[Day]]/t0d))</f>
        <v>21.607850340151245</v>
      </c>
      <c r="T12" s="60">
        <f>Tabella2[[#This Row],[New_Recovered_fit]]*NOT(ISBLANK(Tabella2[[#This Row],[New recovered]]))</f>
        <v>21.607850340151245</v>
      </c>
      <c r="U12" s="10">
        <f>Tabella2[[#This Row],[New_Recovered_fit]]+CId</f>
        <v>578.87860058047136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5">
        <f>Tabella2[[#This Row],[New deaths]]*NOT(ISBLANK(Tabella2[[#This Row],[New deaths]]))</f>
        <v>4</v>
      </c>
      <c r="Z12" s="50">
        <f>kt*t0t*_xlfn.GAMMA.DIST(Tabella2[[#This Row],[Day]]/t0t,wt+1,1,1)*_xlfn.GAMMA(wt+1)</f>
        <v>0.11607737638277885</v>
      </c>
      <c r="AA12" s="10">
        <f>kt*((Tabella2[[#This Row],[Day]]/t0t)^wt)*EXP(-(Tabella2[[#This Row],[Day]]/t0t))</f>
        <v>0.20194350472933142</v>
      </c>
      <c r="AB12" s="65">
        <f>Tabella2[[#This Row],[New_Deaths_fit]]*NOT(ISBLANK(Tabella2[[#This Row],[New deaths]]))</f>
        <v>0.20194350472933142</v>
      </c>
      <c r="AC12" s="10">
        <f>Tabella2[[#This Row],[New_Deaths_fit]]+CIt</f>
        <v>145.50606873256265</v>
      </c>
      <c r="AD12" s="10">
        <f>MAX(Tabella2[[#This Row],[New_Deaths_fit]]-CIt,0)</f>
        <v>0</v>
      </c>
      <c r="AE12" s="1"/>
      <c r="AF12" s="89" t="s">
        <v>3</v>
      </c>
      <c r="AG12" s="90">
        <f>COUNT(Tabella2[New cases])-COUNT(AG8:AG10)</f>
        <v>47</v>
      </c>
      <c r="AT12" s="130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kn*t0n*_xlfn.GAMMA.DIST(Tabella2[[#This Row],[Day]]/t0n,wn+1,1,1)*_xlfn.GAMMA(wn+1)</f>
        <v>88.477460358257304</v>
      </c>
      <c r="H13" s="10">
        <f>kn*((Tabella2[[#This Row],[Day]]/t0n)^wn)*EXP(-(Tabella2[[#This Row],[Day]]/t0n))</f>
        <v>83.813014359412065</v>
      </c>
      <c r="I13" s="56">
        <f>Tabella2[[#This Row],[New_cases_fit]]*NOT(ISBLANK(Tabella2[[#This Row],[New cases]]))</f>
        <v>83.813014359412065</v>
      </c>
      <c r="J13" s="10">
        <f>Tabella2[[#This Row],[New_cases_fit]]+CIn</f>
        <v>1304.0745904949958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50.541550824028185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kd*t0d*_xlfn.GAMMA.DIST(Tabella2[[#This Row],[Day]]/t0d,wd+1,1,1)*_xlfn.GAMMA(wd+1)</f>
        <v>57.377114250510729</v>
      </c>
      <c r="S13" s="10">
        <f>kd*((Tabella2[[#This Row],[Day]]/t0d)^wd)*EXP(-(Tabella2[[#This Row],[Day]]/t0d))</f>
        <v>32.540718806584955</v>
      </c>
      <c r="T13" s="60">
        <f>Tabella2[[#This Row],[New_Recovered_fit]]*NOT(ISBLANK(Tabella2[[#This Row],[New recovered]]))</f>
        <v>32.540718806584955</v>
      </c>
      <c r="U13" s="10">
        <f>Tabella2[[#This Row],[New_Recovered_fit]]+CId</f>
        <v>589.81146904690513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5">
        <f>Tabella2[[#This Row],[New deaths]]*NOT(ISBLANK(Tabella2[[#This Row],[New deaths]]))</f>
        <v>8</v>
      </c>
      <c r="Z13" s="50">
        <f>kt*t0t*_xlfn.GAMMA.DIST(Tabella2[[#This Row],[Day]]/t0t,wt+1,1,1)*_xlfn.GAMMA(wt+1)</f>
        <v>0.53837736528505087</v>
      </c>
      <c r="AA13" s="10">
        <f>kt*((Tabella2[[#This Row],[Day]]/t0t)^wt)*EXP(-(Tabella2[[#This Row],[Day]]/t0t))</f>
        <v>0.73074472879892316</v>
      </c>
      <c r="AB13" s="65">
        <f>Tabella2[[#This Row],[New_Deaths_fit]]*NOT(ISBLANK(Tabella2[[#This Row],[New deaths]]))</f>
        <v>0.73074472879892316</v>
      </c>
      <c r="AC13" s="10">
        <f>Tabella2[[#This Row],[New_Deaths_fit]]+CIt</f>
        <v>146.03486995663224</v>
      </c>
      <c r="AD13" s="10">
        <f>MAX(Tabella2[[#This Row],[New_Deaths_fit]]-CIt,0)</f>
        <v>0</v>
      </c>
      <c r="AE13" s="1"/>
      <c r="AF13" s="89" t="s">
        <v>4</v>
      </c>
      <c r="AG13" s="91" cm="1">
        <f t="array" ref="AG13">SQRT(SUM((Tabella2[Colonna1]-Tabella2[Colonna2])^2)/dfn)</f>
        <v>606.57006597397537</v>
      </c>
      <c r="AT13" s="131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kn*t0n*_xlfn.GAMMA.DIST(Tabella2[[#This Row],[Day]]/t0n,wn+1,1,1)*_xlfn.GAMMA(wn+1)</f>
        <v>207.67319928891715</v>
      </c>
      <c r="H14" s="10">
        <f>kn*((Tabella2[[#This Row],[Day]]/t0n)^wn)*EXP(-(Tabella2[[#This Row],[Day]]/t0n))</f>
        <v>159.89749581571292</v>
      </c>
      <c r="I14" s="56">
        <f>Tabella2[[#This Row],[New_cases_fit]]*NOT(ISBLANK(Tabella2[[#This Row],[New cases]]))</f>
        <v>159.89749581571292</v>
      </c>
      <c r="J14" s="10">
        <f>Tabella2[[#This Row],[New_cases_fit]]+CIn</f>
        <v>1380.1590719512967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112.42265651958354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kd*t0d*_xlfn.GAMMA.DIST(Tabella2[[#This Row],[Day]]/t0d,wd+1,1,1)*_xlfn.GAMMA(wd+1)</f>
        <v>96.214782050587829</v>
      </c>
      <c r="S14" s="10">
        <f>kd*((Tabella2[[#This Row],[Day]]/t0d)^wd)*EXP(-(Tabella2[[#This Row],[Day]]/t0d))</f>
        <v>45.459897679512515</v>
      </c>
      <c r="T14" s="60">
        <f>Tabella2[[#This Row],[New_Recovered_fit]]*NOT(ISBLANK(Tabella2[[#This Row],[New recovered]]))</f>
        <v>45.459897679512515</v>
      </c>
      <c r="U14" s="10">
        <f>Tabella2[[#This Row],[New_Recovered_fit]]+CId</f>
        <v>602.73064791983268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5">
        <f>Tabella2[[#This Row],[New deaths]]*NOT(ISBLANK(Tabella2[[#This Row],[New deaths]]))</f>
        <v>5</v>
      </c>
      <c r="Z14" s="50">
        <f>kt*t0t*_xlfn.GAMMA.DIST(Tabella2[[#This Row],[Day]]/t0t,wt+1,1,1)*_xlfn.GAMMA(wt+1)</f>
        <v>1.8275524127773504</v>
      </c>
      <c r="AA14" s="10">
        <f>kt*((Tabella2[[#This Row],[Day]]/t0t)^wt)*EXP(-(Tabella2[[#This Row],[Day]]/t0t))</f>
        <v>2.0149416166168534</v>
      </c>
      <c r="AB14" s="65">
        <f>Tabella2[[#This Row],[New_Deaths_fit]]*NOT(ISBLANK(Tabella2[[#This Row],[New deaths]]))</f>
        <v>2.0149416166168534</v>
      </c>
      <c r="AC14" s="10">
        <f>Tabella2[[#This Row],[New_Deaths_fit]]+CIt</f>
        <v>147.31906684445016</v>
      </c>
      <c r="AD14" s="10">
        <f>MAX(Tabella2[[#This Row],[New_Deaths_fit]]-CIt,0)</f>
        <v>0</v>
      </c>
      <c r="AE14" s="1"/>
      <c r="AF14" s="89" t="s">
        <v>107</v>
      </c>
      <c r="AG14" s="92" cm="1">
        <f t="array" ref="AG14">1-SUM((Tabella2[Colonna1]-Tabella2[Colonna2])^2)/SUM((Tabella2[Colonna1]-Mean_of_yn)^2)</f>
        <v>0.95791856388863628</v>
      </c>
      <c r="AT14" s="113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kn*t0n*_xlfn.GAMMA.DIST(Tabella2[[#This Row],[Day]]/t0n,wn+1,1,1)*_xlfn.GAMMA(wn+1)</f>
        <v>419.63520380497675</v>
      </c>
      <c r="H15" s="10">
        <f>kn*((Tabella2[[#This Row],[Day]]/t0n)^wn)*EXP(-(Tabella2[[#This Row],[Day]]/t0n))</f>
        <v>269.99887525156538</v>
      </c>
      <c r="I15" s="56">
        <f>Tabella2[[#This Row],[New_cases_fit]]*NOT(ISBLANK(Tabella2[[#This Row],[New cases]]))</f>
        <v>269.99887525156538</v>
      </c>
      <c r="J15" s="10">
        <f>Tabella2[[#This Row],[New_cases_fit]]+CIn</f>
        <v>1490.260451387149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205.09232710855969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kd*t0d*_xlfn.GAMMA.DIST(Tabella2[[#This Row],[Day]]/t0d,wd+1,1,1)*_xlfn.GAMMA(wd+1)</f>
        <v>148.93736336493882</v>
      </c>
      <c r="S15" s="10">
        <f>kd*((Tabella2[[#This Row],[Day]]/t0d)^wd)*EXP(-(Tabella2[[#This Row],[Day]]/t0d))</f>
        <v>60.300784859889681</v>
      </c>
      <c r="T15" s="60">
        <f>Tabella2[[#This Row],[New_Recovered_fit]]*NOT(ISBLANK(Tabella2[[#This Row],[New recovered]]))</f>
        <v>60.300784859889681</v>
      </c>
      <c r="U15" s="10">
        <f>Tabella2[[#This Row],[New_Recovered_fit]]+CId</f>
        <v>617.57153510020976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5">
        <f>Tabella2[[#This Row],[New deaths]]*NOT(ISBLANK(Tabella2[[#This Row],[New deaths]]))</f>
        <v>18</v>
      </c>
      <c r="Z15" s="50">
        <f>kt*t0t*_xlfn.GAMMA.DIST(Tabella2[[#This Row],[Day]]/t0t,wt+1,1,1)*_xlfn.GAMMA(wt+1)</f>
        <v>5.0024031867590679</v>
      </c>
      <c r="AA15" s="10">
        <f>kt*((Tabella2[[#This Row],[Day]]/t0t)^wt)*EXP(-(Tabella2[[#This Row],[Day]]/t0t))</f>
        <v>4.6057632831160014</v>
      </c>
      <c r="AB15" s="65">
        <f>Tabella2[[#This Row],[New_Deaths_fit]]*NOT(ISBLANK(Tabella2[[#This Row],[New deaths]]))</f>
        <v>4.6057632831160014</v>
      </c>
      <c r="AC15" s="10">
        <f>Tabella2[[#This Row],[New_Deaths_fit]]+CIt</f>
        <v>149.90988851094932</v>
      </c>
      <c r="AD15" s="10">
        <f>MAX(Tabella2[[#This Row],[New_Deaths_fit]]-CIt,0)</f>
        <v>0</v>
      </c>
      <c r="AE15" s="1"/>
      <c r="AF15" s="89" t="s">
        <v>6</v>
      </c>
      <c r="AG15" s="92">
        <f>TINV(0.05,dfn)</f>
        <v>2.0117405137297668</v>
      </c>
      <c r="AT15" s="114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kn*t0n*_xlfn.GAMMA.DIST(Tabella2[[#This Row],[Day]]/t0n,wn+1,1,1)*_xlfn.GAMMA(wn+1)</f>
        <v>759.97807819054958</v>
      </c>
      <c r="H16" s="10">
        <f>kn*((Tabella2[[#This Row],[Day]]/t0n)^wn)*EXP(-(Tabella2[[#This Row],[Day]]/t0n))</f>
        <v>416.9484575737261</v>
      </c>
      <c r="I16" s="56">
        <f>Tabella2[[#This Row],[New_cases_fit]]*NOT(ISBLANK(Tabella2[[#This Row],[New cases]]))</f>
        <v>416.9484575737261</v>
      </c>
      <c r="J16" s="10">
        <f>Tabella2[[#This Row],[New_cases_fit]]+CIn</f>
        <v>1637.2100337093098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330.76163828973336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kd*t0d*_xlfn.GAMMA.DIST(Tabella2[[#This Row],[Day]]/t0d,wd+1,1,1)*_xlfn.GAMMA(wd+1)</f>
        <v>217.43885612885748</v>
      </c>
      <c r="S16" s="10">
        <f>kd*((Tabella2[[#This Row],[Day]]/t0d)^wd)*EXP(-(Tabella2[[#This Row],[Day]]/t0d))</f>
        <v>77.009433997534757</v>
      </c>
      <c r="T16" s="60">
        <f>Tabella2[[#This Row],[New_Recovered_fit]]*NOT(ISBLANK(Tabella2[[#This Row],[New recovered]]))</f>
        <v>77.009433997534757</v>
      </c>
      <c r="U16" s="10">
        <f>Tabella2[[#This Row],[New_Recovered_fit]]+CId</f>
        <v>634.28018423785488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5">
        <f>Tabella2[[#This Row],[New deaths]]*NOT(ISBLANK(Tabella2[[#This Row],[New deaths]]))</f>
        <v>27</v>
      </c>
      <c r="Z16" s="50">
        <f>kt*t0t*_xlfn.GAMMA.DIST(Tabella2[[#This Row],[Day]]/t0t,wt+1,1,1)*_xlfn.GAMMA(wt+1)</f>
        <v>11.698636308628711</v>
      </c>
      <c r="AA16" s="10">
        <f>kt*((Tabella2[[#This Row],[Day]]/t0t)^wt)*EXP(-(Tabella2[[#This Row],[Day]]/t0t))</f>
        <v>9.1773852864579926</v>
      </c>
      <c r="AB16" s="65">
        <f>Tabella2[[#This Row],[New_Deaths_fit]]*NOT(ISBLANK(Tabella2[[#This Row],[New deaths]]))</f>
        <v>9.1773852864579926</v>
      </c>
      <c r="AC16" s="10">
        <f>Tabella2[[#This Row],[New_Deaths_fit]]+CIt</f>
        <v>154.4815105142913</v>
      </c>
      <c r="AD16" s="10">
        <f>MAX(Tabella2[[#This Row],[New_Deaths_fit]]-CIt,0)</f>
        <v>0</v>
      </c>
      <c r="AE16" s="1"/>
      <c r="AF16" s="89" t="s">
        <v>7</v>
      </c>
      <c r="AG16" s="90">
        <f>Critical_tn*SE_of_yn</f>
        <v>1220.2615761355837</v>
      </c>
      <c r="AT16" s="114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kn*t0n*_xlfn.GAMMA.DIST(Tabella2[[#This Row],[Day]]/t0n,wn+1,1,1)*_xlfn.GAMMA(wn+1)</f>
        <v>1266.0578410409928</v>
      </c>
      <c r="H17" s="10">
        <f>kn*((Tabella2[[#This Row],[Day]]/t0n)^wn)*EXP(-(Tabella2[[#This Row],[Day]]/t0n))</f>
        <v>601.40727113756213</v>
      </c>
      <c r="I17" s="56">
        <f>Tabella2[[#This Row],[New_cases_fit]]*NOT(ISBLANK(Tabella2[[#This Row],[New cases]]))</f>
        <v>601.40727113756213</v>
      </c>
      <c r="J17" s="10">
        <f>Tabella2[[#This Row],[New_cases_fit]]+CIn</f>
        <v>1821.6688472731457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489.40136316218133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kd*t0d*_xlfn.GAMMA.DIST(Tabella2[[#This Row],[Day]]/t0d,wd+1,1,1)*_xlfn.GAMMA(wd+1)</f>
        <v>303.56330539203248</v>
      </c>
      <c r="S17" s="10">
        <f>kd*((Tabella2[[#This Row],[Day]]/t0d)^wd)*EXP(-(Tabella2[[#This Row],[Day]]/t0d))</f>
        <v>95.539492017744976</v>
      </c>
      <c r="T17" s="60">
        <f>Tabella2[[#This Row],[New_Recovered_fit]]*NOT(ISBLANK(Tabella2[[#This Row],[New recovered]]))</f>
        <v>95.539492017744976</v>
      </c>
      <c r="U17" s="10">
        <f>Tabella2[[#This Row],[New_Recovered_fit]]+CId</f>
        <v>652.81024225806505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5">
        <f>Tabella2[[#This Row],[New deaths]]*NOT(ISBLANK(Tabella2[[#This Row],[New deaths]]))</f>
        <v>28</v>
      </c>
      <c r="Z17" s="50">
        <f>kt*t0t*_xlfn.GAMMA.DIST(Tabella2[[#This Row],[Day]]/t0t,wt+1,1,1)*_xlfn.GAMMA(wt+1)</f>
        <v>24.263089379382691</v>
      </c>
      <c r="AA17" s="10">
        <f>kt*((Tabella2[[#This Row],[Day]]/t0t)^wt)*EXP(-(Tabella2[[#This Row],[Day]]/t0t))</f>
        <v>16.466415957635853</v>
      </c>
      <c r="AB17" s="65">
        <f>Tabella2[[#This Row],[New_Deaths_fit]]*NOT(ISBLANK(Tabella2[[#This Row],[New deaths]]))</f>
        <v>16.466415957635853</v>
      </c>
      <c r="AC17" s="10">
        <f>Tabella2[[#This Row],[New_Deaths_fit]]+CIt</f>
        <v>161.77054118546917</v>
      </c>
      <c r="AD17" s="10">
        <f>MAX(Tabella2[[#This Row],[New_Deaths_fit]]-CIt,0)</f>
        <v>0</v>
      </c>
      <c r="AE17" s="1"/>
      <c r="AF17" s="89" t="s">
        <v>69</v>
      </c>
      <c r="AG17" s="90">
        <f>kn*(wn^wn)*EXP(-wn)</f>
        <v>5385.0557767610362</v>
      </c>
      <c r="AT17" s="115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kn*t0n*_xlfn.GAMMA.DIST(Tabella2[[#This Row],[Day]]/t0n,wn+1,1,1)*_xlfn.GAMMA(wn+1)</f>
        <v>1974.8613342616118</v>
      </c>
      <c r="H18" s="10">
        <f>kn*((Tabella2[[#This Row],[Day]]/t0n)^wn)*EXP(-(Tabella2[[#This Row],[Day]]/t0n))</f>
        <v>822.01393917406051</v>
      </c>
      <c r="I18" s="56">
        <f>Tabella2[[#This Row],[New_cases_fit]]*NOT(ISBLANK(Tabella2[[#This Row],[New cases]]))</f>
        <v>822.01393917406051</v>
      </c>
      <c r="J18" s="10">
        <f>Tabella2[[#This Row],[New_cases_fit]]+CIn</f>
        <v>2042.2755153096441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678.96429019798438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kd*t0d*_xlfn.GAMMA.DIST(Tabella2[[#This Row],[Day]]/t0d,wd+1,1,1)*_xlfn.GAMMA(wd+1)</f>
        <v>409.11136895637776</v>
      </c>
      <c r="S18" s="10">
        <f>kd*((Tabella2[[#This Row],[Day]]/t0d)^wd)*EXP(-(Tabella2[[#This Row],[Day]]/t0d))</f>
        <v>115.85028152860755</v>
      </c>
      <c r="T18" s="60">
        <f>Tabella2[[#This Row],[New_Recovered_fit]]*NOT(ISBLANK(Tabella2[[#This Row],[New recovered]]))</f>
        <v>115.85028152860755</v>
      </c>
      <c r="U18" s="10">
        <f>Tabella2[[#This Row],[New_Recovered_fit]]+CId</f>
        <v>673.12103176892765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5">
        <f>Tabella2[[#This Row],[New deaths]]*NOT(ISBLANK(Tabella2[[#This Row],[New deaths]]))</f>
        <v>41</v>
      </c>
      <c r="Z18" s="50">
        <f>kt*t0t*_xlfn.GAMMA.DIST(Tabella2[[#This Row],[Day]]/t0t,wt+1,1,1)*_xlfn.GAMMA(wt+1)</f>
        <v>45.78037316419384</v>
      </c>
      <c r="AA18" s="10">
        <f>kt*((Tabella2[[#This Row],[Day]]/t0t)^wt)*EXP(-(Tabella2[[#This Row],[Day]]/t0t))</f>
        <v>27.199367447468546</v>
      </c>
      <c r="AB18" s="65">
        <f>Tabella2[[#This Row],[New_Deaths_fit]]*NOT(ISBLANK(Tabella2[[#This Row],[New deaths]]))</f>
        <v>27.199367447468546</v>
      </c>
      <c r="AC18" s="10">
        <f>Tabella2[[#This Row],[New_Deaths_fit]]+CIt</f>
        <v>172.50349267530186</v>
      </c>
      <c r="AD18" s="10">
        <f>MAX(Tabella2[[#This Row],[New_Deaths_fit]]-CIt,0)</f>
        <v>0</v>
      </c>
      <c r="AE18" s="1"/>
      <c r="AF18" s="89" t="s">
        <v>70</v>
      </c>
      <c r="AG18" s="93">
        <f>_xlfn.XLOOKUP(ROUND(wn*t0n,0),Tabella2[Day],Tabella2[Date])</f>
        <v>43915</v>
      </c>
      <c r="AT18" s="132">
        <f>MAX($AG$26)</f>
        <v>0.8898591740730819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kn*t0n*_xlfn.GAMMA.DIST(Tabella2[[#This Row],[Day]]/t0n,wn+1,1,1)*_xlfn.GAMMA(wn+1)</f>
        <v>2921.1165074242931</v>
      </c>
      <c r="H19" s="10">
        <f>kn*((Tabella2[[#This Row],[Day]]/t0n)^wn)*EXP(-(Tabella2[[#This Row],[Day]]/t0n))</f>
        <v>1075.6666353608193</v>
      </c>
      <c r="I19" s="56">
        <f>Tabella2[[#This Row],[New_cases_fit]]*NOT(ISBLANK(Tabella2[[#This Row],[New cases]]))</f>
        <v>1075.6666353608193</v>
      </c>
      <c r="J19" s="10">
        <f>Tabella2[[#This Row],[New_cases_fit]]+CIn</f>
        <v>2295.928211496403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895.74097904851874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kd*t0d*_xlfn.GAMMA.DIST(Tabella2[[#This Row],[Day]]/t0d,wd+1,1,1)*_xlfn.GAMMA(wd+1)</f>
        <v>535.84531364392672</v>
      </c>
      <c r="S19" s="10">
        <f>kd*((Tabella2[[#This Row],[Day]]/t0d)^wd)*EXP(-(Tabella2[[#This Row],[Day]]/t0d))</f>
        <v>137.90552247108829</v>
      </c>
      <c r="T19" s="60">
        <f>Tabella2[[#This Row],[New_Recovered_fit]]*NOT(ISBLANK(Tabella2[[#This Row],[New recovered]]))</f>
        <v>137.90552247108829</v>
      </c>
      <c r="U19" s="10">
        <f>Tabella2[[#This Row],[New_Recovered_fit]]+CId</f>
        <v>695.17627271140839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5">
        <f>Tabella2[[#This Row],[New deaths]]*NOT(ISBLANK(Tabella2[[#This Row],[New deaths]]))</f>
        <v>49</v>
      </c>
      <c r="Z19" s="50">
        <f>kt*t0t*_xlfn.GAMMA.DIST(Tabella2[[#This Row],[Day]]/t0t,wt+1,1,1)*_xlfn.GAMMA(wt+1)</f>
        <v>80.02606831143062</v>
      </c>
      <c r="AA19" s="10">
        <f>kt*((Tabella2[[#This Row],[Day]]/t0t)^wt)*EXP(-(Tabella2[[#This Row],[Day]]/t0t))</f>
        <v>42.020133841212385</v>
      </c>
      <c r="AB19" s="65">
        <f>Tabella2[[#This Row],[New_Deaths_fit]]*NOT(ISBLANK(Tabella2[[#This Row],[New deaths]]))</f>
        <v>42.020133841212385</v>
      </c>
      <c r="AC19" s="10">
        <f>Tabella2[[#This Row],[New_Deaths_fit]]+CIt</f>
        <v>187.3242590690457</v>
      </c>
      <c r="AD19" s="10">
        <f>MAX(Tabella2[[#This Row],[New_Deaths_fit]]-CIt,0)</f>
        <v>0</v>
      </c>
      <c r="AE19" s="1"/>
      <c r="AF19" s="59" t="s">
        <v>81</v>
      </c>
      <c r="AG19" s="76" t="s">
        <v>95</v>
      </c>
      <c r="AT19" s="133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kn*t0n*_xlfn.GAMMA.DIST(Tabella2[[#This Row],[Day]]/t0n,wn+1,1,1)*_xlfn.GAMMA(wn+1)</f>
        <v>4135.7247264594953</v>
      </c>
      <c r="H20" s="10">
        <f>kn*((Tabella2[[#This Row],[Day]]/t0n)^wn)*EXP(-(Tabella2[[#This Row],[Day]]/t0n))</f>
        <v>1357.8760550042825</v>
      </c>
      <c r="I20" s="56">
        <f>Tabella2[[#This Row],[New_cases_fit]]*NOT(ISBLANK(Tabella2[[#This Row],[New cases]]))</f>
        <v>1357.8760550042825</v>
      </c>
      <c r="J20" s="10">
        <f>Tabella2[[#This Row],[New_cases_fit]]+CIn</f>
        <v>2578.1376311398662</v>
      </c>
      <c r="K20" s="10">
        <f>MAX(Tabella2[[#This Row],[New_cases_fit]]-CIn,0)</f>
        <v>137.61447886869882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1134.776572527458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kd*t0d*_xlfn.GAMMA.DIST(Tabella2[[#This Row],[Day]]/t0d,wd+1,1,1)*_xlfn.GAMMA(wd+1)</f>
        <v>685.49294072104158</v>
      </c>
      <c r="S20" s="10">
        <f>kd*((Tabella2[[#This Row],[Day]]/t0d)^wd)*EXP(-(Tabella2[[#This Row],[Day]]/t0d))</f>
        <v>161.67243841787854</v>
      </c>
      <c r="T20" s="60">
        <f>Tabella2[[#This Row],[New_Recovered_fit]]*NOT(ISBLANK(Tabella2[[#This Row],[New recovered]]))</f>
        <v>161.67243841787854</v>
      </c>
      <c r="U20" s="10">
        <f>Tabella2[[#This Row],[New_Recovered_fit]]+CId</f>
        <v>718.94318865819866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5">
        <f>Tabella2[[#This Row],[New deaths]]*NOT(ISBLANK(Tabella2[[#This Row],[New deaths]]))</f>
        <v>36</v>
      </c>
      <c r="Z20" s="50">
        <f>kt*t0t*_xlfn.GAMMA.DIST(Tabella2[[#This Row],[Day]]/t0t,wt+1,1,1)*_xlfn.GAMMA(wt+1)</f>
        <v>131.35152143874689</v>
      </c>
      <c r="AA20" s="10">
        <f>kt*((Tabella2[[#This Row],[Day]]/t0t)^wt)*EXP(-(Tabella2[[#This Row],[Day]]/t0t))</f>
        <v>61.427044058946052</v>
      </c>
      <c r="AB20" s="65">
        <f>Tabella2[[#This Row],[New_Deaths_fit]]*NOT(ISBLANK(Tabella2[[#This Row],[New deaths]]))</f>
        <v>61.427044058946052</v>
      </c>
      <c r="AC20" s="10">
        <f>Tabella2[[#This Row],[New_Deaths_fit]]+CIt</f>
        <v>206.73116928677936</v>
      </c>
      <c r="AD20" s="10">
        <f>MAX(Tabella2[[#This Row],[New_Deaths_fit]]-CIt,0)</f>
        <v>0</v>
      </c>
      <c r="AE20" s="1"/>
      <c r="AF20" s="79" t="s">
        <v>108</v>
      </c>
      <c r="AG20" s="80">
        <f>kr</f>
        <v>498472.33766460518</v>
      </c>
      <c r="AT20" s="133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kn*t0n*_xlfn.GAMMA.DIST(Tabella2[[#This Row],[Day]]/t0n,wn+1,1,1)*_xlfn.GAMMA(wn+1)</f>
        <v>5644.5613464907883</v>
      </c>
      <c r="H21" s="10">
        <f>kn*((Tabella2[[#This Row],[Day]]/t0n)^wn)*EXP(-(Tabella2[[#This Row],[Day]]/t0n))</f>
        <v>1663.1423649716255</v>
      </c>
      <c r="I21" s="56">
        <f>Tabella2[[#This Row],[New_cases_fit]]*NOT(ISBLANK(Tabella2[[#This Row],[New cases]]))</f>
        <v>1663.1423649716255</v>
      </c>
      <c r="J21" s="10">
        <f>Tabella2[[#This Row],[New_cases_fit]]+CIn</f>
        <v>2883.403941107209</v>
      </c>
      <c r="K21" s="10">
        <f>MAX(Tabella2[[#This Row],[New_cases_fit]]-CIn,0)</f>
        <v>442.8807888360418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1390.2954632841397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kd*t0d*_xlfn.GAMMA.DIST(Tabella2[[#This Row],[Day]]/t0d,wd+1,1,1)*_xlfn.GAMMA(wd+1)</f>
        <v>859.75074882848457</v>
      </c>
      <c r="S21" s="10">
        <f>kd*((Tabella2[[#This Row],[Day]]/t0d)^wd)*EXP(-(Tabella2[[#This Row],[Day]]/t0d))</f>
        <v>187.12110796753612</v>
      </c>
      <c r="T21" s="60">
        <f>Tabella2[[#This Row],[New_Recovered_fit]]*NOT(ISBLANK(Tabella2[[#This Row],[New recovered]]))</f>
        <v>187.12110796753612</v>
      </c>
      <c r="U21" s="10">
        <f>Tabella2[[#This Row],[New_Recovered_fit]]+CId</f>
        <v>744.39185820785622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5">
        <f>Tabella2[[#This Row],[New deaths]]*NOT(ISBLANK(Tabella2[[#This Row],[New deaths]]))</f>
        <v>133</v>
      </c>
      <c r="Z21" s="50">
        <f>kt*t0t*_xlfn.GAMMA.DIST(Tabella2[[#This Row],[Day]]/t0t,wt+1,1,1)*_xlfn.GAMMA(wt+1)</f>
        <v>204.51324838514489</v>
      </c>
      <c r="AA21" s="10">
        <f>kt*((Tabella2[[#This Row],[Day]]/t0t)^wt)*EXP(-(Tabella2[[#This Row],[Day]]/t0t))</f>
        <v>85.725793719949607</v>
      </c>
      <c r="AB21" s="65">
        <f>Tabella2[[#This Row],[New_Deaths_fit]]*NOT(ISBLANK(Tabella2[[#This Row],[New deaths]]))</f>
        <v>85.725793719949607</v>
      </c>
      <c r="AC21" s="10">
        <f>Tabella2[[#This Row],[New_Deaths_fit]]+CIt</f>
        <v>231.0299189477829</v>
      </c>
      <c r="AD21" s="10">
        <f>MAX(Tabella2[[#This Row],[New_Deaths_fit]]-CIt,0)</f>
        <v>0</v>
      </c>
      <c r="AE21" s="1"/>
      <c r="AF21" s="79" t="s">
        <v>100</v>
      </c>
      <c r="AG21" s="80">
        <f>t0r</f>
        <v>939.1841107455665</v>
      </c>
      <c r="AT21" s="133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kn*t0n*_xlfn.GAMMA.DIST(Tabella2[[#This Row],[Day]]/t0n,wn+1,1,1)*_xlfn.GAMMA(wn+1)</f>
        <v>7467.6508972314678</v>
      </c>
      <c r="H22" s="10">
        <f>kn*((Tabella2[[#This Row],[Day]]/t0n)^wn)*EXP(-(Tabella2[[#This Row],[Day]]/t0n))</f>
        <v>1985.3229768279293</v>
      </c>
      <c r="I22" s="56">
        <f>Tabella2[[#This Row],[New_cases_fit]]*NOT(ISBLANK(Tabella2[[#This Row],[New cases]]))</f>
        <v>1985.3229768279293</v>
      </c>
      <c r="J22" s="10">
        <f>Tabella2[[#This Row],[New_cases_fit]]+CIn</f>
        <v>3205.584552963513</v>
      </c>
      <c r="K22" s="10">
        <f>MAX(Tabella2[[#This Row],[New_cases_fit]]-CIn,0)</f>
        <v>765.06140069234561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1656.0976837454882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kd*t0d*_xlfn.GAMMA.DIST(Tabella2[[#This Row],[Day]]/t0d,wd+1,1,1)*_xlfn.GAMMA(wd+1)</f>
        <v>1060.2865352455403</v>
      </c>
      <c r="S22" s="10">
        <f>kd*((Tabella2[[#This Row],[Day]]/t0d)^wd)*EXP(-(Tabella2[[#This Row],[Day]]/t0d))</f>
        <v>214.22397956257677</v>
      </c>
      <c r="T22" s="60">
        <f>Tabella2[[#This Row],[New_Recovered_fit]]*NOT(ISBLANK(Tabella2[[#This Row],[New recovered]]))</f>
        <v>214.22397956257677</v>
      </c>
      <c r="U22" s="10">
        <f>Tabella2[[#This Row],[New_Recovered_fit]]+CId</f>
        <v>771.49472980289693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5">
        <f>Tabella2[[#This Row],[New deaths]]*NOT(ISBLANK(Tabella2[[#This Row],[New deaths]]))</f>
        <v>97</v>
      </c>
      <c r="Z22" s="50">
        <f>kt*t0t*_xlfn.GAMMA.DIST(Tabella2[[#This Row],[Day]]/t0t,wt+1,1,1)*_xlfn.GAMMA(wt+1)</f>
        <v>304.46460741422607</v>
      </c>
      <c r="AA22" s="10">
        <f>kt*((Tabella2[[#This Row],[Day]]/t0t)^wt)*EXP(-(Tabella2[[#This Row],[Day]]/t0t))</f>
        <v>115.00131351986445</v>
      </c>
      <c r="AB22" s="65">
        <f>Tabella2[[#This Row],[New_Deaths_fit]]*NOT(ISBLANK(Tabella2[[#This Row],[New deaths]]))</f>
        <v>115.00131351986445</v>
      </c>
      <c r="AC22" s="10">
        <f>Tabella2[[#This Row],[New_Deaths_fit]]+CIt</f>
        <v>260.30543874769774</v>
      </c>
      <c r="AD22" s="10">
        <f>MAX(Tabella2[[#This Row],[New_Deaths_fit]]-CIt,0)</f>
        <v>0</v>
      </c>
      <c r="AE22" s="1"/>
      <c r="AF22" s="79" t="s">
        <v>1</v>
      </c>
      <c r="AG22" s="80">
        <f>wr</f>
        <v>1.8396241015764074</v>
      </c>
      <c r="AT22" s="133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kn*t0n*_xlfn.GAMMA.DIST(Tabella2[[#This Row],[Day]]/t0n,wn+1,1,1)*_xlfn.GAMMA(wn+1)</f>
        <v>9618.6959608471316</v>
      </c>
      <c r="H23" s="10">
        <f>kn*((Tabella2[[#This Row],[Day]]/t0n)^wn)*EXP(-(Tabella2[[#This Row],[Day]]/t0n))</f>
        <v>2317.9693366893043</v>
      </c>
      <c r="I23" s="56">
        <f>Tabella2[[#This Row],[New_cases_fit]]*NOT(ISBLANK(Tabella2[[#This Row],[New cases]]))</f>
        <v>2317.9693366893043</v>
      </c>
      <c r="J23" s="10">
        <f>Tabella2[[#This Row],[New_cases_fit]]+CIn</f>
        <v>3538.230912824888</v>
      </c>
      <c r="K23" s="10">
        <f>MAX(Tabella2[[#This Row],[New_cases_fit]]-CIn,0)</f>
        <v>1097.7077605537206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1925.9049622234838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kd*t0d*_xlfn.GAMMA.DIST(Tabella2[[#This Row],[Day]]/t0d,wd+1,1,1)*_xlfn.GAMMA(wd+1)</f>
        <v>1288.7415718103616</v>
      </c>
      <c r="S23" s="10">
        <f>kd*((Tabella2[[#This Row],[Day]]/t0d)^wd)*EXP(-(Tabella2[[#This Row],[Day]]/t0d))</f>
        <v>242.95549937312268</v>
      </c>
      <c r="T23" s="60">
        <f>Tabella2[[#This Row],[New_Recovered_fit]]*NOT(ISBLANK(Tabella2[[#This Row],[New recovered]]))</f>
        <v>242.95549937312268</v>
      </c>
      <c r="U23" s="10">
        <f>Tabella2[[#This Row],[New_Recovered_fit]]+CId</f>
        <v>800.22624961344286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5">
        <f>Tabella2[[#This Row],[New deaths]]*NOT(ISBLANK(Tabella2[[#This Row],[New deaths]]))</f>
        <v>168</v>
      </c>
      <c r="Z23" s="50">
        <f>kt*t0t*_xlfn.GAMMA.DIST(Tabella2[[#This Row],[Day]]/t0t,wt+1,1,1)*_xlfn.GAMMA(wt+1)</f>
        <v>436.1290315539116</v>
      </c>
      <c r="AA23" s="10">
        <f>kt*((Tabella2[[#This Row],[Day]]/t0t)^wt)*EXP(-(Tabella2[[#This Row],[Day]]/t0t))</f>
        <v>149.10887509269799</v>
      </c>
      <c r="AB23" s="65">
        <f>Tabella2[[#This Row],[New_Deaths_fit]]*NOT(ISBLANK(Tabella2[[#This Row],[New deaths]]))</f>
        <v>149.10887509269799</v>
      </c>
      <c r="AC23" s="10">
        <f>Tabella2[[#This Row],[New_Deaths_fit]]+CIt</f>
        <v>294.4130003205313</v>
      </c>
      <c r="AD23" s="10">
        <f>MAX(Tabella2[[#This Row],[New_Deaths_fit]]-CIt,0)</f>
        <v>3.8047498648646751</v>
      </c>
      <c r="AE23" s="1"/>
      <c r="AF23" s="81" t="s">
        <v>2</v>
      </c>
      <c r="AG23" s="82">
        <f>AVERAGE(Tabella2[New recovered])</f>
        <v>723.14285714285711</v>
      </c>
      <c r="AT23" s="134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kn*t0n*_xlfn.GAMMA.DIST(Tabella2[[#This Row],[Day]]/t0n,wn+1,1,1)*_xlfn.GAMMA(wn+1)</f>
        <v>12104.921655382574</v>
      </c>
      <c r="H24" s="10">
        <f>kn*((Tabella2[[#This Row],[Day]]/t0n)^wn)*EXP(-(Tabella2[[#This Row],[Day]]/t0n))</f>
        <v>2654.6198135266723</v>
      </c>
      <c r="I24" s="56">
        <f>Tabella2[[#This Row],[New_cases_fit]]*NOT(ISBLANK(Tabella2[[#This Row],[New cases]]))</f>
        <v>2654.6198135266723</v>
      </c>
      <c r="J24" s="10">
        <f>Tabella2[[#This Row],[New_cases_fit]]+CIn</f>
        <v>3874.881389662256</v>
      </c>
      <c r="K24" s="10">
        <f>MAX(Tabella2[[#This Row],[New_cases_fit]]-CIn,0)</f>
        <v>1434.3582373910886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2193.6453166027754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kd*t0d*_xlfn.GAMMA.DIST(Tabella2[[#This Row],[Day]]/t0d,wd+1,1,1)*_xlfn.GAMMA(wd+1)</f>
        <v>1546.7324512254772</v>
      </c>
      <c r="S24" s="10">
        <f>kd*((Tabella2[[#This Row],[Day]]/t0d)^wd)*EXP(-(Tabella2[[#This Row],[Day]]/t0d))</f>
        <v>273.29181984082834</v>
      </c>
      <c r="T24" s="60">
        <f>Tabella2[[#This Row],[New_Recovered_fit]]*NOT(ISBLANK(Tabella2[[#This Row],[New recovered]]))</f>
        <v>273.29181984082834</v>
      </c>
      <c r="U24" s="10">
        <f>Tabella2[[#This Row],[New_Recovered_fit]]+CId</f>
        <v>830.56257008114846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5">
        <f>Tabella2[[#This Row],[New deaths]]*NOT(ISBLANK(Tabella2[[#This Row],[New deaths]]))</f>
        <v>196</v>
      </c>
      <c r="Z24" s="50">
        <f>kt*t0t*_xlfn.GAMMA.DIST(Tabella2[[#This Row],[Day]]/t0t,wt+1,1,1)*_xlfn.GAMMA(wt+1)</f>
        <v>604.17331952961706</v>
      </c>
      <c r="AA24" s="10">
        <f>kt*((Tabella2[[#This Row],[Day]]/t0t)^wt)*EXP(-(Tabella2[[#This Row],[Day]]/t0t))</f>
        <v>187.68267708306851</v>
      </c>
      <c r="AB24" s="65">
        <f>Tabella2[[#This Row],[New_Deaths_fit]]*NOT(ISBLANK(Tabella2[[#This Row],[New deaths]]))</f>
        <v>187.68267708306851</v>
      </c>
      <c r="AC24" s="10">
        <f>Tabella2[[#This Row],[New_Deaths_fit]]+CIt</f>
        <v>332.98680231090179</v>
      </c>
      <c r="AD24" s="10">
        <f>MAX(Tabella2[[#This Row],[New_Deaths_fit]]-CIt,0)</f>
        <v>42.378551855235202</v>
      </c>
      <c r="AE24" s="1"/>
      <c r="AF24" s="81" t="s">
        <v>3</v>
      </c>
      <c r="AG24" s="82">
        <f>COUNT(Tabella2[New recovered])-COUNT(AG20:AG22)</f>
        <v>46</v>
      </c>
      <c r="AT24" s="113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kn*t0n*_xlfn.GAMMA.DIST(Tabella2[[#This Row],[Day]]/t0n,wn+1,1,1)*_xlfn.GAMMA(wn+1)</f>
        <v>14927.188236478683</v>
      </c>
      <c r="H25" s="10">
        <f>kn*((Tabella2[[#This Row],[Day]]/t0n)^wn)*EXP(-(Tabella2[[#This Row],[Day]]/t0n))</f>
        <v>2989.0424660406079</v>
      </c>
      <c r="I25" s="56">
        <f>Tabella2[[#This Row],[New_cases_fit]]*NOT(ISBLANK(Tabella2[[#This Row],[New cases]]))</f>
        <v>2989.0424660406079</v>
      </c>
      <c r="J25" s="10">
        <f>Tabella2[[#This Row],[New_cases_fit]]+CIn</f>
        <v>4209.3040421761916</v>
      </c>
      <c r="K25" s="10">
        <f>MAX(Tabella2[[#This Row],[New_cases_fit]]-CIn,0)</f>
        <v>1768.7808899050242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2453.6730738228525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kd*t0d*_xlfn.GAMMA.DIST(Tabella2[[#This Row],[Day]]/t0d,wd+1,1,1)*_xlfn.GAMMA(wd+1)</f>
        <v>1835.8526729062066</v>
      </c>
      <c r="S25" s="10">
        <f>kd*((Tabella2[[#This Row],[Day]]/t0d)^wd)*EXP(-(Tabella2[[#This Row],[Day]]/t0d))</f>
        <v>305.21056727442567</v>
      </c>
      <c r="T25" s="60">
        <f>Tabella2[[#This Row],[New_Recovered_fit]]*NOT(ISBLANK(Tabella2[[#This Row],[New recovered]]))</f>
        <v>305.21056727442567</v>
      </c>
      <c r="U25" s="10">
        <f>Tabella2[[#This Row],[New_Recovered_fit]]+CId</f>
        <v>862.4813175147458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5">
        <f>Tabella2[[#This Row],[New deaths]]*NOT(ISBLANK(Tabella2[[#This Row],[New deaths]]))</f>
        <v>189</v>
      </c>
      <c r="Z25" s="50">
        <f>kt*t0t*_xlfn.GAMMA.DIST(Tabella2[[#This Row],[Day]]/t0t,wt+1,1,1)*_xlfn.GAMMA(wt+1)</f>
        <v>812.79700408447763</v>
      </c>
      <c r="AA25" s="10">
        <f>kt*((Tabella2[[#This Row],[Day]]/t0t)^wt)*EXP(-(Tabella2[[#This Row],[Day]]/t0t))</f>
        <v>230.15882494332973</v>
      </c>
      <c r="AB25" s="65">
        <f>Tabella2[[#This Row],[New_Deaths_fit]]*NOT(ISBLANK(Tabella2[[#This Row],[New deaths]]))</f>
        <v>230.15882494332973</v>
      </c>
      <c r="AC25" s="10">
        <f>Tabella2[[#This Row],[New_Deaths_fit]]+CIt</f>
        <v>375.46295017116302</v>
      </c>
      <c r="AD25" s="10">
        <f>MAX(Tabella2[[#This Row],[New_Deaths_fit]]-CIt,0)</f>
        <v>84.854699715496423</v>
      </c>
      <c r="AE25" s="1"/>
      <c r="AF25" s="81" t="s">
        <v>4</v>
      </c>
      <c r="AG25" s="83" cm="1">
        <f t="array" ref="AG25">SQRT(SUM((Tabella2[Colonna3]-Tabella2[Colonna4])^2)/dfd)</f>
        <v>276.85029990600418</v>
      </c>
      <c r="AT25" s="114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kn*t0n*_xlfn.GAMMA.DIST(Tabella2[[#This Row],[Day]]/t0n,wn+1,1,1)*_xlfn.GAMMA(wn+1)</f>
        <v>18080.320674496241</v>
      </c>
      <c r="H26" s="10">
        <f>kn*((Tabella2[[#This Row],[Day]]/t0n)^wn)*EXP(-(Tabella2[[#This Row],[Day]]/t0n))</f>
        <v>3315.4263179687323</v>
      </c>
      <c r="I26" s="56">
        <f>Tabella2[[#This Row],[New_cases_fit]]*NOT(ISBLANK(Tabella2[[#This Row],[New cases]]))</f>
        <v>3315.4263179687323</v>
      </c>
      <c r="J26" s="10">
        <f>Tabella2[[#This Row],[New_cases_fit]]+CIn</f>
        <v>4535.687894104316</v>
      </c>
      <c r="K26" s="10">
        <f>MAX(Tabella2[[#This Row],[New_cases_fit]]-CIn,0)</f>
        <v>2095.1647418331486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2700.9267212159439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kd*t0d*_xlfn.GAMMA.DIST(Tabella2[[#This Row],[Day]]/t0d,wd+1,1,1)*_xlfn.GAMMA(wd+1)</f>
        <v>2157.6740195524776</v>
      </c>
      <c r="S26" s="10">
        <f>kd*((Tabella2[[#This Row],[Day]]/t0d)^wd)*EXP(-(Tabella2[[#This Row],[Day]]/t0d))</f>
        <v>338.69065364597901</v>
      </c>
      <c r="T26" s="60">
        <f>Tabella2[[#This Row],[New_Recovered_fit]]*NOT(ISBLANK(Tabella2[[#This Row],[New recovered]]))</f>
        <v>338.69065364597901</v>
      </c>
      <c r="U26" s="10">
        <f>Tabella2[[#This Row],[New_Recovered_fit]]+CId</f>
        <v>895.96140388629919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5">
        <f>Tabella2[[#This Row],[New deaths]]*NOT(ISBLANK(Tabella2[[#This Row],[New deaths]]))</f>
        <v>250</v>
      </c>
      <c r="Z26" s="50">
        <f>kt*t0t*_xlfn.GAMMA.DIST(Tabella2[[#This Row],[Day]]/t0t,wt+1,1,1)*_xlfn.GAMMA(wt+1)</f>
        <v>1065.5503428413692</v>
      </c>
      <c r="AA26" s="10">
        <f>kt*((Tabella2[[#This Row],[Day]]/t0t)^wt)*EXP(-(Tabella2[[#This Row],[Day]]/t0t))</f>
        <v>275.80894310680929</v>
      </c>
      <c r="AB26" s="65">
        <f>Tabella2[[#This Row],[New_Deaths_fit]]*NOT(ISBLANK(Tabella2[[#This Row],[New deaths]]))</f>
        <v>275.80894310680929</v>
      </c>
      <c r="AC26" s="10">
        <f>Tabella2[[#This Row],[New_Deaths_fit]]+CIt</f>
        <v>421.11306833464261</v>
      </c>
      <c r="AD26" s="10">
        <f>MAX(Tabella2[[#This Row],[New_Deaths_fit]]-CIt,0)</f>
        <v>130.50481787897598</v>
      </c>
      <c r="AE26" s="1"/>
      <c r="AF26" s="81" t="s">
        <v>101</v>
      </c>
      <c r="AG26" s="84" cm="1">
        <f t="array" ref="AG26">1-SUM((Tabella2[Colonna3]-Tabella2[Colonna4])^2)/SUM((Tabella2[Colonna3]-Mean_of_yd)^2)</f>
        <v>0.8898591740730819</v>
      </c>
      <c r="AT26" s="114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kn*t0n*_xlfn.GAMMA.DIST(Tabella2[[#This Row],[Day]]/t0n,wn+1,1,1)*_xlfn.GAMMA(wn+1)</f>
        <v>21553.604478829315</v>
      </c>
      <c r="H27" s="10">
        <f>kn*((Tabella2[[#This Row],[Day]]/t0n)^wn)*EXP(-(Tabella2[[#This Row],[Day]]/t0n))</f>
        <v>3628.5231184481031</v>
      </c>
      <c r="I27" s="56">
        <f>Tabella2[[#This Row],[New_cases_fit]]*NOT(ISBLANK(Tabella2[[#This Row],[New cases]]))</f>
        <v>3628.5231184481031</v>
      </c>
      <c r="J27" s="10">
        <f>Tabella2[[#This Row],[New_cases_fit]]+CIn</f>
        <v>4848.7846945836864</v>
      </c>
      <c r="K27" s="10">
        <f>MAX(Tabella2[[#This Row],[New_cases_fit]]-CIn,0)</f>
        <v>2408.2615423125194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2931.0304851633041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kd*t0d*_xlfn.GAMMA.DIST(Tabella2[[#This Row],[Day]]/t0d,wd+1,1,1)*_xlfn.GAMMA(wd+1)</f>
        <v>2513.7477631139136</v>
      </c>
      <c r="S27" s="10">
        <f>kd*((Tabella2[[#This Row],[Day]]/t0d)^wd)*EXP(-(Tabella2[[#This Row],[Day]]/t0d))</f>
        <v>373.71212211305919</v>
      </c>
      <c r="T27" s="60">
        <f>Tabella2[[#This Row],[New_Recovered_fit]]*NOT(ISBLANK(Tabella2[[#This Row],[New recovered]]))</f>
        <v>373.71212211305919</v>
      </c>
      <c r="U27" s="10">
        <f>Tabella2[[#This Row],[New_Recovered_fit]]+CId</f>
        <v>930.98287235337932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5">
        <f>Tabella2[[#This Row],[New deaths]]*NOT(ISBLANK(Tabella2[[#This Row],[New deaths]]))</f>
        <v>175</v>
      </c>
      <c r="Z27" s="50">
        <f>kt*t0t*_xlfn.GAMMA.DIST(Tabella2[[#This Row],[Day]]/t0t,wt+1,1,1)*_xlfn.GAMMA(wt+1)</f>
        <v>1365.189603904184</v>
      </c>
      <c r="AA27" s="10">
        <f>kt*((Tabella2[[#This Row],[Day]]/t0t)^wt)*EXP(-(Tabella2[[#This Row],[Day]]/t0t))</f>
        <v>323.78051117173976</v>
      </c>
      <c r="AB27" s="65">
        <f>Tabella2[[#This Row],[New_Deaths_fit]]*NOT(ISBLANK(Tabella2[[#This Row],[New deaths]]))</f>
        <v>323.78051117173976</v>
      </c>
      <c r="AC27" s="10">
        <f>Tabella2[[#This Row],[New_Deaths_fit]]+CIt</f>
        <v>469.08463639957307</v>
      </c>
      <c r="AD27" s="10">
        <f>MAX(Tabella2[[#This Row],[New_Deaths_fit]]-CIt,0)</f>
        <v>178.47638594390645</v>
      </c>
      <c r="AE27" s="1"/>
      <c r="AF27" s="81" t="s">
        <v>6</v>
      </c>
      <c r="AG27" s="84">
        <f>TINV(0.05,dfd)</f>
        <v>2.0128955989194299</v>
      </c>
      <c r="AT27" s="115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kn*t0n*_xlfn.GAMMA.DIST(Tabella2[[#This Row],[Day]]/t0n,wn+1,1,1)*_xlfn.GAMMA(wn+1)</f>
        <v>25331.400185332339</v>
      </c>
      <c r="H28" s="10">
        <f>kn*((Tabella2[[#This Row],[Day]]/t0n)^wn)*EXP(-(Tabella2[[#This Row],[Day]]/t0n))</f>
        <v>3923.7437261026857</v>
      </c>
      <c r="I28" s="56">
        <f>Tabella2[[#This Row],[New_cases_fit]]*NOT(ISBLANK(Tabella2[[#This Row],[New cases]]))</f>
        <v>3923.7437261026857</v>
      </c>
      <c r="J28" s="10">
        <f>Tabella2[[#This Row],[New_cases_fit]]+CIn</f>
        <v>5144.005302238269</v>
      </c>
      <c r="K28" s="10">
        <f>MAX(Tabella2[[#This Row],[New_cases_fit]]-CIn,0)</f>
        <v>2703.482149967102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3140.3474527151066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kd*t0d*_xlfn.GAMMA.DIST(Tabella2[[#This Row],[Day]]/t0d,wd+1,1,1)*_xlfn.GAMMA(wd+1)</f>
        <v>2905.6057298970891</v>
      </c>
      <c r="S28" s="10">
        <f>kd*((Tabella2[[#This Row],[Day]]/t0d)^wd)*EXP(-(Tabella2[[#This Row],[Day]]/t0d))</f>
        <v>410.2560187102053</v>
      </c>
      <c r="T28" s="60">
        <f>Tabella2[[#This Row],[New_Recovered_fit]]*NOT(ISBLANK(Tabella2[[#This Row],[New recovered]]))</f>
        <v>410.2560187102053</v>
      </c>
      <c r="U28" s="10">
        <f>Tabella2[[#This Row],[New_Recovered_fit]]+CId</f>
        <v>967.52676895052537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5">
        <f>Tabella2[[#This Row],[New deaths]]*NOT(ISBLANK(Tabella2[[#This Row],[New deaths]]))</f>
        <v>368</v>
      </c>
      <c r="Z28" s="50">
        <f>kt*t0t*_xlfn.GAMMA.DIST(Tabella2[[#This Row],[Day]]/t0t,wt+1,1,1)*_xlfn.GAMMA(wt+1)</f>
        <v>1713.574503183816</v>
      </c>
      <c r="AA28" s="10">
        <f>kt*((Tabella2[[#This Row],[Day]]/t0t)^wt)*EXP(-(Tabella2[[#This Row],[Day]]/t0t))</f>
        <v>373.14025467737366</v>
      </c>
      <c r="AB28" s="65">
        <f>Tabella2[[#This Row],[New_Deaths_fit]]*NOT(ISBLANK(Tabella2[[#This Row],[New deaths]]))</f>
        <v>373.14025467737366</v>
      </c>
      <c r="AC28" s="10">
        <f>Tabella2[[#This Row],[New_Deaths_fit]]+CIt</f>
        <v>518.44437990520692</v>
      </c>
      <c r="AD28" s="10">
        <f>MAX(Tabella2[[#This Row],[New_Deaths_fit]]-CIt,0)</f>
        <v>227.83612944954035</v>
      </c>
      <c r="AE28" s="1"/>
      <c r="AF28" s="81" t="s">
        <v>7</v>
      </c>
      <c r="AG28" s="82">
        <f>Critical_td*SE_of_yd</f>
        <v>557.27075024032013</v>
      </c>
      <c r="AT28" s="96">
        <f>MAX($AG$38)</f>
        <v>0.97116808659904663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kn*t0n*_xlfn.GAMMA.DIST(Tabella2[[#This Row],[Day]]/t0n,wn+1,1,1)*_xlfn.GAMMA(wn+1)</f>
        <v>29393.833754034298</v>
      </c>
      <c r="H29" s="10">
        <f>kn*((Tabella2[[#This Row],[Day]]/t0n)^wn)*EXP(-(Tabella2[[#This Row],[Day]]/t0n))</f>
        <v>4197.2145102232498</v>
      </c>
      <c r="I29" s="56">
        <f>Tabella2[[#This Row],[New_cases_fit]]*NOT(ISBLANK(Tabella2[[#This Row],[New cases]]))</f>
        <v>4197.2145102232498</v>
      </c>
      <c r="J29" s="10">
        <f>Tabella2[[#This Row],[New_cases_fit]]+CIn</f>
        <v>5417.4760863588335</v>
      </c>
      <c r="K29" s="10">
        <f>MAX(Tabella2[[#This Row],[New_cases_fit]]-CIn,0)</f>
        <v>2976.9529340876661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3325.9928143485181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kd*t0d*_xlfn.GAMMA.DIST(Tabella2[[#This Row],[Day]]/t0d,wd+1,1,1)*_xlfn.GAMMA(wd+1)</f>
        <v>3334.7612480665989</v>
      </c>
      <c r="S29" s="10">
        <f>kd*((Tabella2[[#This Row],[Day]]/t0d)^wd)*EXP(-(Tabella2[[#This Row],[Day]]/t0d))</f>
        <v>448.3042846493662</v>
      </c>
      <c r="T29" s="60">
        <f>Tabella2[[#This Row],[New_Recovered_fit]]*NOT(ISBLANK(Tabella2[[#This Row],[New recovered]]))</f>
        <v>448.3042846493662</v>
      </c>
      <c r="U29" s="10">
        <f>Tabella2[[#This Row],[New_Recovered_fit]]+CId</f>
        <v>1005.5750348896863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5">
        <f>Tabella2[[#This Row],[New deaths]]*NOT(ISBLANK(Tabella2[[#This Row],[New deaths]]))</f>
        <v>349</v>
      </c>
      <c r="Z29" s="50">
        <f>kt*t0t*_xlfn.GAMMA.DIST(Tabella2[[#This Row],[Day]]/t0t,wt+1,1,1)*_xlfn.GAMMA(wt+1)</f>
        <v>2111.6092103268288</v>
      </c>
      <c r="AA29" s="10">
        <f>kt*((Tabella2[[#This Row],[Day]]/t0t)^wt)*EXP(-(Tabella2[[#This Row],[Day]]/t0t))</f>
        <v>422.91741122536547</v>
      </c>
      <c r="AB29" s="65">
        <f>Tabella2[[#This Row],[New_Deaths_fit]]*NOT(ISBLANK(Tabella2[[#This Row],[New deaths]]))</f>
        <v>422.91741122536547</v>
      </c>
      <c r="AC29" s="10">
        <f>Tabella2[[#This Row],[New_Deaths_fit]]+CIt</f>
        <v>568.22153645319872</v>
      </c>
      <c r="AD29" s="10">
        <f>MAX(Tabella2[[#This Row],[New_Deaths_fit]]-CIt,0)</f>
        <v>277.61328599753216</v>
      </c>
      <c r="AE29" s="1"/>
      <c r="AF29" s="85" t="s">
        <v>69</v>
      </c>
      <c r="AG29" s="82">
        <f>kd*(wd^wd)*EXP(-wd)</f>
        <v>243054.95668854893</v>
      </c>
      <c r="AT29" s="97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kn*t0n*_xlfn.GAMMA.DIST(Tabella2[[#This Row],[Day]]/t0n,wn+1,1,1)*_xlfn.GAMMA(wn+1)</f>
        <v>33717.525855455606</v>
      </c>
      <c r="H30" s="10">
        <f>kn*((Tabella2[[#This Row],[Day]]/t0n)^wn)*EXP(-(Tabella2[[#This Row],[Day]]/t0n))</f>
        <v>4445.7997426347474</v>
      </c>
      <c r="I30" s="56">
        <f>Tabella2[[#This Row],[New_cases_fit]]*NOT(ISBLANK(Tabella2[[#This Row],[New cases]]))</f>
        <v>4445.7997426347474</v>
      </c>
      <c r="J30" s="10">
        <f>Tabella2[[#This Row],[New_cases_fit]]+CIn</f>
        <v>5666.0613187703311</v>
      </c>
      <c r="K30" s="10">
        <f>MAX(Tabella2[[#This Row],[New_cases_fit]]-CIn,0)</f>
        <v>3225.5381664991637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3485.8157588946815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kd*t0d*_xlfn.GAMMA.DIST(Tabella2[[#This Row],[Day]]/t0d,wd+1,1,1)*_xlfn.GAMMA(wd+1)</f>
        <v>3802.7099959696893</v>
      </c>
      <c r="S30" s="10">
        <f>kd*((Tabella2[[#This Row],[Day]]/t0d)^wd)*EXP(-(Tabella2[[#This Row],[Day]]/t0d))</f>
        <v>487.83966506572091</v>
      </c>
      <c r="T30" s="60">
        <f>Tabella2[[#This Row],[New_Recovered_fit]]*NOT(ISBLANK(Tabella2[[#This Row],[New recovered]]))</f>
        <v>487.83966506572091</v>
      </c>
      <c r="U30" s="10">
        <f>Tabella2[[#This Row],[New_Recovered_fit]]+CId</f>
        <v>1045.110415306041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5">
        <f>Tabella2[[#This Row],[New deaths]]*NOT(ISBLANK(Tabella2[[#This Row],[New deaths]]))</f>
        <v>345</v>
      </c>
      <c r="Z30" s="50">
        <f>kt*t0t*_xlfn.GAMMA.DIST(Tabella2[[#This Row],[Day]]/t0t,wt+1,1,1)*_xlfn.GAMMA(wt+1)</f>
        <v>2559.225466730119</v>
      </c>
      <c r="AA30" s="10">
        <f>kt*((Tabella2[[#This Row],[Day]]/t0t)^wt)*EXP(-(Tabella2[[#This Row],[Day]]/t0t))</f>
        <v>472.14431867434485</v>
      </c>
      <c r="AB30" s="65">
        <f>Tabella2[[#This Row],[New_Deaths_fit]]*NOT(ISBLANK(Tabella2[[#This Row],[New deaths]]))</f>
        <v>472.14431867434485</v>
      </c>
      <c r="AC30" s="10">
        <f>Tabella2[[#This Row],[New_Deaths_fit]]+CIt</f>
        <v>617.44844390217816</v>
      </c>
      <c r="AD30" s="10">
        <f>MAX(Tabella2[[#This Row],[New_Deaths_fit]]-CIt,0)</f>
        <v>326.84019344651153</v>
      </c>
      <c r="AE30" s="1"/>
      <c r="AF30" s="85" t="s">
        <v>70</v>
      </c>
      <c r="AG30" s="86" t="e">
        <f>_xlfn.XLOOKUP(ROUND(wd*t0d,0),Tabella2[Day],Tabella2[Date])</f>
        <v>#N/A</v>
      </c>
      <c r="AT30" s="97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kn*t0n*_xlfn.GAMMA.DIST(Tabella2[[#This Row],[Day]]/t0n,wn+1,1,1)*_xlfn.GAMMA(wn+1)</f>
        <v>38276.329078842056</v>
      </c>
      <c r="H31" s="10">
        <f>kn*((Tabella2[[#This Row],[Day]]/t0n)^wn)*EXP(-(Tabella2[[#This Row],[Day]]/t0n))</f>
        <v>4667.096049636838</v>
      </c>
      <c r="I31" s="56">
        <f>Tabella2[[#This Row],[New_cases_fit]]*NOT(ISBLANK(Tabella2[[#This Row],[New cases]]))</f>
        <v>4667.096049636838</v>
      </c>
      <c r="J31" s="10">
        <f>Tabella2[[#This Row],[New_cases_fit]]+CIn</f>
        <v>5887.3576257724217</v>
      </c>
      <c r="K31" s="10">
        <f>MAX(Tabella2[[#This Row],[New_cases_fit]]-CIn,0)</f>
        <v>3446.8344735012543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3618.3579757919688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kd*t0d*_xlfn.GAMMA.DIST(Tabella2[[#This Row],[Day]]/t0d,wd+1,1,1)*_xlfn.GAMMA(wd+1)</f>
        <v>4310.930766076367</v>
      </c>
      <c r="S31" s="10">
        <f>kd*((Tabella2[[#This Row],[Day]]/t0d)^wd)*EXP(-(Tabella2[[#This Row],[Day]]/t0d))</f>
        <v>528.84563104213998</v>
      </c>
      <c r="T31" s="60">
        <f>Tabella2[[#This Row],[New_Recovered_fit]]*NOT(ISBLANK(Tabella2[[#This Row],[New recovered]]))</f>
        <v>528.84563104213998</v>
      </c>
      <c r="U31" s="10">
        <f>Tabella2[[#This Row],[New_Recovered_fit]]+CId</f>
        <v>1086.1163812824602</v>
      </c>
      <c r="V31" s="10">
        <f>MAX(Tabella2[[#This Row],[New_Recovered_fit]]-CId,0)</f>
        <v>0</v>
      </c>
      <c r="W31" s="10">
        <f>'dpc-covid19-ita-andamento-naz'!K25</f>
        <v>2978</v>
      </c>
      <c r="X31" s="26">
        <f>Tabella2[[#This Row],[Cum_deaths]]-W30</f>
        <v>475</v>
      </c>
      <c r="Y31" s="65">
        <f>Tabella2[[#This Row],[New deaths]]*NOT(ISBLANK(Tabella2[[#This Row],[New deaths]]))</f>
        <v>475</v>
      </c>
      <c r="Z31" s="50">
        <f>kt*t0t*_xlfn.GAMMA.DIST(Tabella2[[#This Row],[Day]]/t0t,wt+1,1,1)*_xlfn.GAMMA(wt+1)</f>
        <v>3055.4041405950684</v>
      </c>
      <c r="AA31" s="10">
        <f>kt*((Tabella2[[#This Row],[Day]]/t0t)^wt)*EXP(-(Tabella2[[#This Row],[Day]]/t0t))</f>
        <v>519.89244280272931</v>
      </c>
      <c r="AB31" s="65">
        <f>Tabella2[[#This Row],[New_Deaths_fit]]*NOT(ISBLANK(Tabella2[[#This Row],[New deaths]]))</f>
        <v>519.89244280272931</v>
      </c>
      <c r="AC31" s="10">
        <f>Tabella2[[#This Row],[New_Deaths_fit]]+CIt</f>
        <v>665.19656803056262</v>
      </c>
      <c r="AD31" s="10">
        <f>MAX(Tabella2[[#This Row],[New_Deaths_fit]]-CIt,0)</f>
        <v>374.588317574896</v>
      </c>
      <c r="AE31" s="1"/>
      <c r="AF31" s="23" t="s">
        <v>53</v>
      </c>
      <c r="AG31" s="69" t="s">
        <v>96</v>
      </c>
      <c r="AT31" s="97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kn*t0n*_xlfn.GAMMA.DIST(Tabella2[[#This Row],[Day]]/t0n,wn+1,1,1)*_xlfn.GAMMA(wn+1)</f>
        <v>43042.048068744916</v>
      </c>
      <c r="H32" s="10">
        <f>kn*((Tabella2[[#This Row],[Day]]/t0n)^wn)*EXP(-(Tabella2[[#This Row],[Day]]/t0n))</f>
        <v>4859.404756100399</v>
      </c>
      <c r="I32" s="56">
        <f>Tabella2[[#This Row],[New_cases_fit]]*NOT(ISBLANK(Tabella2[[#This Row],[New cases]]))</f>
        <v>4859.404756100399</v>
      </c>
      <c r="J32" s="10">
        <f>Tabella2[[#This Row],[New_cases_fit]]+CIn</f>
        <v>6079.6663322359827</v>
      </c>
      <c r="K32" s="10">
        <f>MAX(Tabella2[[#This Row],[New_cases_fit]]-CIn,0)</f>
        <v>3639.1431799648153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3722.7958328617647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kd*t0d*_xlfn.GAMMA.DIST(Tabella2[[#This Row],[Day]]/t0d,wd+1,1,1)*_xlfn.GAMMA(wd+1)</f>
        <v>4860.8861565408424</v>
      </c>
      <c r="S32" s="10">
        <f>kd*((Tabella2[[#This Row],[Day]]/t0d)^wd)*EXP(-(Tabella2[[#This Row],[Day]]/t0d))</f>
        <v>571.3063124698208</v>
      </c>
      <c r="T32" s="60">
        <f>Tabella2[[#This Row],[New_Recovered_fit]]*NOT(ISBLANK(Tabella2[[#This Row],[New recovered]]))</f>
        <v>571.3063124698208</v>
      </c>
      <c r="U32" s="10">
        <f>Tabella2[[#This Row],[New_Recovered_fit]]+CId</f>
        <v>1128.577062710141</v>
      </c>
      <c r="V32" s="10">
        <f>MAX(Tabella2[[#This Row],[New_Recovered_fit]]-CId,0)</f>
        <v>14.03556222950067</v>
      </c>
      <c r="W32" s="10">
        <f>'dpc-covid19-ita-andamento-naz'!K26</f>
        <v>3405</v>
      </c>
      <c r="X32" s="26">
        <f>Tabella2[[#This Row],[Cum_deaths]]-W31</f>
        <v>427</v>
      </c>
      <c r="Y32" s="65">
        <f>Tabella2[[#This Row],[New deaths]]*NOT(ISBLANK(Tabella2[[#This Row],[New deaths]]))</f>
        <v>427</v>
      </c>
      <c r="Z32" s="50">
        <f>kt*t0t*_xlfn.GAMMA.DIST(Tabella2[[#This Row],[Day]]/t0t,wt+1,1,1)*_xlfn.GAMMA(wt+1)</f>
        <v>3598.2299898000206</v>
      </c>
      <c r="AA32" s="10">
        <f>kt*((Tabella2[[#This Row],[Day]]/t0t)^wt)*EXP(-(Tabella2[[#This Row],[Day]]/t0t))</f>
        <v>565.30261076881345</v>
      </c>
      <c r="AB32" s="65">
        <f>Tabella2[[#This Row],[New_Deaths_fit]]*NOT(ISBLANK(Tabella2[[#This Row],[New deaths]]))</f>
        <v>565.30261076881345</v>
      </c>
      <c r="AC32" s="10">
        <f>Tabella2[[#This Row],[New_Deaths_fit]]+CIt</f>
        <v>710.60673599664676</v>
      </c>
      <c r="AD32" s="10">
        <f>MAX(Tabella2[[#This Row],[New_Deaths_fit]]-CIt,0)</f>
        <v>419.99848554098014</v>
      </c>
      <c r="AE32" s="1"/>
      <c r="AF32" s="70" t="s">
        <v>108</v>
      </c>
      <c r="AG32" s="71">
        <f>kh</f>
        <v>2.0075885154267463</v>
      </c>
      <c r="AT32" s="97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kn*t0n*_xlfn.GAMMA.DIST(Tabella2[[#This Row],[Day]]/t0n,wn+1,1,1)*_xlfn.GAMMA(wn+1)</f>
        <v>47985.123215984298</v>
      </c>
      <c r="H33" s="10">
        <f>kn*((Tabella2[[#This Row],[Day]]/t0n)^wn)*EXP(-(Tabella2[[#This Row],[Day]]/t0n))</f>
        <v>5021.6875012318742</v>
      </c>
      <c r="I33" s="56">
        <f>Tabella2[[#This Row],[New_cases_fit]]*NOT(ISBLANK(Tabella2[[#This Row],[New cases]]))</f>
        <v>5021.6875012318742</v>
      </c>
      <c r="J33" s="10">
        <f>Tabella2[[#This Row],[New_cases_fit]]+CIn</f>
        <v>6241.9490773674579</v>
      </c>
      <c r="K33" s="10">
        <f>MAX(Tabella2[[#This Row],[New_cases_fit]]-CIn,0)</f>
        <v>3801.4259250962905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3798.8722615525439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kd*t0d*_xlfn.GAMMA.DIST(Tabella2[[#This Row],[Day]]/t0d,wd+1,1,1)*_xlfn.GAMMA(wd+1)</f>
        <v>5454.0232002284938</v>
      </c>
      <c r="S33" s="10">
        <f>kd*((Tabella2[[#This Row],[Day]]/t0d)^wd)*EXP(-(Tabella2[[#This Row],[Day]]/t0d))</f>
        <v>615.20643983734351</v>
      </c>
      <c r="T33" s="60">
        <f>Tabella2[[#This Row],[New_Recovered_fit]]*NOT(ISBLANK(Tabella2[[#This Row],[New recovered]]))</f>
        <v>615.20643983734351</v>
      </c>
      <c r="U33" s="10">
        <f>Tabella2[[#This Row],[New_Recovered_fit]]+CId</f>
        <v>1172.4771900776636</v>
      </c>
      <c r="V33" s="10">
        <f>MAX(Tabella2[[#This Row],[New_Recovered_fit]]-CId,0)</f>
        <v>57.935689597023384</v>
      </c>
      <c r="W33" s="10">
        <f>'dpc-covid19-ita-andamento-naz'!K27</f>
        <v>4032</v>
      </c>
      <c r="X33" s="26">
        <f>Tabella2[[#This Row],[Cum_deaths]]-W32</f>
        <v>627</v>
      </c>
      <c r="Y33" s="65">
        <f>Tabella2[[#This Row],[New deaths]]*NOT(ISBLANK(Tabella2[[#This Row],[New deaths]]))</f>
        <v>627</v>
      </c>
      <c r="Z33" s="50">
        <f>kt*t0t*_xlfn.GAMMA.DIST(Tabella2[[#This Row],[Day]]/t0t,wt+1,1,1)*_xlfn.GAMMA(wt+1)</f>
        <v>4184.973468064336</v>
      </c>
      <c r="AA33" s="10">
        <f>kt*((Tabella2[[#This Row],[Day]]/t0t)^wt)*EXP(-(Tabella2[[#This Row],[Day]]/t0t))</f>
        <v>607.60879984198721</v>
      </c>
      <c r="AB33" s="65">
        <f>Tabella2[[#This Row],[New_Deaths_fit]]*NOT(ISBLANK(Tabella2[[#This Row],[New deaths]]))</f>
        <v>607.60879984198721</v>
      </c>
      <c r="AC33" s="10">
        <f>Tabella2[[#This Row],[New_Deaths_fit]]+CIt</f>
        <v>752.91292506982052</v>
      </c>
      <c r="AD33" s="10">
        <f>MAX(Tabella2[[#This Row],[New_Deaths_fit]]-CIt,0)</f>
        <v>462.3046746141539</v>
      </c>
      <c r="AE33" s="1"/>
      <c r="AF33" s="70" t="s">
        <v>86</v>
      </c>
      <c r="AG33" s="71">
        <f>t0h</f>
        <v>5.0093968449710848</v>
      </c>
      <c r="AT33" s="98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kn*t0n*_xlfn.GAMMA.DIST(Tabella2[[#This Row],[Day]]/t0n,wn+1,1,1)*_xlfn.GAMMA(wn+1)</f>
        <v>53075.263626824664</v>
      </c>
      <c r="H34" s="10">
        <f>kn*((Tabella2[[#This Row],[Day]]/t0n)^wn)*EXP(-(Tabella2[[#This Row],[Day]]/t0n))</f>
        <v>5153.5099273076185</v>
      </c>
      <c r="I34" s="56">
        <f>Tabella2[[#This Row],[New_cases_fit]]*NOT(ISBLANK(Tabella2[[#This Row],[New cases]]))</f>
        <v>5153.5099273076185</v>
      </c>
      <c r="J34" s="10">
        <f>Tabella2[[#This Row],[New_cases_fit]]+CIn</f>
        <v>6373.7715034432022</v>
      </c>
      <c r="K34" s="10">
        <f>MAX(Tabella2[[#This Row],[New_cases_fit]]-CIn,0)</f>
        <v>3933.2483511720347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3846.823310962176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kd*t0d*_xlfn.GAMMA.DIST(Tabella2[[#This Row],[Day]]/t0d,wd+1,1,1)*_xlfn.GAMMA(wd+1)</f>
        <v>6091.7739393540396</v>
      </c>
      <c r="S34" s="10">
        <f>kd*((Tabella2[[#This Row],[Day]]/t0d)^wd)*EXP(-(Tabella2[[#This Row],[Day]]/t0d))</f>
        <v>660.53129344084914</v>
      </c>
      <c r="T34" s="60">
        <f>Tabella2[[#This Row],[New_Recovered_fit]]*NOT(ISBLANK(Tabella2[[#This Row],[New recovered]]))</f>
        <v>660.53129344084914</v>
      </c>
      <c r="U34" s="10">
        <f>Tabella2[[#This Row],[New_Recovered_fit]]+CId</f>
        <v>1217.8020436811694</v>
      </c>
      <c r="V34" s="10">
        <f>MAX(Tabella2[[#This Row],[New_Recovered_fit]]-CId,0)</f>
        <v>103.26054320052901</v>
      </c>
      <c r="W34" s="10">
        <f>'dpc-covid19-ita-andamento-naz'!K28</f>
        <v>4825</v>
      </c>
      <c r="X34" s="26">
        <f>Tabella2[[#This Row],[Cum_deaths]]-W33</f>
        <v>793</v>
      </c>
      <c r="Y34" s="65">
        <f>Tabella2[[#This Row],[New deaths]]*NOT(ISBLANK(Tabella2[[#This Row],[New deaths]]))</f>
        <v>793</v>
      </c>
      <c r="Z34" s="50">
        <f>kt*t0t*_xlfn.GAMMA.DIST(Tabella2[[#This Row],[Day]]/t0t,wt+1,1,1)*_xlfn.GAMMA(wt+1)</f>
        <v>4812.1930135948587</v>
      </c>
      <c r="AA34" s="10">
        <f>kt*((Tabella2[[#This Row],[Day]]/t0t)^wt)*EXP(-(Tabella2[[#This Row],[Day]]/t0t))</f>
        <v>646.15532290459316</v>
      </c>
      <c r="AB34" s="65">
        <f>Tabella2[[#This Row],[New_Deaths_fit]]*NOT(ISBLANK(Tabella2[[#This Row],[New deaths]]))</f>
        <v>646.15532290459316</v>
      </c>
      <c r="AC34" s="10">
        <f>Tabella2[[#This Row],[New_Deaths_fit]]+CIt</f>
        <v>791.45944813242647</v>
      </c>
      <c r="AD34" s="10">
        <f>MAX(Tabella2[[#This Row],[New_Deaths_fit]]-CIt,0)</f>
        <v>500.85119767675985</v>
      </c>
      <c r="AE34" s="1"/>
      <c r="AF34" s="70" t="s">
        <v>1</v>
      </c>
      <c r="AG34" s="71">
        <f>wh</f>
        <v>6.6580505435120383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kn*t0n*_xlfn.GAMMA.DIST(Tabella2[[#This Row],[Day]]/t0n,wn+1,1,1)*_xlfn.GAMMA(wn+1)</f>
        <v>58282.019579486412</v>
      </c>
      <c r="H35" s="10">
        <f>kn*((Tabella2[[#This Row],[Day]]/t0n)^wn)*EXP(-(Tabella2[[#This Row],[Day]]/t0n))</f>
        <v>5254.9776052959041</v>
      </c>
      <c r="I35" s="56">
        <f>Tabella2[[#This Row],[New_cases_fit]]*NOT(ISBLANK(Tabella2[[#This Row],[New cases]]))</f>
        <v>5254.9776052959041</v>
      </c>
      <c r="J35" s="10">
        <f>Tabella2[[#This Row],[New_cases_fit]]+CIn</f>
        <v>6475.2391814314879</v>
      </c>
      <c r="K35" s="10">
        <f>MAX(Tabella2[[#This Row],[New_cases_fit]]-CIn,0)</f>
        <v>4034.7160291603204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3867.3033040180267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kd*t0d*_xlfn.GAMMA.DIST(Tabella2[[#This Row],[Day]]/t0d,wd+1,1,1)*_xlfn.GAMMA(wd+1)</f>
        <v>6775.5559525285034</v>
      </c>
      <c r="S35" s="10">
        <f>kd*((Tabella2[[#This Row],[Day]]/t0d)^wd)*EXP(-(Tabella2[[#This Row],[Day]]/t0d))</f>
        <v>707.26665881202996</v>
      </c>
      <c r="T35" s="60">
        <f>Tabella2[[#This Row],[New_Recovered_fit]]*NOT(ISBLANK(Tabella2[[#This Row],[New recovered]]))</f>
        <v>707.26665881202996</v>
      </c>
      <c r="U35" s="10">
        <f>Tabella2[[#This Row],[New_Recovered_fit]]+CId</f>
        <v>1264.5374090523501</v>
      </c>
      <c r="V35" s="10">
        <f>MAX(Tabella2[[#This Row],[New_Recovered_fit]]-CId,0)</f>
        <v>149.99590857170983</v>
      </c>
      <c r="W35" s="10">
        <f>'dpc-covid19-ita-andamento-naz'!K29</f>
        <v>5476</v>
      </c>
      <c r="X35" s="26">
        <f>Tabella2[[#This Row],[Cum_deaths]]-W34</f>
        <v>651</v>
      </c>
      <c r="Y35" s="65">
        <f>Tabella2[[#This Row],[New deaths]]*NOT(ISBLANK(Tabella2[[#This Row],[New deaths]]))</f>
        <v>651</v>
      </c>
      <c r="Z35" s="50">
        <f>kt*t0t*_xlfn.GAMMA.DIST(Tabella2[[#This Row],[Day]]/t0t,wt+1,1,1)*_xlfn.GAMMA(wt+1)</f>
        <v>5475.8513046403714</v>
      </c>
      <c r="AA35" s="10">
        <f>kt*((Tabella2[[#This Row],[Day]]/t0t)^wt)*EXP(-(Tabella2[[#This Row],[Day]]/t0t))</f>
        <v>680.40764246584752</v>
      </c>
      <c r="AB35" s="65">
        <f>Tabella2[[#This Row],[New_Deaths_fit]]*NOT(ISBLANK(Tabella2[[#This Row],[New deaths]]))</f>
        <v>680.40764246584752</v>
      </c>
      <c r="AC35" s="10">
        <f>Tabella2[[#This Row],[New_Deaths_fit]]+CIt</f>
        <v>825.71176769368083</v>
      </c>
      <c r="AD35" s="10">
        <f>MAX(Tabella2[[#This Row],[New_Deaths_fit]]-CIt,0)</f>
        <v>535.10351723801421</v>
      </c>
      <c r="AF35" s="72" t="s">
        <v>2</v>
      </c>
      <c r="AG35" s="35">
        <f>AVERAGE(Tabella2[New deaths])</f>
        <v>417.51020408163265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kn*t0n*_xlfn.GAMMA.DIST(Tabella2[[#This Row],[Day]]/t0n,wn+1,1,1)*_xlfn.GAMMA(wn+1)</f>
        <v>63575.288516031142</v>
      </c>
      <c r="H36" s="10">
        <f>kn*((Tabella2[[#This Row],[Day]]/t0n)^wn)*EXP(-(Tabella2[[#This Row],[Day]]/t0n))</f>
        <v>5326.6677125317165</v>
      </c>
      <c r="I36" s="56">
        <f>Tabella2[[#This Row],[New_cases_fit]]*NOT(ISBLANK(Tabella2[[#This Row],[New cases]]))</f>
        <v>5326.6677125317165</v>
      </c>
      <c r="J36" s="10">
        <f>Tabella2[[#This Row],[New_cases_fit]]+CIn</f>
        <v>6546.9292886673002</v>
      </c>
      <c r="K36" s="10">
        <f>MAX(Tabella2[[#This Row],[New_cases_fit]]-CIn,0)</f>
        <v>4106.4061363961328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3861.3115916656843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kd*t0d*_xlfn.GAMMA.DIST(Tabella2[[#This Row],[Day]]/t0d,wd+1,1,1)*_xlfn.GAMMA(wd+1)</f>
        <v>7506.7728399306498</v>
      </c>
      <c r="S36" s="10">
        <f>kd*((Tabella2[[#This Row],[Day]]/t0d)^wd)*EXP(-(Tabella2[[#This Row],[Day]]/t0d))</f>
        <v>755.39878739401581</v>
      </c>
      <c r="T36" s="60">
        <f>Tabella2[[#This Row],[New_Recovered_fit]]*NOT(ISBLANK(Tabella2[[#This Row],[New recovered]]))</f>
        <v>755.39878739401581</v>
      </c>
      <c r="U36" s="10">
        <f>Tabella2[[#This Row],[New_Recovered_fit]]+CId</f>
        <v>1312.6695376343359</v>
      </c>
      <c r="V36" s="10">
        <f>MAX(Tabella2[[#This Row],[New_Recovered_fit]]-CId,0)</f>
        <v>198.12803715369569</v>
      </c>
      <c r="W36" s="10">
        <f>'dpc-covid19-ita-andamento-naz'!K30</f>
        <v>6077</v>
      </c>
      <c r="X36" s="26">
        <f>Tabella2[[#This Row],[Cum_deaths]]-W35</f>
        <v>601</v>
      </c>
      <c r="Y36" s="65">
        <f>Tabella2[[#This Row],[New deaths]]*NOT(ISBLANK(Tabella2[[#This Row],[New deaths]]))</f>
        <v>601</v>
      </c>
      <c r="Z36" s="50">
        <f>kt*t0t*_xlfn.GAMMA.DIST(Tabella2[[#This Row],[Day]]/t0t,wt+1,1,1)*_xlfn.GAMMA(wt+1)</f>
        <v>6171.4393506477199</v>
      </c>
      <c r="AA36" s="10">
        <f>kt*((Tabella2[[#This Row],[Day]]/t0t)^wt)*EXP(-(Tabella2[[#This Row],[Day]]/t0t))</f>
        <v>709.95733347201599</v>
      </c>
      <c r="AB36" s="65">
        <f>Tabella2[[#This Row],[New_Deaths_fit]]*NOT(ISBLANK(Tabella2[[#This Row],[New deaths]]))</f>
        <v>709.95733347201599</v>
      </c>
      <c r="AC36" s="10">
        <f>Tabella2[[#This Row],[New_Deaths_fit]]+CIt</f>
        <v>855.2614586998493</v>
      </c>
      <c r="AD36" s="10">
        <f>MAX(Tabella2[[#This Row],[New_Deaths_fit]]-CIt,0)</f>
        <v>564.65320824418268</v>
      </c>
      <c r="AF36" s="72" t="s">
        <v>3</v>
      </c>
      <c r="AG36" s="35">
        <f>COUNT(Tabella2[New deaths])-COUNT(AG32:AG34)</f>
        <v>46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kn*t0n*_xlfn.GAMMA.DIST(Tabella2[[#This Row],[Day]]/t0n,wn+1,1,1)*_xlfn.GAMMA(wn+1)</f>
        <v>68925.751816432428</v>
      </c>
      <c r="H37" s="10">
        <f>kn*((Tabella2[[#This Row],[Day]]/t0n)^wn)*EXP(-(Tabella2[[#This Row],[Day]]/t0n))</f>
        <v>5369.5593505518118</v>
      </c>
      <c r="I37" s="56">
        <f>Tabella2[[#This Row],[New_cases_fit]]*NOT(ISBLANK(Tabella2[[#This Row],[New cases]]))</f>
        <v>5369.5593505518118</v>
      </c>
      <c r="J37" s="10">
        <f>Tabella2[[#This Row],[New_cases_fit]]+CIn</f>
        <v>6589.8209266873955</v>
      </c>
      <c r="K37" s="10">
        <f>MAX(Tabella2[[#This Row],[New_cases_fit]]-CIn,0)</f>
        <v>4149.2977744162281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3830.1230794603807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kd*t0d*_xlfn.GAMMA.DIST(Tabella2[[#This Row],[Day]]/t0d,wd+1,1,1)*_xlfn.GAMMA(wd+1)</f>
        <v>8286.8146714433042</v>
      </c>
      <c r="S37" s="10">
        <f>kd*((Tabella2[[#This Row],[Day]]/t0d)^wd)*EXP(-(Tabella2[[#This Row],[Day]]/t0d))</f>
        <v>804.91436167654319</v>
      </c>
      <c r="T37" s="60">
        <f>Tabella2[[#This Row],[New_Recovered_fit]]*NOT(ISBLANK(Tabella2[[#This Row],[New recovered]]))</f>
        <v>804.91436167654319</v>
      </c>
      <c r="U37" s="10">
        <f>Tabella2[[#This Row],[New_Recovered_fit]]+CId</f>
        <v>1362.1851119168632</v>
      </c>
      <c r="V37" s="10">
        <f>MAX(Tabella2[[#This Row],[New_Recovered_fit]]-CId,0)</f>
        <v>247.64361143622307</v>
      </c>
      <c r="W37" s="10">
        <f>'dpc-covid19-ita-andamento-naz'!K31</f>
        <v>6820</v>
      </c>
      <c r="X37" s="26">
        <f>Tabella2[[#This Row],[Cum_deaths]]-W36</f>
        <v>743</v>
      </c>
      <c r="Y37" s="65">
        <f>Tabella2[[#This Row],[New deaths]]*NOT(ISBLANK(Tabella2[[#This Row],[New deaths]]))</f>
        <v>743</v>
      </c>
      <c r="Z37" s="50">
        <f>kt*t0t*_xlfn.GAMMA.DIST(Tabella2[[#This Row],[Day]]/t0t,wt+1,1,1)*_xlfn.GAMMA(wt+1)</f>
        <v>6894.1029125236855</v>
      </c>
      <c r="AA37" s="10">
        <f>kt*((Tabella2[[#This Row],[Day]]/t0t)^wt)*EXP(-(Tabella2[[#This Row],[Day]]/t0t))</f>
        <v>734.521909414888</v>
      </c>
      <c r="AB37" s="65">
        <f>Tabella2[[#This Row],[New_Deaths_fit]]*NOT(ISBLANK(Tabella2[[#This Row],[New deaths]]))</f>
        <v>734.521909414888</v>
      </c>
      <c r="AC37" s="10">
        <f>Tabella2[[#This Row],[New_Deaths_fit]]+CIt</f>
        <v>879.82603464272131</v>
      </c>
      <c r="AD37" s="10">
        <f>MAX(Tabella2[[#This Row],[New_Deaths_fit]]-CIt,0)</f>
        <v>589.21778418705469</v>
      </c>
      <c r="AF37" s="72" t="s">
        <v>4</v>
      </c>
      <c r="AG37" s="73" cm="1">
        <f t="array" ref="AG37">SQRT(SUM((Tabella2[Colonna5]-Tabella2[Colonna6])^2)/dft)</f>
        <v>72.186617778803836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kn*t0n*_xlfn.GAMMA.DIST(Tabella2[[#This Row],[Day]]/t0n,wn+1,1,1)*_xlfn.GAMMA(wn+1)</f>
        <v>74305.242193620506</v>
      </c>
      <c r="H38" s="10">
        <f>kn*((Tabella2[[#This Row],[Day]]/t0n)^wn)*EXP(-(Tabella2[[#This Row],[Day]]/t0n))</f>
        <v>5384.9648074574961</v>
      </c>
      <c r="I38" s="56">
        <f>Tabella2[[#This Row],[New_cases_fit]]*NOT(ISBLANK(Tabella2[[#This Row],[New cases]]))</f>
        <v>5384.9648074574961</v>
      </c>
      <c r="J38" s="10">
        <f>Tabella2[[#This Row],[New_cases_fit]]+CIn</f>
        <v>6605.2263835930798</v>
      </c>
      <c r="K38" s="10">
        <f>MAX(Tabella2[[#This Row],[New_cases_fit]]-CIn,0)</f>
        <v>4164.7032313219124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3775.2240053806686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kd*t0d*_xlfn.GAMMA.DIST(Tabella2[[#This Row],[Day]]/t0d,wd+1,1,1)*_xlfn.GAMMA(wd+1)</f>
        <v>9117.05840187998</v>
      </c>
      <c r="S38" s="10">
        <f>kd*((Tabella2[[#This Row],[Day]]/t0d)^wd)*EXP(-(Tabella2[[#This Row],[Day]]/t0d))</f>
        <v>855.80046414397907</v>
      </c>
      <c r="T38" s="60">
        <f>Tabella2[[#This Row],[New_Recovered_fit]]*NOT(ISBLANK(Tabella2[[#This Row],[New recovered]]))</f>
        <v>855.80046414397907</v>
      </c>
      <c r="U38" s="10">
        <f>Tabella2[[#This Row],[New_Recovered_fit]]+CId</f>
        <v>1413.0712143842993</v>
      </c>
      <c r="V38" s="10">
        <f>MAX(Tabella2[[#This Row],[New_Recovered_fit]]-CId,0)</f>
        <v>298.52971390365894</v>
      </c>
      <c r="W38" s="10">
        <f>'dpc-covid19-ita-andamento-naz'!K32</f>
        <v>7503</v>
      </c>
      <c r="X38" s="26">
        <f>Tabella2[[#This Row],[Cum_deaths]]-W37</f>
        <v>683</v>
      </c>
      <c r="Y38" s="65">
        <f>Tabella2[[#This Row],[New deaths]]*NOT(ISBLANK(Tabella2[[#This Row],[New deaths]]))</f>
        <v>683</v>
      </c>
      <c r="Z38" s="50">
        <f>kt*t0t*_xlfn.GAMMA.DIST(Tabella2[[#This Row],[Day]]/t0t,wt+1,1,1)*_xlfn.GAMMA(wt+1)</f>
        <v>7638.7665221683283</v>
      </c>
      <c r="AA38" s="10">
        <f>kt*((Tabella2[[#This Row],[Day]]/t0t)^wt)*EXP(-(Tabella2[[#This Row],[Day]]/t0t))</f>
        <v>753.94033793284837</v>
      </c>
      <c r="AB38" s="65">
        <f>Tabella2[[#This Row],[New_Deaths_fit]]*NOT(ISBLANK(Tabella2[[#This Row],[New deaths]]))</f>
        <v>753.94033793284837</v>
      </c>
      <c r="AC38" s="10">
        <f>Tabella2[[#This Row],[New_Deaths_fit]]+CIt</f>
        <v>899.24446316068168</v>
      </c>
      <c r="AD38" s="10">
        <f>MAX(Tabella2[[#This Row],[New_Deaths_fit]]-CIt,0)</f>
        <v>608.63621270501505</v>
      </c>
      <c r="AF38" s="72" t="s">
        <v>87</v>
      </c>
      <c r="AG38" s="74" cm="1">
        <f t="array" ref="AG38">1-SUM((Tabella2[Colonna5]-Tabella2[Colonna6])^2)/SUM((Tabella2[Colonna5]-Mean_of_yt)^2)</f>
        <v>0.97116808659904663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kn*t0n*_xlfn.GAMMA.DIST(Tabella2[[#This Row],[Day]]/t0n,wn+1,1,1)*_xlfn.GAMMA(wn+1)</f>
        <v>79687.04358386551</v>
      </c>
      <c r="H39" s="10">
        <f>kn*((Tabella2[[#This Row],[Day]]/t0n)^wn)*EXP(-(Tabella2[[#This Row],[Day]]/t0n))</f>
        <v>5374.4635416735646</v>
      </c>
      <c r="I39" s="56">
        <f>Tabella2[[#This Row],[New_cases_fit]]*NOT(ISBLANK(Tabella2[[#This Row],[New cases]]))</f>
        <v>5374.4635416735646</v>
      </c>
      <c r="J39" s="10">
        <f>Tabella2[[#This Row],[New_cases_fit]]+CIn</f>
        <v>6594.7251178091483</v>
      </c>
      <c r="K39" s="10">
        <f>MAX(Tabella2[[#This Row],[New_cases_fit]]-CIn,0)</f>
        <v>4154.2019655379809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3698.2538769220173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kd*t0d*_xlfn.GAMMA.DIST(Tabella2[[#This Row],[Day]]/t0d,wd+1,1,1)*_xlfn.GAMMA(wd+1)</f>
        <v>9998.8682568394561</v>
      </c>
      <c r="S39" s="10">
        <f>kd*((Tabella2[[#This Row],[Day]]/t0d)^wd)*EXP(-(Tabella2[[#This Row],[Day]]/t0d))</f>
        <v>908.04454950235447</v>
      </c>
      <c r="T39" s="60">
        <f>Tabella2[[#This Row],[New_Recovered_fit]]*NOT(ISBLANK(Tabella2[[#This Row],[New recovered]]))</f>
        <v>908.04454950235447</v>
      </c>
      <c r="U39" s="10">
        <f>Tabella2[[#This Row],[New_Recovered_fit]]+CId</f>
        <v>1465.3152997426746</v>
      </c>
      <c r="V39" s="10">
        <f>MAX(Tabella2[[#This Row],[New_Recovered_fit]]-CId,0)</f>
        <v>350.77379926203434</v>
      </c>
      <c r="W39" s="10">
        <f>'dpc-covid19-ita-andamento-naz'!K33</f>
        <v>8165</v>
      </c>
      <c r="X39" s="26">
        <f>Tabella2[[#This Row],[Cum_deaths]]-W38</f>
        <v>662</v>
      </c>
      <c r="Y39" s="65">
        <f>Tabella2[[#This Row],[New deaths]]*NOT(ISBLANK(Tabella2[[#This Row],[New deaths]]))</f>
        <v>662</v>
      </c>
      <c r="Z39" s="50">
        <f>kt*t0t*_xlfn.GAMMA.DIST(Tabella2[[#This Row],[Day]]/t0t,wt+1,1,1)*_xlfn.GAMMA(wt+1)</f>
        <v>8400.2512243200163</v>
      </c>
      <c r="AA39" s="10">
        <f>kt*((Tabella2[[#This Row],[Day]]/t0t)^wt)*EXP(-(Tabella2[[#This Row],[Day]]/t0t))</f>
        <v>768.16511524919326</v>
      </c>
      <c r="AB39" s="65">
        <f>Tabella2[[#This Row],[New_Deaths_fit]]*NOT(ISBLANK(Tabella2[[#This Row],[New deaths]]))</f>
        <v>768.16511524919326</v>
      </c>
      <c r="AC39" s="10">
        <f>Tabella2[[#This Row],[New_Deaths_fit]]+CIt</f>
        <v>913.46924047702657</v>
      </c>
      <c r="AD39" s="10">
        <f>MAX(Tabella2[[#This Row],[New_Deaths_fit]]-CIt,0)</f>
        <v>622.86099002135995</v>
      </c>
      <c r="AF39" s="72" t="s">
        <v>6</v>
      </c>
      <c r="AG39" s="74">
        <f>TINV(0.05,dft)</f>
        <v>2.0128955989194299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kn*t0n*_xlfn.GAMMA.DIST(Tabella2[[#This Row],[Day]]/t0n,wn+1,1,1)*_xlfn.GAMMA(wn+1)</f>
        <v>85046.126945972501</v>
      </c>
      <c r="H40" s="10">
        <f>kn*((Tabella2[[#This Row],[Day]]/t0n)^wn)*EXP(-(Tabella2[[#This Row],[Day]]/t0n))</f>
        <v>5339.8401991635728</v>
      </c>
      <c r="I40" s="56">
        <f>Tabella2[[#This Row],[New_cases_fit]]*NOT(ISBLANK(Tabella2[[#This Row],[New cases]]))</f>
        <v>5339.8401991635728</v>
      </c>
      <c r="J40" s="10">
        <f>Tabella2[[#This Row],[New_cases_fit]]+CIn</f>
        <v>6560.1017752991565</v>
      </c>
      <c r="K40" s="10">
        <f>MAX(Tabella2[[#This Row],[New_cases_fit]]-CIn,0)</f>
        <v>4119.5786230279891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3600.9540215117786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kd*t0d*_xlfn.GAMMA.DIST(Tabella2[[#This Row],[Day]]/t0d,wd+1,1,1)*_xlfn.GAMMA(wd+1)</f>
        <v>10933.596092238768</v>
      </c>
      <c r="S40" s="10">
        <f>kd*((Tabella2[[#This Row],[Day]]/t0d)^wd)*EXP(-(Tabella2[[#This Row],[Day]]/t0d))</f>
        <v>961.63441974147497</v>
      </c>
      <c r="T40" s="60">
        <f>Tabella2[[#This Row],[New_Recovered_fit]]*NOT(ISBLANK(Tabella2[[#This Row],[New recovered]]))</f>
        <v>961.63441974147497</v>
      </c>
      <c r="U40" s="10">
        <f>Tabella2[[#This Row],[New_Recovered_fit]]+CId</f>
        <v>1518.9051699817951</v>
      </c>
      <c r="V40" s="10">
        <f>MAX(Tabella2[[#This Row],[New_Recovered_fit]]-CId,0)</f>
        <v>404.36366950115485</v>
      </c>
      <c r="W40" s="10">
        <f>'dpc-covid19-ita-andamento-naz'!K34</f>
        <v>9134</v>
      </c>
      <c r="X40" s="26">
        <f>Tabella2[[#This Row],[Cum_deaths]]-W39</f>
        <v>969</v>
      </c>
      <c r="Y40" s="65">
        <f>Tabella2[[#This Row],[New deaths]]*NOT(ISBLANK(Tabella2[[#This Row],[New deaths]]))</f>
        <v>969</v>
      </c>
      <c r="Z40" s="50">
        <f>kt*t0t*_xlfn.GAMMA.DIST(Tabella2[[#This Row],[Day]]/t0t,wt+1,1,1)*_xlfn.GAMMA(wt+1)</f>
        <v>9173.3830315638043</v>
      </c>
      <c r="AA40" s="10">
        <f>kt*((Tabella2[[#This Row],[Day]]/t0t)^wt)*EXP(-(Tabella2[[#This Row],[Day]]/t0t))</f>
        <v>777.25175791031961</v>
      </c>
      <c r="AB40" s="65">
        <f>Tabella2[[#This Row],[New_Deaths_fit]]*NOT(ISBLANK(Tabella2[[#This Row],[New deaths]]))</f>
        <v>777.25175791031961</v>
      </c>
      <c r="AC40" s="10">
        <f>Tabella2[[#This Row],[New_Deaths_fit]]+CIt</f>
        <v>922.55588313815292</v>
      </c>
      <c r="AD40" s="10">
        <f>MAX(Tabella2[[#This Row],[New_Deaths_fit]]-CIt,0)</f>
        <v>631.9476326824863</v>
      </c>
      <c r="AF40" s="72" t="s">
        <v>7</v>
      </c>
      <c r="AG40" s="35">
        <f>Critical_tt*SE_of_yt</f>
        <v>145.30412522783331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kn*t0n*_xlfn.GAMMA.DIST(Tabella2[[#This Row],[Day]]/t0n,wn+1,1,1)*_xlfn.GAMMA(wn+1)</f>
        <v>90359.326489296829</v>
      </c>
      <c r="H41" s="10">
        <f>kn*((Tabella2[[#This Row],[Day]]/t0n)^wn)*EXP(-(Tabella2[[#This Row],[Day]]/t0n))</f>
        <v>5283.0275758115986</v>
      </c>
      <c r="I41" s="56">
        <f>Tabella2[[#This Row],[New_cases_fit]]*NOT(ISBLANK(Tabella2[[#This Row],[New cases]]))</f>
        <v>5283.0275758115986</v>
      </c>
      <c r="J41" s="10">
        <f>Tabella2[[#This Row],[New_cases_fit]]+CIn</f>
        <v>6503.2891519471823</v>
      </c>
      <c r="K41" s="10">
        <f>MAX(Tabella2[[#This Row],[New_cases_fit]]-CIn,0)</f>
        <v>4062.7659996760149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3485.1228548923032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kd*t0d*_xlfn.GAMMA.DIST(Tabella2[[#This Row],[Day]]/t0d,wd+1,1,1)*_xlfn.GAMMA(wd+1)</f>
        <v>11922.581730168369</v>
      </c>
      <c r="S41" s="10">
        <f>kd*((Tabella2[[#This Row],[Day]]/t0d)^wd)*EXP(-(Tabella2[[#This Row],[Day]]/t0d))</f>
        <v>1016.5582016605618</v>
      </c>
      <c r="T41" s="60">
        <f>Tabella2[[#This Row],[New_Recovered_fit]]*NOT(ISBLANK(Tabella2[[#This Row],[New recovered]]))</f>
        <v>1016.5582016605618</v>
      </c>
      <c r="U41" s="10">
        <f>Tabella2[[#This Row],[New_Recovered_fit]]+CId</f>
        <v>1573.828951900882</v>
      </c>
      <c r="V41" s="10">
        <f>MAX(Tabella2[[#This Row],[New_Recovered_fit]]-CId,0)</f>
        <v>459.28745142024172</v>
      </c>
      <c r="W41" s="10">
        <f>'dpc-covid19-ita-andamento-naz'!K35</f>
        <v>10023</v>
      </c>
      <c r="X41" s="26">
        <f>Tabella2[[#This Row],[Cum_deaths]]-W40</f>
        <v>889</v>
      </c>
      <c r="Y41" s="65">
        <f>Tabella2[[#This Row],[New deaths]]*NOT(ISBLANK(Tabella2[[#This Row],[New deaths]]))</f>
        <v>889</v>
      </c>
      <c r="Z41" s="50">
        <f>kt*t0t*_xlfn.GAMMA.DIST(Tabella2[[#This Row],[Day]]/t0t,wt+1,1,1)*_xlfn.GAMMA(wt+1)</f>
        <v>9953.08991910228</v>
      </c>
      <c r="AA41" s="10">
        <f>kt*((Tabella2[[#This Row],[Day]]/t0t)^wt)*EXP(-(Tabella2[[#This Row],[Day]]/t0t))</f>
        <v>781.34651925873322</v>
      </c>
      <c r="AB41" s="65">
        <f>Tabella2[[#This Row],[New_Deaths_fit]]*NOT(ISBLANK(Tabella2[[#This Row],[New deaths]]))</f>
        <v>781.34651925873322</v>
      </c>
      <c r="AC41" s="10">
        <f>Tabella2[[#This Row],[New_Deaths_fit]]+CIt</f>
        <v>926.65064448656653</v>
      </c>
      <c r="AD41" s="10">
        <f>MAX(Tabella2[[#This Row],[New_Deaths_fit]]-CIt,0)</f>
        <v>636.04239403089991</v>
      </c>
      <c r="AF41" s="34" t="s">
        <v>69</v>
      </c>
      <c r="AG41" s="35">
        <f>kt*(wt^wt)*EXP(-wt)</f>
        <v>781.63971217744881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kn*t0n*_xlfn.GAMMA.DIST(Tabella2[[#This Row],[Day]]/t0n,wn+1,1,1)*_xlfn.GAMMA(wn+1)</f>
        <v>95605.461588477483</v>
      </c>
      <c r="H42" s="10">
        <f>kn*((Tabella2[[#This Row],[Day]]/t0n)^wn)*EXP(-(Tabella2[[#This Row],[Day]]/t0n))</f>
        <v>5206.05509927617</v>
      </c>
      <c r="I42" s="56">
        <f>Tabella2[[#This Row],[New_cases_fit]]*NOT(ISBLANK(Tabella2[[#This Row],[New cases]]))</f>
        <v>5206.05509927617</v>
      </c>
      <c r="J42" s="10">
        <f>Tabella2[[#This Row],[New_cases_fit]]+CIn</f>
        <v>6426.3166754117537</v>
      </c>
      <c r="K42" s="10">
        <f>MAX(Tabella2[[#This Row],[New_cases_fit]]-CIn,0)</f>
        <v>3985.7935231405863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3352.5777132969915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kd*t0d*_xlfn.GAMMA.DIST(Tabella2[[#This Row],[Day]]/t0d,wd+1,1,1)*_xlfn.GAMMA(wd+1)</f>
        <v>12967.153273372067</v>
      </c>
      <c r="S42" s="10">
        <f>kd*((Tabella2[[#This Row],[Day]]/t0d)^wd)*EXP(-(Tabella2[[#This Row],[Day]]/t0d))</f>
        <v>1072.8043265445654</v>
      </c>
      <c r="T42" s="60">
        <f>Tabella2[[#This Row],[New_Recovered_fit]]*NOT(ISBLANK(Tabella2[[#This Row],[New recovered]]))</f>
        <v>1072.8043265445654</v>
      </c>
      <c r="U42" s="10">
        <f>Tabella2[[#This Row],[New_Recovered_fit]]+CId</f>
        <v>1630.0750767848854</v>
      </c>
      <c r="V42" s="10">
        <f>MAX(Tabella2[[#This Row],[New_Recovered_fit]]-CId,0)</f>
        <v>515.53357630424523</v>
      </c>
      <c r="W42" s="10">
        <f>'dpc-covid19-ita-andamento-naz'!K36</f>
        <v>10779</v>
      </c>
      <c r="X42" s="26">
        <f>Tabella2[[#This Row],[Cum_deaths]]-W41</f>
        <v>756</v>
      </c>
      <c r="Y42" s="65">
        <f>Tabella2[[#This Row],[New deaths]]*NOT(ISBLANK(Tabella2[[#This Row],[New deaths]]))</f>
        <v>756</v>
      </c>
      <c r="Z42" s="50">
        <f>kt*t0t*_xlfn.GAMMA.DIST(Tabella2[[#This Row],[Day]]/t0t,wt+1,1,1)*_xlfn.GAMMA(wt+1)</f>
        <v>10734.485955825689</v>
      </c>
      <c r="AA42" s="10">
        <f>kt*((Tabella2[[#This Row],[Day]]/t0t)^wt)*EXP(-(Tabella2[[#This Row],[Day]]/t0t))</f>
        <v>780.67305943461292</v>
      </c>
      <c r="AB42" s="65">
        <f>Tabella2[[#This Row],[New_Deaths_fit]]*NOT(ISBLANK(Tabella2[[#This Row],[New deaths]]))</f>
        <v>780.67305943461292</v>
      </c>
      <c r="AC42" s="10">
        <f>Tabella2[[#This Row],[New_Deaths_fit]]+CIt</f>
        <v>925.97718466244623</v>
      </c>
      <c r="AD42" s="10">
        <f>MAX(Tabella2[[#This Row],[New_Deaths_fit]]-CIt,0)</f>
        <v>635.36893420677961</v>
      </c>
      <c r="AF42" s="34" t="s">
        <v>70</v>
      </c>
      <c r="AG42" s="77">
        <f>_xlfn.XLOOKUP(ROUND(wt*t0t,0),Tabella2[Day],Tabella2[Date])</f>
        <v>43918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kn*t0n*_xlfn.GAMMA.DIST(Tabella2[[#This Row],[Day]]/t0n,wn+1,1,1)*_xlfn.GAMMA(wn+1)</f>
        <v>100765.4100732755</v>
      </c>
      <c r="H43" s="10">
        <f>kn*((Tabella2[[#This Row],[Day]]/t0n)^wn)*EXP(-(Tabella2[[#This Row],[Day]]/t0n))</f>
        <v>5111.0031264706431</v>
      </c>
      <c r="I43" s="56">
        <f>Tabella2[[#This Row],[New_cases_fit]]*NOT(ISBLANK(Tabella2[[#This Row],[New cases]]))</f>
        <v>5111.0031264706431</v>
      </c>
      <c r="J43" s="10">
        <f>Tabella2[[#This Row],[New_cases_fit]]+CIn</f>
        <v>6331.2647026062268</v>
      </c>
      <c r="K43" s="10">
        <f>MAX(Tabella2[[#This Row],[New_cases_fit]]-CIn,0)</f>
        <v>3890.7415503350594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3205.1229125227264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kd*t0d*_xlfn.GAMMA.DIST(Tabella2[[#This Row],[Day]]/t0d,wd+1,1,1)*_xlfn.GAMMA(wd+1)</f>
        <v>14068.627400366786</v>
      </c>
      <c r="S43" s="10">
        <f>kd*((Tabella2[[#This Row],[Day]]/t0d)^wd)*EXP(-(Tabella2[[#This Row],[Day]]/t0d))</f>
        <v>1130.361511726275</v>
      </c>
      <c r="T43" s="60">
        <f>Tabella2[[#This Row],[New_Recovered_fit]]*NOT(ISBLANK(Tabella2[[#This Row],[New recovered]]))</f>
        <v>1130.361511726275</v>
      </c>
      <c r="U43" s="10">
        <f>Tabella2[[#This Row],[New_Recovered_fit]]+CId</f>
        <v>1687.6322619665953</v>
      </c>
      <c r="V43" s="10">
        <f>MAX(Tabella2[[#This Row],[New_Recovered_fit]]-CId,0)</f>
        <v>573.09076148595489</v>
      </c>
      <c r="W43" s="10">
        <f>'dpc-covid19-ita-andamento-naz'!K37</f>
        <v>11591</v>
      </c>
      <c r="X43" s="26">
        <f>Tabella2[[#This Row],[Cum_deaths]]-W42</f>
        <v>812</v>
      </c>
      <c r="Y43" s="65">
        <f>Tabella2[[#This Row],[New deaths]]*NOT(ISBLANK(Tabella2[[#This Row],[New deaths]]))</f>
        <v>812</v>
      </c>
      <c r="Z43" s="50">
        <f>kt*t0t*_xlfn.GAMMA.DIST(Tabella2[[#This Row],[Day]]/t0t,wt+1,1,1)*_xlfn.GAMMA(wt+1)</f>
        <v>11512.941850277233</v>
      </c>
      <c r="AA43" s="10">
        <f>kt*((Tabella2[[#This Row],[Day]]/t0t)^wt)*EXP(-(Tabella2[[#This Row],[Day]]/t0t))</f>
        <v>775.51870222164143</v>
      </c>
      <c r="AB43" s="65">
        <f>Tabella2[[#This Row],[New_Deaths_fit]]*NOT(ISBLANK(Tabella2[[#This Row],[New deaths]]))</f>
        <v>775.51870222164143</v>
      </c>
      <c r="AC43" s="10">
        <f>Tabella2[[#This Row],[New_Deaths_fit]]+CIt</f>
        <v>920.82282744947474</v>
      </c>
      <c r="AD43" s="10">
        <f>MAX(Tabella2[[#This Row],[New_Deaths_fit]]-CIt,0)</f>
        <v>630.21457699380812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kn*t0n*_xlfn.GAMMA.DIST(Tabella2[[#This Row],[Day]]/t0n,wn+1,1,1)*_xlfn.GAMMA(wn+1)</f>
        <v>105822.13876180045</v>
      </c>
      <c r="H44" s="10">
        <f>kn*((Tabella2[[#This Row],[Day]]/t0n)^wn)*EXP(-(Tabella2[[#This Row],[Day]]/t0n))</f>
        <v>4999.9631288836272</v>
      </c>
      <c r="I44" s="56">
        <f>Tabella2[[#This Row],[New_cases_fit]]*NOT(ISBLANK(Tabella2[[#This Row],[New cases]]))</f>
        <v>4999.9631288836272</v>
      </c>
      <c r="J44" s="10">
        <f>Tabella2[[#This Row],[New_cases_fit]]+CIn</f>
        <v>6220.2247050192109</v>
      </c>
      <c r="K44" s="10">
        <f>MAX(Tabella2[[#This Row],[New_cases_fit]]-CIn,0)</f>
        <v>3779.7015527480435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3044.5235764730301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kd*t0d*_xlfn.GAMMA.DIST(Tabella2[[#This Row],[Day]]/t0d,wd+1,1,1)*_xlfn.GAMMA(wd+1)</f>
        <v>15228.309642971481</v>
      </c>
      <c r="S44" s="10">
        <f>kd*((Tabella2[[#This Row],[Day]]/t0d)^wd)*EXP(-(Tabella2[[#This Row],[Day]]/t0d))</f>
        <v>1189.2187438087144</v>
      </c>
      <c r="T44" s="60">
        <f>Tabella2[[#This Row],[New_Recovered_fit]]*NOT(ISBLANK(Tabella2[[#This Row],[New recovered]]))</f>
        <v>1189.2187438087144</v>
      </c>
      <c r="U44" s="10">
        <f>Tabella2[[#This Row],[New_Recovered_fit]]+CId</f>
        <v>1746.4894940490344</v>
      </c>
      <c r="V44" s="10">
        <f>MAX(Tabella2[[#This Row],[New_Recovered_fit]]-CId,0)</f>
        <v>631.94799356839428</v>
      </c>
      <c r="W44" s="10">
        <f>'dpc-covid19-ita-andamento-naz'!K38</f>
        <v>12428</v>
      </c>
      <c r="X44" s="26">
        <f>Tabella2[[#This Row],[Cum_deaths]]-W43</f>
        <v>837</v>
      </c>
      <c r="Y44" s="65">
        <f>Tabella2[[#This Row],[New deaths]]*NOT(ISBLANK(Tabella2[[#This Row],[New deaths]]))</f>
        <v>837</v>
      </c>
      <c r="Z44" s="50">
        <f>kt*t0t*_xlfn.GAMMA.DIST(Tabella2[[#This Row],[Day]]/t0t,wt+1,1,1)*_xlfn.GAMMA(wt+1)</f>
        <v>12284.141772045245</v>
      </c>
      <c r="AA44" s="10">
        <f>kt*((Tabella2[[#This Row],[Day]]/t0t)^wt)*EXP(-(Tabella2[[#This Row],[Day]]/t0t))</f>
        <v>766.2208086018826</v>
      </c>
      <c r="AB44" s="65">
        <f>Tabella2[[#This Row],[New_Deaths_fit]]*NOT(ISBLANK(Tabella2[[#This Row],[New deaths]]))</f>
        <v>766.2208086018826</v>
      </c>
      <c r="AC44" s="10">
        <f>Tabella2[[#This Row],[New_Deaths_fit]]+CIt</f>
        <v>911.52493382971591</v>
      </c>
      <c r="AD44" s="10">
        <f>MAX(Tabella2[[#This Row],[New_Deaths_fit]]-CIt,0)</f>
        <v>620.91668337404928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kn*t0n*_xlfn.GAMMA.DIST(Tabella2[[#This Row],[Day]]/t0n,wn+1,1,1)*_xlfn.GAMMA(wn+1)</f>
        <v>110760.69708609102</v>
      </c>
      <c r="H45" s="10">
        <f>kn*((Tabella2[[#This Row],[Day]]/t0n)^wn)*EXP(-(Tabella2[[#This Row],[Day]]/t0n))</f>
        <v>4875.0036624576296</v>
      </c>
      <c r="I45" s="56">
        <f>Tabella2[[#This Row],[New_cases_fit]]*NOT(ISBLANK(Tabella2[[#This Row],[New cases]]))</f>
        <v>4875.0036624576296</v>
      </c>
      <c r="J45" s="10">
        <f>Tabella2[[#This Row],[New_cases_fit]]+CIn</f>
        <v>6095.2652385932133</v>
      </c>
      <c r="K45" s="10">
        <f>MAX(Tabella2[[#This Row],[New_cases_fit]]-CIn,0)</f>
        <v>3654.7420863220459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2872.484706671888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kd*t0d*_xlfn.GAMMA.DIST(Tabella2[[#This Row],[Day]]/t0d,wd+1,1,1)*_xlfn.GAMMA(wd+1)</f>
        <v>16447.494647807536</v>
      </c>
      <c r="S45" s="10">
        <f>kd*((Tabella2[[#This Row],[Day]]/t0d)^wd)*EXP(-(Tabella2[[#This Row],[Day]]/t0d))</f>
        <v>1249.3652633549702</v>
      </c>
      <c r="T45" s="60">
        <f>Tabella2[[#This Row],[New_Recovered_fit]]*NOT(ISBLANK(Tabella2[[#This Row],[New recovered]]))</f>
        <v>1249.3652633549702</v>
      </c>
      <c r="U45" s="10">
        <f>Tabella2[[#This Row],[New_Recovered_fit]]+CId</f>
        <v>1806.6360135952905</v>
      </c>
      <c r="V45" s="10">
        <f>MAX(Tabella2[[#This Row],[New_Recovered_fit]]-CId,0)</f>
        <v>692.09451311465011</v>
      </c>
      <c r="W45" s="10">
        <f>'dpc-covid19-ita-andamento-naz'!K39</f>
        <v>13155</v>
      </c>
      <c r="X45" s="26">
        <f>Tabella2[[#This Row],[Cum_deaths]]-W44</f>
        <v>727</v>
      </c>
      <c r="Y45" s="65">
        <f>Tabella2[[#This Row],[New deaths]]*NOT(ISBLANK(Tabella2[[#This Row],[New deaths]]))</f>
        <v>727</v>
      </c>
      <c r="Z45" s="50">
        <f>kt*t0t*_xlfn.GAMMA.DIST(Tabella2[[#This Row],[Day]]/t0t,wt+1,1,1)*_xlfn.GAMMA(wt+1)</f>
        <v>13044.126786593126</v>
      </c>
      <c r="AA45" s="10">
        <f>kt*((Tabella2[[#This Row],[Day]]/t0t)^wt)*EXP(-(Tabella2[[#This Row],[Day]]/t0t))</f>
        <v>753.15369243077168</v>
      </c>
      <c r="AB45" s="65">
        <f>Tabella2[[#This Row],[New_Deaths_fit]]*NOT(ISBLANK(Tabella2[[#This Row],[New deaths]]))</f>
        <v>753.15369243077168</v>
      </c>
      <c r="AC45" s="10">
        <f>Tabella2[[#This Row],[New_Deaths_fit]]+CIt</f>
        <v>898.45781765860499</v>
      </c>
      <c r="AD45" s="10">
        <f>MAX(Tabella2[[#This Row],[New_Deaths_fit]]-CIt,0)</f>
        <v>607.84956720293837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kn*t0n*_xlfn.GAMMA.DIST(Tabella2[[#This Row],[Day]]/t0n,wn+1,1,1)*_xlfn.GAMMA(wn+1)</f>
        <v>115568.17948590679</v>
      </c>
      <c r="H46" s="10">
        <f>kn*((Tabella2[[#This Row],[Day]]/t0n)^wn)*EXP(-(Tabella2[[#This Row],[Day]]/t0n))</f>
        <v>4738.1418856615019</v>
      </c>
      <c r="I46" s="56">
        <f>Tabella2[[#This Row],[New_cases_fit]]*NOT(ISBLANK(Tabella2[[#This Row],[New cases]]))</f>
        <v>4738.1418856615019</v>
      </c>
      <c r="J46" s="10">
        <f>Tabella2[[#This Row],[New_cases_fit]]+CIn</f>
        <v>5958.4034617970856</v>
      </c>
      <c r="K46" s="10">
        <f>MAX(Tabella2[[#This Row],[New_cases_fit]]-CIn,0)</f>
        <v>3517.8803095259182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2690.6349313871365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kd*t0d*_xlfn.GAMMA.DIST(Tabella2[[#This Row],[Day]]/t0d,wd+1,1,1)*_xlfn.GAMMA(wd+1)</f>
        <v>17727.466423152258</v>
      </c>
      <c r="S46" s="10">
        <f>kd*((Tabella2[[#This Row],[Day]]/t0d)^wd)*EXP(-(Tabella2[[#This Row],[Day]]/t0d))</f>
        <v>1310.7905508796703</v>
      </c>
      <c r="T46" s="60">
        <f>Tabella2[[#This Row],[New_Recovered_fit]]*NOT(ISBLANK(Tabella2[[#This Row],[New recovered]]))</f>
        <v>1310.7905508796703</v>
      </c>
      <c r="U46" s="10">
        <f>Tabella2[[#This Row],[New_Recovered_fit]]+CId</f>
        <v>1868.0613011199903</v>
      </c>
      <c r="V46" s="10">
        <f>MAX(Tabella2[[#This Row],[New_Recovered_fit]]-CId,0)</f>
        <v>753.51980063935014</v>
      </c>
      <c r="W46" s="10">
        <f>'dpc-covid19-ita-andamento-naz'!K40</f>
        <v>13915</v>
      </c>
      <c r="X46" s="26">
        <f>Tabella2[[#This Row],[Cum_deaths]]-W45</f>
        <v>760</v>
      </c>
      <c r="Y46" s="65">
        <f>Tabella2[[#This Row],[New deaths]]*NOT(ISBLANK(Tabella2[[#This Row],[New deaths]]))</f>
        <v>760</v>
      </c>
      <c r="Z46" s="50">
        <f>kt*t0t*_xlfn.GAMMA.DIST(Tabella2[[#This Row],[Day]]/t0t,wt+1,1,1)*_xlfn.GAMMA(wt+1)</f>
        <v>13789.325616299981</v>
      </c>
      <c r="AA46" s="10">
        <f>kt*((Tabella2[[#This Row],[Day]]/t0t)^wt)*EXP(-(Tabella2[[#This Row],[Day]]/t0t))</f>
        <v>736.71640339469513</v>
      </c>
      <c r="AB46" s="65">
        <f>Tabella2[[#This Row],[New_Deaths_fit]]*NOT(ISBLANK(Tabella2[[#This Row],[New deaths]]))</f>
        <v>736.71640339469513</v>
      </c>
      <c r="AC46" s="10">
        <f>Tabella2[[#This Row],[New_Deaths_fit]]+CIt</f>
        <v>882.02052862252845</v>
      </c>
      <c r="AD46" s="10">
        <f>MAX(Tabella2[[#This Row],[New_Deaths_fit]]-CIt,0)</f>
        <v>591.41227816686182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kn*t0n*_xlfn.GAMMA.DIST(Tabella2[[#This Row],[Day]]/t0n,wn+1,1,1)*_xlfn.GAMMA(wn+1)</f>
        <v>120233.66195910878</v>
      </c>
      <c r="H47" s="10">
        <f>kn*((Tabella2[[#This Row],[Day]]/t0n)^wn)*EXP(-(Tabella2[[#This Row],[Day]]/t0n))</f>
        <v>4591.3202927461007</v>
      </c>
      <c r="I47" s="56">
        <f>Tabella2[[#This Row],[New_cases_fit]]*NOT(ISBLANK(Tabella2[[#This Row],[New cases]]))</f>
        <v>4591.3202927461007</v>
      </c>
      <c r="J47" s="10">
        <f>Tabella2[[#This Row],[New_cases_fit]]+CIn</f>
        <v>5811.5818688816844</v>
      </c>
      <c r="K47" s="10">
        <f>MAX(Tabella2[[#This Row],[New_cases_fit]]-CIn,0)</f>
        <v>3371.058716610517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2500.5143687288646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kd*t0d*_xlfn.GAMMA.DIST(Tabella2[[#This Row],[Day]]/t0d,wd+1,1,1)*_xlfn.GAMMA(wd+1)</f>
        <v>19069.498572374247</v>
      </c>
      <c r="S47" s="10">
        <f>kd*((Tabella2[[#This Row],[Day]]/t0d)^wd)*EXP(-(Tabella2[[#This Row],[Day]]/t0d))</f>
        <v>1373.4843139990301</v>
      </c>
      <c r="T47" s="60">
        <f>Tabella2[[#This Row],[New_Recovered_fit]]*NOT(ISBLANK(Tabella2[[#This Row],[New recovered]]))</f>
        <v>1373.4843139990301</v>
      </c>
      <c r="U47" s="10">
        <f>Tabella2[[#This Row],[New_Recovered_fit]]+CId</f>
        <v>1930.7550642393503</v>
      </c>
      <c r="V47" s="10">
        <f>MAX(Tabella2[[#This Row],[New_Recovered_fit]]-CId,0)</f>
        <v>816.21356375870994</v>
      </c>
      <c r="W47" s="10">
        <f>'dpc-covid19-ita-andamento-naz'!K41</f>
        <v>14681</v>
      </c>
      <c r="X47" s="26">
        <f>Tabella2[[#This Row],[Cum_deaths]]-W46</f>
        <v>766</v>
      </c>
      <c r="Y47" s="65">
        <f>Tabella2[[#This Row],[New deaths]]*NOT(ISBLANK(Tabella2[[#This Row],[New deaths]]))</f>
        <v>766</v>
      </c>
      <c r="Z47" s="50">
        <f>kt*t0t*_xlfn.GAMMA.DIST(Tabella2[[#This Row],[Day]]/t0t,wt+1,1,1)*_xlfn.GAMMA(wt+1)</f>
        <v>14516.573718680251</v>
      </c>
      <c r="AA47" s="10">
        <f>kt*((Tabella2[[#This Row],[Day]]/t0t)^wt)*EXP(-(Tabella2[[#This Row],[Day]]/t0t))</f>
        <v>717.32161001820612</v>
      </c>
      <c r="AB47" s="65">
        <f>Tabella2[[#This Row],[New_Deaths_fit]]*NOT(ISBLANK(Tabella2[[#This Row],[New deaths]]))</f>
        <v>717.32161001820612</v>
      </c>
      <c r="AC47" s="10">
        <f>Tabella2[[#This Row],[New_Deaths_fit]]+CIt</f>
        <v>862.62573524603943</v>
      </c>
      <c r="AD47" s="10">
        <f>MAX(Tabella2[[#This Row],[New_Deaths_fit]]-CIt,0)</f>
        <v>572.01748479037281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kn*t0n*_xlfn.GAMMA.DIST(Tabella2[[#This Row],[Day]]/t0n,wn+1,1,1)*_xlfn.GAMMA(wn+1)</f>
        <v>124748.11778870685</v>
      </c>
      <c r="H48" s="10">
        <f>kn*((Tabella2[[#This Row],[Day]]/t0n)^wn)*EXP(-(Tabella2[[#This Row],[Day]]/t0n))</f>
        <v>4436.3882632629438</v>
      </c>
      <c r="I48" s="56">
        <f>Tabella2[[#This Row],[New_cases_fit]]*NOT(ISBLANK(Tabella2[[#This Row],[New cases]]))</f>
        <v>4436.3882632629438</v>
      </c>
      <c r="J48" s="10">
        <f>Tabella2[[#This Row],[New_cases_fit]]+CIn</f>
        <v>5656.6498393985275</v>
      </c>
      <c r="K48" s="10">
        <f>MAX(Tabella2[[#This Row],[New_cases_fit]]-CIn,0)</f>
        <v>3216.1266871273601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2303.5660543806839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kd*t0d*_xlfn.GAMMA.DIST(Tabella2[[#This Row],[Day]]/t0d,wd+1,1,1)*_xlfn.GAMMA(wd+1)</f>
        <v>20474.854515046009</v>
      </c>
      <c r="S48" s="10">
        <f>kd*((Tabella2[[#This Row],[Day]]/t0d)^wd)*EXP(-(Tabella2[[#This Row],[Day]]/t0d))</f>
        <v>1437.4364756154696</v>
      </c>
      <c r="T48" s="60">
        <f>Tabella2[[#This Row],[New_Recovered_fit]]*NOT(ISBLANK(Tabella2[[#This Row],[New recovered]]))</f>
        <v>1437.4364756154696</v>
      </c>
      <c r="U48" s="10">
        <f>Tabella2[[#This Row],[New_Recovered_fit]]+CId</f>
        <v>1994.7072258557896</v>
      </c>
      <c r="V48" s="10">
        <f>MAX(Tabella2[[#This Row],[New_Recovered_fit]]-CId,0)</f>
        <v>880.16572537514946</v>
      </c>
      <c r="W48" s="10">
        <f>'dpc-covid19-ita-andamento-naz'!K42</f>
        <v>15362</v>
      </c>
      <c r="X48" s="26">
        <f>Tabella2[[#This Row],[Cum_deaths]]-W47</f>
        <v>681</v>
      </c>
      <c r="Y48" s="65">
        <f>Tabella2[[#This Row],[New deaths]]*NOT(ISBLANK(Tabella2[[#This Row],[New deaths]]))</f>
        <v>681</v>
      </c>
      <c r="Z48" s="50">
        <f>kt*t0t*_xlfn.GAMMA.DIST(Tabella2[[#This Row],[Day]]/t0t,wt+1,1,1)*_xlfn.GAMMA(wt+1)</f>
        <v>15223.121863492852</v>
      </c>
      <c r="AA48" s="10">
        <f>kt*((Tabella2[[#This Row],[Day]]/t0t)^wt)*EXP(-(Tabella2[[#This Row],[Day]]/t0t))</f>
        <v>695.38573326679045</v>
      </c>
      <c r="AB48" s="65">
        <f>Tabella2[[#This Row],[New_Deaths_fit]]*NOT(ISBLANK(Tabella2[[#This Row],[New deaths]]))</f>
        <v>695.38573326679045</v>
      </c>
      <c r="AC48" s="10">
        <f>Tabella2[[#This Row],[New_Deaths_fit]]+CIt</f>
        <v>840.68985849462376</v>
      </c>
      <c r="AD48" s="10">
        <f>MAX(Tabella2[[#This Row],[New_Deaths_fit]]-CIt,0)</f>
        <v>550.08160803895714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kn*t0n*_xlfn.GAMMA.DIST(Tabella2[[#This Row],[Day]]/t0n,wn+1,1,1)*_xlfn.GAMMA(wn+1)</f>
        <v>129104.31704559058</v>
      </c>
      <c r="H49" s="10">
        <f>kn*((Tabella2[[#This Row],[Day]]/t0n)^wn)*EXP(-(Tabella2[[#This Row],[Day]]/t0n))</f>
        <v>4275.0879884705</v>
      </c>
      <c r="I49" s="56">
        <f>Tabella2[[#This Row],[New_cases_fit]]*NOT(ISBLANK(Tabella2[[#This Row],[New cases]]))</f>
        <v>4275.0879884705</v>
      </c>
      <c r="J49" s="10">
        <f>Tabella2[[#This Row],[New_cases_fit]]+CIn</f>
        <v>5495.3495646060837</v>
      </c>
      <c r="K49" s="10">
        <f>MAX(Tabella2[[#This Row],[New_cases_fit]]-CIn,0)</f>
        <v>3054.8264123349163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2101.1304149603579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kd*t0d*_xlfn.GAMMA.DIST(Tabella2[[#This Row],[Day]]/t0d,wd+1,1,1)*_xlfn.GAMMA(wd+1)</f>
        <v>21944.787696712501</v>
      </c>
      <c r="S49" s="10">
        <f>kd*((Tabella2[[#This Row],[Day]]/t0d)^wd)*EXP(-(Tabella2[[#This Row],[Day]]/t0d))</f>
        <v>1502.637163028865</v>
      </c>
      <c r="T49" s="60">
        <f>Tabella2[[#This Row],[New_Recovered_fit]]*NOT(ISBLANK(Tabella2[[#This Row],[New recovered]]))</f>
        <v>1502.637163028865</v>
      </c>
      <c r="U49" s="10">
        <f>Tabella2[[#This Row],[New_Recovered_fit]]+CId</f>
        <v>2059.907913269185</v>
      </c>
      <c r="V49" s="10">
        <f>MAX(Tabella2[[#This Row],[New_Recovered_fit]]-CId,0)</f>
        <v>945.36641278854484</v>
      </c>
      <c r="W49" s="10">
        <f>'dpc-covid19-ita-andamento-naz'!K43</f>
        <v>15887</v>
      </c>
      <c r="X49" s="26">
        <f>Tabella2[[#This Row],[Cum_deaths]]-W48</f>
        <v>525</v>
      </c>
      <c r="Y49" s="65">
        <f>Tabella2[[#This Row],[New deaths]]*NOT(ISBLANK(Tabella2[[#This Row],[New deaths]]))</f>
        <v>525</v>
      </c>
      <c r="Z49" s="50">
        <f>kt*t0t*_xlfn.GAMMA.DIST(Tabella2[[#This Row],[Day]]/t0t,wt+1,1,1)*_xlfn.GAMMA(wt+1)</f>
        <v>15906.635504613081</v>
      </c>
      <c r="AA49" s="10">
        <f>kt*((Tabella2[[#This Row],[Day]]/t0t)^wt)*EXP(-(Tabella2[[#This Row],[Day]]/t0t))</f>
        <v>671.32041048127701</v>
      </c>
      <c r="AB49" s="65">
        <f>Tabella2[[#This Row],[New_Deaths_fit]]*NOT(ISBLANK(Tabella2[[#This Row],[New deaths]]))</f>
        <v>671.32041048127701</v>
      </c>
      <c r="AC49" s="10">
        <f>Tabella2[[#This Row],[New_Deaths_fit]]+CIt</f>
        <v>816.62453570911032</v>
      </c>
      <c r="AD49" s="10">
        <f>MAX(Tabella2[[#This Row],[New_Deaths_fit]]-CIt,0)</f>
        <v>526.0162852534437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kn*t0n*_xlfn.GAMMA.DIST(Tabella2[[#This Row],[Day]]/t0n,wn+1,1,1)*_xlfn.GAMMA(wn+1)</f>
        <v>133296.71401515396</v>
      </c>
      <c r="H50" s="10">
        <f>kn*((Tabella2[[#This Row],[Day]]/t0n)^wn)*EXP(-(Tabella2[[#This Row],[Day]]/t0n))</f>
        <v>4109.0443154677478</v>
      </c>
      <c r="I50" s="56">
        <f>Tabella2[[#This Row],[New_cases_fit]]*NOT(ISBLANK(Tabella2[[#This Row],[New cases]]))</f>
        <v>4109.0443154677478</v>
      </c>
      <c r="J50" s="10">
        <f>Tabella2[[#This Row],[New_cases_fit]]+CIn</f>
        <v>5329.3058916033315</v>
      </c>
      <c r="K50" s="10">
        <f>MAX(Tabella2[[#This Row],[New_cases_fit]]-CIn,0)</f>
        <v>2888.7827393321641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1894.442307221133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kd*t0d*_xlfn.GAMMA.DIST(Tabella2[[#This Row],[Day]]/t0d,wd+1,1,1)*_xlfn.GAMMA(wd+1)</f>
        <v>23480.541788194714</v>
      </c>
      <c r="S50" s="10">
        <f>kd*((Tabella2[[#This Row],[Day]]/t0d)^wd)*EXP(-(Tabella2[[#This Row],[Day]]/t0d))</f>
        <v>1569.076697880206</v>
      </c>
      <c r="T50" s="60">
        <f>Tabella2[[#This Row],[New_Recovered_fit]]*NOT(ISBLANK(Tabella2[[#This Row],[New recovered]]))</f>
        <v>1569.076697880206</v>
      </c>
      <c r="U50" s="10">
        <f>Tabella2[[#This Row],[New_Recovered_fit]]+CId</f>
        <v>2126.3474481205262</v>
      </c>
      <c r="V50" s="10">
        <f>MAX(Tabella2[[#This Row],[New_Recovered_fit]]-CId,0)</f>
        <v>1011.8059476398859</v>
      </c>
      <c r="W50" s="10">
        <f>'dpc-covid19-ita-andamento-naz'!K44</f>
        <v>16523</v>
      </c>
      <c r="X50" s="26">
        <f>Tabella2[[#This Row],[Cum_deaths]]-W49</f>
        <v>636</v>
      </c>
      <c r="Y50" s="65">
        <f>Tabella2[[#This Row],[New deaths]]*NOT(ISBLANK(Tabella2[[#This Row],[New deaths]]))</f>
        <v>636</v>
      </c>
      <c r="Z50" s="50">
        <f>kt*t0t*_xlfn.GAMMA.DIST(Tabella2[[#This Row],[Day]]/t0t,wt+1,1,1)*_xlfn.GAMMA(wt+1)</f>
        <v>16565.186291789378</v>
      </c>
      <c r="AA50" s="10">
        <f>kt*((Tabella2[[#This Row],[Day]]/t0t)^wt)*EXP(-(Tabella2[[#This Row],[Day]]/t0t))</f>
        <v>645.52531036640892</v>
      </c>
      <c r="AB50" s="65">
        <f>Tabella2[[#This Row],[New_Deaths_fit]]*NOT(ISBLANK(Tabella2[[#This Row],[New deaths]]))</f>
        <v>645.52531036640892</v>
      </c>
      <c r="AC50" s="10">
        <f>Tabella2[[#This Row],[New_Deaths_fit]]+CIt</f>
        <v>790.82943559424223</v>
      </c>
      <c r="AD50" s="10">
        <f>MAX(Tabella2[[#This Row],[New_Deaths_fit]]-CIt,0)</f>
        <v>500.22118513857561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kn*t0n*_xlfn.GAMMA.DIST(Tabella2[[#This Row],[Day]]/t0n,wn+1,1,1)*_xlfn.GAMMA(wn+1)</f>
        <v>137321.32623397795</v>
      </c>
      <c r="H51" s="10">
        <f>kn*((Tabella2[[#This Row],[Day]]/t0n)^wn)*EXP(-(Tabella2[[#This Row],[Day]]/t0n))</f>
        <v>3939.758046531877</v>
      </c>
      <c r="I51" s="56">
        <f>Tabella2[[#This Row],[New_cases_fit]]*NOT(ISBLANK(Tabella2[[#This Row],[New cases]]))</f>
        <v>3939.758046531877</v>
      </c>
      <c r="J51" s="10">
        <f>Tabella2[[#This Row],[New_cases_fit]]+CIn</f>
        <v>5160.0196226674607</v>
      </c>
      <c r="K51" s="10">
        <f>MAX(Tabella2[[#This Row],[New_cases_fit]]-CIn,0)</f>
        <v>2719.4964703962933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1684.6301874044325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kd*t0d*_xlfn.GAMMA.DIST(Tabella2[[#This Row],[Day]]/t0d,wd+1,1,1)*_xlfn.GAMMA(wd+1)</f>
        <v>25083.350875218195</v>
      </c>
      <c r="S51" s="10">
        <f>kd*((Tabella2[[#This Row],[Day]]/t0d)^wd)*EXP(-(Tabella2[[#This Row],[Day]]/t0d))</f>
        <v>1636.7455868450475</v>
      </c>
      <c r="T51" s="60">
        <f>Tabella2[[#This Row],[New_Recovered_fit]]*NOT(ISBLANK(Tabella2[[#This Row],[New recovered]]))</f>
        <v>1636.7455868450475</v>
      </c>
      <c r="U51" s="10">
        <f>Tabella2[[#This Row],[New_Recovered_fit]]+CId</f>
        <v>2194.0163370853675</v>
      </c>
      <c r="V51" s="10">
        <f>MAX(Tabella2[[#This Row],[New_Recovered_fit]]-CId,0)</f>
        <v>1079.4748366047274</v>
      </c>
      <c r="W51" s="10">
        <f>'dpc-covid19-ita-andamento-naz'!K45</f>
        <v>17127</v>
      </c>
      <c r="X51" s="26">
        <f>Tabella2[[#This Row],[Cum_deaths]]-W50</f>
        <v>604</v>
      </c>
      <c r="Y51" s="65">
        <f>Tabella2[[#This Row],[New deaths]]*NOT(ISBLANK(Tabella2[[#This Row],[New deaths]]))</f>
        <v>604</v>
      </c>
      <c r="Z51" s="50">
        <f>kt*t0t*_xlfn.GAMMA.DIST(Tabella2[[#This Row],[Day]]/t0t,wt+1,1,1)*_xlfn.GAMMA(wt+1)</f>
        <v>17197.237063454428</v>
      </c>
      <c r="AA51" s="10">
        <f>kt*((Tabella2[[#This Row],[Day]]/t0t)^wt)*EXP(-(Tabella2[[#This Row],[Day]]/t0t))</f>
        <v>618.38227228239714</v>
      </c>
      <c r="AB51" s="65">
        <f>Tabella2[[#This Row],[New_Deaths_fit]]*NOT(ISBLANK(Tabella2[[#This Row],[New deaths]]))</f>
        <v>618.38227228239714</v>
      </c>
      <c r="AC51" s="10">
        <f>Tabella2[[#This Row],[New_Deaths_fit]]+CIt</f>
        <v>763.68639751023045</v>
      </c>
      <c r="AD51" s="10">
        <f>MAX(Tabella2[[#This Row],[New_Deaths_fit]]-CIt,0)</f>
        <v>473.07814705456383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kn*t0n*_xlfn.GAMMA.DIST(Tabella2[[#This Row],[Day]]/t0n,wn+1,1,1)*_xlfn.GAMMA(wn+1)</f>
        <v>141175.60836396867</v>
      </c>
      <c r="H52" s="10">
        <f>kn*((Tabella2[[#This Row],[Day]]/t0n)^wn)*EXP(-(Tabella2[[#This Row],[Day]]/t0n))</f>
        <v>3768.6022404883138</v>
      </c>
      <c r="I52" s="56">
        <f>Tabella2[[#This Row],[New_cases_fit]]*NOT(ISBLANK(Tabella2[[#This Row],[New cases]]))</f>
        <v>3768.6022404883138</v>
      </c>
      <c r="J52" s="10">
        <f>Tabella2[[#This Row],[New_cases_fit]]+CIn</f>
        <v>4988.8638166238979</v>
      </c>
      <c r="K52" s="10">
        <f>MAX(Tabella2[[#This Row],[New_cases_fit]]-CIn,0)</f>
        <v>2548.3406643527301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1472.7170210408817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kd*t0d*_xlfn.GAMMA.DIST(Tabella2[[#This Row],[Day]]/t0d,wd+1,1,1)*_xlfn.GAMMA(wd+1)</f>
        <v>26754.439639079279</v>
      </c>
      <c r="S52" s="10">
        <f>kd*((Tabella2[[#This Row],[Day]]/t0d)^wd)*EXP(-(Tabella2[[#This Row],[Day]]/t0d))</f>
        <v>1705.6345130041389</v>
      </c>
      <c r="T52" s="60">
        <f>Tabella2[[#This Row],[New_Recovered_fit]]*NOT(ISBLANK(Tabella2[[#This Row],[New recovered]]))</f>
        <v>1705.6345130041389</v>
      </c>
      <c r="U52" s="10">
        <f>Tabella2[[#This Row],[New_Recovered_fit]]+CId</f>
        <v>2262.9052632444591</v>
      </c>
      <c r="V52" s="10">
        <f>MAX(Tabella2[[#This Row],[New_Recovered_fit]]-CId,0)</f>
        <v>1148.3637627638186</v>
      </c>
      <c r="W52" s="10">
        <f>'dpc-covid19-ita-andamento-naz'!K46</f>
        <v>17669</v>
      </c>
      <c r="X52" s="26">
        <f>Tabella2[[#This Row],[Cum_deaths]]-W51</f>
        <v>542</v>
      </c>
      <c r="Y52" s="65">
        <f>Tabella2[[#This Row],[New deaths]]*NOT(ISBLANK(Tabella2[[#This Row],[New deaths]]))</f>
        <v>542</v>
      </c>
      <c r="Z52" s="50">
        <f>kt*t0t*_xlfn.GAMMA.DIST(Tabella2[[#This Row],[Day]]/t0t,wt+1,1,1)*_xlfn.GAMMA(wt+1)</f>
        <v>17801.621615823795</v>
      </c>
      <c r="AA52" s="10">
        <f>kt*((Tabella2[[#This Row],[Day]]/t0t)^wt)*EXP(-(Tabella2[[#This Row],[Day]]/t0t))</f>
        <v>590.25070644329355</v>
      </c>
      <c r="AB52" s="65">
        <f>Tabella2[[#This Row],[New_Deaths_fit]]*NOT(ISBLANK(Tabella2[[#This Row],[New deaths]]))</f>
        <v>590.25070644329355</v>
      </c>
      <c r="AC52" s="10">
        <f>Tabella2[[#This Row],[New_Deaths_fit]]+CIt</f>
        <v>735.55483167112686</v>
      </c>
      <c r="AD52" s="10">
        <f>MAX(Tabella2[[#This Row],[New_Deaths_fit]]-CIt,0)</f>
        <v>444.94658121546024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kn*t0n*_xlfn.GAMMA.DIST(Tabella2[[#This Row],[Day]]/t0n,wn+1,1,1)*_xlfn.GAMMA(wn+1)</f>
        <v>144858.32368694126</v>
      </c>
      <c r="H53" s="10">
        <f>kn*((Tabella2[[#This Row],[Day]]/t0n)^wn)*EXP(-(Tabella2[[#This Row],[Day]]/t0n))</f>
        <v>3596.8210818228235</v>
      </c>
      <c r="I53" s="56">
        <f>Tabella2[[#This Row],[New_cases_fit]]*NOT(ISBLANK(Tabella2[[#This Row],[New cases]]))</f>
        <v>3596.8210818228235</v>
      </c>
      <c r="J53" s="10">
        <f>Tabella2[[#This Row],[New_cases_fit]]+CIn</f>
        <v>4817.0826579584073</v>
      </c>
      <c r="K53" s="10">
        <f>MAX(Tabella2[[#This Row],[New_cases_fit]]-CIn,0)</f>
        <v>2376.5595056872398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1259.6225891975462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kd*t0d*_xlfn.GAMMA.DIST(Tabella2[[#This Row],[Day]]/t0d,wd+1,1,1)*_xlfn.GAMMA(wd+1)</f>
        <v>28495.023528993628</v>
      </c>
      <c r="S53" s="10">
        <f>kd*((Tabella2[[#This Row],[Day]]/t0d)^wd)*EXP(-(Tabella2[[#This Row],[Day]]/t0d))</f>
        <v>1775.7343278271285</v>
      </c>
      <c r="T53" s="60">
        <f>Tabella2[[#This Row],[New_Recovered_fit]]*NOT(ISBLANK(Tabella2[[#This Row],[New recovered]]))</f>
        <v>1775.7343278271285</v>
      </c>
      <c r="U53" s="10">
        <f>Tabella2[[#This Row],[New_Recovered_fit]]+CId</f>
        <v>2333.0050780674487</v>
      </c>
      <c r="V53" s="10">
        <f>MAX(Tabella2[[#This Row],[New_Recovered_fit]]-CId,0)</f>
        <v>1218.4635775868082</v>
      </c>
      <c r="W53" s="10">
        <f>'dpc-covid19-ita-andamento-naz'!K47</f>
        <v>18279</v>
      </c>
      <c r="X53" s="26">
        <f>Tabella2[[#This Row],[Cum_deaths]]-W52</f>
        <v>610</v>
      </c>
      <c r="Y53" s="65">
        <f>Tabella2[[#This Row],[New deaths]]*NOT(ISBLANK(Tabella2[[#This Row],[New deaths]]))</f>
        <v>610</v>
      </c>
      <c r="Z53" s="50">
        <f>kt*t0t*_xlfn.GAMMA.DIST(Tabella2[[#This Row],[Day]]/t0t,wt+1,1,1)*_xlfn.GAMMA(wt+1)</f>
        <v>18377.52046593307</v>
      </c>
      <c r="AA53" s="10">
        <f>kt*((Tabella2[[#This Row],[Day]]/t0t)^wt)*EXP(-(Tabella2[[#This Row],[Day]]/t0t))</f>
        <v>561.46416479814889</v>
      </c>
      <c r="AB53" s="65">
        <f>Tabella2[[#This Row],[New_Deaths_fit]]*NOT(ISBLANK(Tabella2[[#This Row],[New deaths]]))</f>
        <v>561.46416479814889</v>
      </c>
      <c r="AC53" s="10">
        <f>Tabella2[[#This Row],[New_Deaths_fit]]+CIt</f>
        <v>706.7682900259822</v>
      </c>
      <c r="AD53" s="10">
        <f>MAX(Tabella2[[#This Row],[New_Deaths_fit]]-CIt,0)</f>
        <v>416.16003957031558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50">
        <f>kn*t0n*_xlfn.GAMMA.DIST(Tabella2[[#This Row],[Day]]/t0n,wn+1,1,1)*_xlfn.GAMMA(wn+1)</f>
        <v>148369.41558074084</v>
      </c>
      <c r="H54" s="10">
        <f>kn*((Tabella2[[#This Row],[Day]]/t0n)^wn)*EXP(-(Tabella2[[#This Row],[Day]]/t0n))</f>
        <v>3425.5309089653151</v>
      </c>
      <c r="I54" s="56">
        <f>Tabella2[[#This Row],[New_cases_fit]]*NOT(ISBLANK(Tabella2[[#This Row],[New cases]]))</f>
        <v>3425.5309089653151</v>
      </c>
      <c r="J54" s="10">
        <f>Tabella2[[#This Row],[New_cases_fit]]+CIn</f>
        <v>4645.7924851008993</v>
      </c>
      <c r="K54" s="10">
        <f>MAX(Tabella2[[#This Row],[New_cases_fit]]-CIn,0)</f>
        <v>2205.2693328297314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1046.1668910762114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50">
        <f>kd*t0d*_xlfn.GAMMA.DIST(Tabella2[[#This Row],[Day]]/t0d,wd+1,1,1)*_xlfn.GAMMA(wd+1)</f>
        <v>30306.308926710881</v>
      </c>
      <c r="S54" s="10">
        <f>kd*((Tabella2[[#This Row],[Day]]/t0d)^wd)*EXP(-(Tabella2[[#This Row],[Day]]/t0d))</f>
        <v>1847.0360437126717</v>
      </c>
      <c r="T54" s="60">
        <f>Tabella2[[#This Row],[New_Recovered_fit]]*NOT(ISBLANK(Tabella2[[#This Row],[New recovered]]))</f>
        <v>1847.0360437126717</v>
      </c>
      <c r="U54" s="10">
        <f>Tabella2[[#This Row],[New_Recovered_fit]]+CId</f>
        <v>2404.3067939529919</v>
      </c>
      <c r="V54" s="10">
        <f>MAX(Tabella2[[#This Row],[New_Recovered_fit]]-CId,0)</f>
        <v>1289.7652934723515</v>
      </c>
      <c r="W54" s="10">
        <f>'dpc-covid19-ita-andamento-naz'!K48</f>
        <v>18849</v>
      </c>
      <c r="X54" s="26">
        <f>Tabella2[[#This Row],[Cum_deaths]]-W53</f>
        <v>570</v>
      </c>
      <c r="Y54" s="65">
        <f>Tabella2[[#This Row],[New deaths]]*NOT(ISBLANK(Tabella2[[#This Row],[New deaths]]))</f>
        <v>570</v>
      </c>
      <c r="Z54" s="50">
        <f>kt*t0t*_xlfn.GAMMA.DIST(Tabella2[[#This Row],[Day]]/t0t,wt+1,1,1)*_xlfn.GAMMA(wt+1)</f>
        <v>18924.433726277333</v>
      </c>
      <c r="AA54" s="10">
        <f>kt*((Tabella2[[#This Row],[Day]]/t0t)^wt)*EXP(-(Tabella2[[#This Row],[Day]]/t0t))</f>
        <v>532.32797417643189</v>
      </c>
      <c r="AB54" s="65">
        <f>Tabella2[[#This Row],[New_Deaths_fit]]*NOT(ISBLANK(Tabella2[[#This Row],[New deaths]]))</f>
        <v>532.32797417643189</v>
      </c>
      <c r="AC54" s="10">
        <f>Tabella2[[#This Row],[New_Deaths_fit]]+CIt</f>
        <v>677.6320994042652</v>
      </c>
      <c r="AD54" s="10">
        <f>MAX(Tabella2[[#This Row],[New_Deaths_fit]]-CIt,0)</f>
        <v>387.02384894859858</v>
      </c>
    </row>
    <row r="55" spans="2:30" x14ac:dyDescent="0.3">
      <c r="B55" s="9">
        <v>43932</v>
      </c>
      <c r="C55" s="4">
        <f t="shared" si="0"/>
        <v>47</v>
      </c>
      <c r="D55" s="10">
        <f>'dpc-covid19-ita-andamento-naz'!L49</f>
        <v>152271</v>
      </c>
      <c r="E55" s="30">
        <f>'dpc-covid19-ita-andamento-naz'!I49</f>
        <v>4694</v>
      </c>
      <c r="F55" s="56">
        <f>Tabella2[[#This Row],[New cases]]*NOT(ISBLANK(Tabella2[[#This Row],[New cases]]))</f>
        <v>4694</v>
      </c>
      <c r="G55" s="50">
        <f>kn*t0n*_xlfn.GAMMA.DIST(Tabella2[[#This Row],[Day]]/t0n,wn+1,1,1)*_xlfn.GAMMA(wn+1)</f>
        <v>151709.88094428022</v>
      </c>
      <c r="H55" s="10">
        <f>kn*((Tabella2[[#This Row],[Day]]/t0n)^wn)*EXP(-(Tabella2[[#This Row],[Day]]/t0n))</f>
        <v>3255.7230234932158</v>
      </c>
      <c r="I55" s="56">
        <f>Tabella2[[#This Row],[New_cases_fit]]*NOT(ISBLANK(Tabella2[[#This Row],[New cases]]))</f>
        <v>3255.7230234932158</v>
      </c>
      <c r="J55" s="10">
        <f>Tabella2[[#This Row],[New_cases_fit]]+CIn</f>
        <v>4475.9845996287995</v>
      </c>
      <c r="K55" s="10">
        <f>MAX(Tabella2[[#This Row],[New_cases_fit]]-CIn,0)</f>
        <v>2035.4614473576321</v>
      </c>
      <c r="L55" s="54">
        <f>'dpc-covid19-ita-andamento-naz'!G49</f>
        <v>100269</v>
      </c>
      <c r="M55" s="54">
        <f>'dpc-covid19-ita-andamento-naz'!H49</f>
        <v>1996</v>
      </c>
      <c r="N55" s="54">
        <f>Tabella2[[#This Row],[New_cases_fit]]-Tabella2[[#This Row],[New_Recovered_fit]]-Tabella2[[#This Row],[New_Deaths_fit]]</f>
        <v>833.07438399730688</v>
      </c>
      <c r="O55" s="10">
        <f>'dpc-covid19-ita-andamento-naz'!J49</f>
        <v>32534</v>
      </c>
      <c r="P55" s="48">
        <f>Tabella2[[#This Row],[Cum_recov]]-O54</f>
        <v>2079</v>
      </c>
      <c r="Q55" s="60">
        <f>Tabella2[[#This Row],[New recovered]]*NOT(ISBLANK(Tabella2[[#This Row],[New recovered]]))</f>
        <v>2079</v>
      </c>
      <c r="R55" s="50">
        <f>kd*t0d*_xlfn.GAMMA.DIST(Tabella2[[#This Row],[Day]]/t0d,wd+1,1,1)*_xlfn.GAMMA(wd+1)</f>
        <v>32189.493303926301</v>
      </c>
      <c r="S55" s="10">
        <f>kd*((Tabella2[[#This Row],[Day]]/t0d)^wd)*EXP(-(Tabella2[[#This Row],[Day]]/t0d))</f>
        <v>1919.5308270346168</v>
      </c>
      <c r="T55" s="60">
        <f>Tabella2[[#This Row],[New_Recovered_fit]]*NOT(ISBLANK(Tabella2[[#This Row],[New recovered]]))</f>
        <v>1919.5308270346168</v>
      </c>
      <c r="U55" s="10">
        <f>Tabella2[[#This Row],[New_Recovered_fit]]+CId</f>
        <v>2476.8015772749368</v>
      </c>
      <c r="V55" s="10">
        <f>MAX(Tabella2[[#This Row],[New_Recovered_fit]]-CId,0)</f>
        <v>1362.2600767942968</v>
      </c>
      <c r="W55" s="10">
        <f>'dpc-covid19-ita-andamento-naz'!K49</f>
        <v>19468</v>
      </c>
      <c r="X55" s="26">
        <f>Tabella2[[#This Row],[Cum_deaths]]-W54</f>
        <v>619</v>
      </c>
      <c r="Y55" s="65">
        <f>Tabella2[[#This Row],[New deaths]]*NOT(ISBLANK(Tabella2[[#This Row],[New deaths]]))</f>
        <v>619</v>
      </c>
      <c r="Z55" s="50">
        <f>kt*t0t*_xlfn.GAMMA.DIST(Tabella2[[#This Row],[Day]]/t0t,wt+1,1,1)*_xlfn.GAMMA(wt+1)</f>
        <v>19442.152094325742</v>
      </c>
      <c r="AA55" s="10">
        <f>kt*((Tabella2[[#This Row],[Day]]/t0t)^wt)*EXP(-(Tabella2[[#This Row],[Day]]/t0t))</f>
        <v>503.11781246129215</v>
      </c>
      <c r="AB55" s="65">
        <f>Tabella2[[#This Row],[New_Deaths_fit]]*NOT(ISBLANK(Tabella2[[#This Row],[New deaths]]))</f>
        <v>503.11781246129215</v>
      </c>
      <c r="AC55" s="10">
        <f>Tabella2[[#This Row],[New_Deaths_fit]]+CIt</f>
        <v>648.42193768912546</v>
      </c>
      <c r="AD55" s="10">
        <f>MAX(Tabella2[[#This Row],[New_Deaths_fit]]-CIt,0)</f>
        <v>357.81368723345884</v>
      </c>
    </row>
    <row r="56" spans="2:30" x14ac:dyDescent="0.3">
      <c r="B56" s="9">
        <v>43933</v>
      </c>
      <c r="C56" s="4">
        <f t="shared" si="0"/>
        <v>48</v>
      </c>
      <c r="D56" s="10">
        <f>'dpc-covid19-ita-andamento-naz'!L50</f>
        <v>156363</v>
      </c>
      <c r="E56" s="30">
        <f>'dpc-covid19-ita-andamento-naz'!I50</f>
        <v>4092</v>
      </c>
      <c r="F56" s="56">
        <f>Tabella2[[#This Row],[New cases]]*NOT(ISBLANK(Tabella2[[#This Row],[New cases]]))</f>
        <v>4092</v>
      </c>
      <c r="G56" s="50">
        <f>kn*t0n*_xlfn.GAMMA.DIST(Tabella2[[#This Row],[Day]]/t0n,wn+1,1,1)*_xlfn.GAMMA(wn+1)</f>
        <v>154881.64717699765</v>
      </c>
      <c r="H56" s="10">
        <f>kn*((Tabella2[[#This Row],[Day]]/t0n)^wn)*EXP(-(Tabella2[[#This Row],[Day]]/t0n))</f>
        <v>3088.2679350855069</v>
      </c>
      <c r="I56" s="56">
        <f>Tabella2[[#This Row],[New_cases_fit]]*NOT(ISBLANK(Tabella2[[#This Row],[New cases]]))</f>
        <v>3088.2679350855069</v>
      </c>
      <c r="J56" s="10">
        <f>Tabella2[[#This Row],[New_cases_fit]]+CIn</f>
        <v>4308.5295112210906</v>
      </c>
      <c r="K56" s="10">
        <f>MAX(Tabella2[[#This Row],[New_cases_fit]]-CIn,0)</f>
        <v>1868.0063589499232</v>
      </c>
      <c r="L56" s="54">
        <f>'dpc-covid19-ita-andamento-naz'!G50</f>
        <v>102253</v>
      </c>
      <c r="M56" s="54">
        <f>'dpc-covid19-ita-andamento-naz'!H50</f>
        <v>1984</v>
      </c>
      <c r="N56" s="54">
        <f>Tabella2[[#This Row],[New_cases_fit]]-Tabella2[[#This Row],[New_Recovered_fit]]-Tabella2[[#This Row],[New_Deaths_fit]]</f>
        <v>620.97883957665613</v>
      </c>
      <c r="O56" s="10">
        <f>'dpc-covid19-ita-andamento-naz'!J50</f>
        <v>34211</v>
      </c>
      <c r="P56" s="48">
        <f>Tabella2[[#This Row],[Cum_recov]]-O55</f>
        <v>1677</v>
      </c>
      <c r="Q56" s="60">
        <f>Tabella2[[#This Row],[New recovered]]*NOT(ISBLANK(Tabella2[[#This Row],[New recovered]]))</f>
        <v>1677</v>
      </c>
      <c r="R56" s="50">
        <f>kd*t0d*_xlfn.GAMMA.DIST(Tabella2[[#This Row],[Day]]/t0d,wd+1,1,1)*_xlfn.GAMMA(wd+1)</f>
        <v>34145.76537297367</v>
      </c>
      <c r="S56" s="10">
        <f>kd*((Tabella2[[#This Row],[Day]]/t0d)^wd)*EXP(-(Tabella2[[#This Row],[Day]]/t0d))</f>
        <v>1993.2099916495263</v>
      </c>
      <c r="T56" s="60">
        <f>Tabella2[[#This Row],[New_Recovered_fit]]*NOT(ISBLANK(Tabella2[[#This Row],[New recovered]]))</f>
        <v>1993.2099916495263</v>
      </c>
      <c r="U56" s="10">
        <f>Tabella2[[#This Row],[New_Recovered_fit]]+CId</f>
        <v>2550.4807418898463</v>
      </c>
      <c r="V56" s="10">
        <f>MAX(Tabella2[[#This Row],[New_Recovered_fit]]-CId,0)</f>
        <v>1435.9392414092063</v>
      </c>
      <c r="W56" s="10">
        <f>'dpc-covid19-ita-andamento-naz'!K50</f>
        <v>19899</v>
      </c>
      <c r="X56" s="26">
        <f>Tabella2[[#This Row],[Cum_deaths]]-W55</f>
        <v>431</v>
      </c>
      <c r="Y56" s="65">
        <f>Tabella2[[#This Row],[New deaths]]*NOT(ISBLANK(Tabella2[[#This Row],[New deaths]]))</f>
        <v>431</v>
      </c>
      <c r="Z56" s="50">
        <f>kt*t0t*_xlfn.GAMMA.DIST(Tabella2[[#This Row],[Day]]/t0t,wt+1,1,1)*_xlfn.GAMMA(wt+1)</f>
        <v>19930.72683814236</v>
      </c>
      <c r="AA56" s="10">
        <f>kt*((Tabella2[[#This Row],[Day]]/t0t)^wt)*EXP(-(Tabella2[[#This Row],[Day]]/t0t))</f>
        <v>474.0791038593245</v>
      </c>
      <c r="AB56" s="65">
        <f>Tabella2[[#This Row],[New_Deaths_fit]]*NOT(ISBLANK(Tabella2[[#This Row],[New deaths]]))</f>
        <v>474.0791038593245</v>
      </c>
      <c r="AC56" s="10">
        <f>Tabella2[[#This Row],[New_Deaths_fit]]+CIt</f>
        <v>619.38322908715782</v>
      </c>
      <c r="AD56" s="10">
        <f>MAX(Tabella2[[#This Row],[New_Deaths_fit]]-CIt,0)</f>
        <v>328.77497863149119</v>
      </c>
    </row>
    <row r="57" spans="2:30" x14ac:dyDescent="0.3">
      <c r="B57" s="9">
        <v>43934</v>
      </c>
      <c r="C57" s="4">
        <f t="shared" si="0"/>
        <v>49</v>
      </c>
      <c r="D57" s="10">
        <f>'dpc-covid19-ita-andamento-naz'!L51</f>
        <v>159516</v>
      </c>
      <c r="E57" s="30">
        <f>'dpc-covid19-ita-andamento-naz'!I51</f>
        <v>3153</v>
      </c>
      <c r="F57" s="56">
        <f>Tabella2[[#This Row],[New cases]]*NOT(ISBLANK(Tabella2[[#This Row],[New cases]]))</f>
        <v>3153</v>
      </c>
      <c r="G57" s="50">
        <f>kn*t0n*_xlfn.GAMMA.DIST(Tabella2[[#This Row],[Day]]/t0n,wn+1,1,1)*_xlfn.GAMMA(wn+1)</f>
        <v>157887.45399020263</v>
      </c>
      <c r="H57" s="10">
        <f>kn*((Tabella2[[#This Row],[Day]]/t0n)^wn)*EXP(-(Tabella2[[#This Row],[Day]]/t0n))</f>
        <v>2923.9207314327823</v>
      </c>
      <c r="I57" s="56">
        <f>Tabella2[[#This Row],[New_cases_fit]]*NOT(ISBLANK(Tabella2[[#This Row],[New cases]]))</f>
        <v>2923.9207314327823</v>
      </c>
      <c r="J57" s="10">
        <f>Tabella2[[#This Row],[New_cases_fit]]+CIn</f>
        <v>4144.182307568366</v>
      </c>
      <c r="K57" s="10">
        <f>MAX(Tabella2[[#This Row],[New_cases_fit]]-CIn,0)</f>
        <v>1703.6591552971986</v>
      </c>
      <c r="L57" s="54">
        <f>'dpc-covid19-ita-andamento-naz'!G51</f>
        <v>103616</v>
      </c>
      <c r="M57" s="54">
        <f>'dpc-covid19-ita-andamento-naz'!H51</f>
        <v>1363</v>
      </c>
      <c r="N57" s="54">
        <f>Tabella2[[#This Row],[New_cases_fit]]-Tabella2[[#This Row],[New_Recovered_fit]]-Tabella2[[#This Row],[New_Deaths_fit]]</f>
        <v>410.42862904014959</v>
      </c>
      <c r="O57" s="10">
        <f>'dpc-covid19-ita-andamento-naz'!J51</f>
        <v>35435</v>
      </c>
      <c r="P57" s="48">
        <f>Tabella2[[#This Row],[Cum_recov]]-O56</f>
        <v>1224</v>
      </c>
      <c r="Q57" s="60">
        <f>Tabella2[[#This Row],[New recovered]]*NOT(ISBLANK(Tabella2[[#This Row],[New recovered]]))</f>
        <v>1224</v>
      </c>
      <c r="R57" s="50">
        <f>kd*t0d*_xlfn.GAMMA.DIST(Tabella2[[#This Row],[Day]]/t0d,wd+1,1,1)*_xlfn.GAMMA(wd+1)</f>
        <v>36176.305231238097</v>
      </c>
      <c r="S57" s="10">
        <f>kd*((Tabella2[[#This Row],[Day]]/t0d)^wd)*EXP(-(Tabella2[[#This Row],[Day]]/t0d))</f>
        <v>2068.0649928255652</v>
      </c>
      <c r="T57" s="60">
        <f>Tabella2[[#This Row],[New_Recovered_fit]]*NOT(ISBLANK(Tabella2[[#This Row],[New recovered]]))</f>
        <v>2068.0649928255652</v>
      </c>
      <c r="U57" s="10">
        <f>Tabella2[[#This Row],[New_Recovered_fit]]+CId</f>
        <v>2625.3357430658853</v>
      </c>
      <c r="V57" s="10">
        <f>MAX(Tabella2[[#This Row],[New_Recovered_fit]]-CId,0)</f>
        <v>1510.7942425852452</v>
      </c>
      <c r="W57" s="10">
        <f>'dpc-covid19-ita-andamento-naz'!K51</f>
        <v>20465</v>
      </c>
      <c r="X57" s="26">
        <f>Tabella2[[#This Row],[Cum_deaths]]-W56</f>
        <v>566</v>
      </c>
      <c r="Y57" s="65">
        <f>Tabella2[[#This Row],[New deaths]]*NOT(ISBLANK(Tabella2[[#This Row],[New deaths]]))</f>
        <v>566</v>
      </c>
      <c r="Z57" s="50">
        <f>kt*t0t*_xlfn.GAMMA.DIST(Tabella2[[#This Row],[Day]]/t0t,wt+1,1,1)*_xlfn.GAMMA(wt+1)</f>
        <v>20390.439535164809</v>
      </c>
      <c r="AA57" s="10">
        <f>kt*((Tabella2[[#This Row],[Day]]/t0t)^wt)*EXP(-(Tabella2[[#This Row],[Day]]/t0t))</f>
        <v>445.42710956706748</v>
      </c>
      <c r="AB57" s="65">
        <f>Tabella2[[#This Row],[New_Deaths_fit]]*NOT(ISBLANK(Tabella2[[#This Row],[New deaths]]))</f>
        <v>445.42710956706748</v>
      </c>
      <c r="AC57" s="10">
        <f>Tabella2[[#This Row],[New_Deaths_fit]]+CIt</f>
        <v>590.73123479490073</v>
      </c>
      <c r="AD57" s="10">
        <f>MAX(Tabella2[[#This Row],[New_Deaths_fit]]-CIt,0)</f>
        <v>300.12298433923416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Tabella2[[#This Row],[New cases]]*NOT(ISBLANK(Tabella2[[#This Row],[New cases]]))</f>
        <v>0</v>
      </c>
      <c r="G58" s="50">
        <f>kn*t0n*_xlfn.GAMMA.DIST(Tabella2[[#This Row],[Day]]/t0n,wn+1,1,1)*_xlfn.GAMMA(wn+1)</f>
        <v>160730.74103426683</v>
      </c>
      <c r="H58" s="10">
        <f>kn*((Tabella2[[#This Row],[Day]]/t0n)^wn)*EXP(-(Tabella2[[#This Row],[Day]]/t0n))</f>
        <v>2763.3272968148772</v>
      </c>
      <c r="I58" s="56">
        <f>Tabella2[[#This Row],[New_cases_fit]]*NOT(ISBLANK(Tabella2[[#This Row],[New cases]]))</f>
        <v>0</v>
      </c>
      <c r="L58" s="55"/>
      <c r="M58" s="54"/>
      <c r="N58" s="54">
        <f>Tabella2[[#This Row],[New_cases_fit]]-Tabella2[[#This Row],[New_Recovered_fit]]-Tabella2[[#This Row],[New_Deaths_fit]]</f>
        <v>201.89228106777546</v>
      </c>
      <c r="P58" s="48"/>
      <c r="Q58" s="60">
        <f>Tabella2[[#This Row],[New recovered]]*NOT(ISBLANK(Tabella2[[#This Row],[New recovered]]))</f>
        <v>0</v>
      </c>
      <c r="R58" s="50">
        <f>kd*t0d*_xlfn.GAMMA.DIST(Tabella2[[#This Row],[Day]]/t0d,wd+1,1,1)*_xlfn.GAMMA(wd+1)</f>
        <v>38282.284499694855</v>
      </c>
      <c r="S58" s="10">
        <f>kd*((Tabella2[[#This Row],[Day]]/t0d)^wd)*EXP(-(Tabella2[[#This Row],[Day]]/t0d))</f>
        <v>2144.0874215570734</v>
      </c>
      <c r="T58" s="60">
        <f>Tabella2[[#This Row],[New_Recovered_fit]]*NOT(ISBLANK(Tabella2[[#This Row],[New recovered]]))</f>
        <v>0</v>
      </c>
      <c r="X58" s="26"/>
      <c r="Y58" s="65">
        <f>Tabella2[[#This Row],[New deaths]]*NOT(ISBLANK(Tabella2[[#This Row],[New deaths]]))</f>
        <v>0</v>
      </c>
      <c r="Z58" s="50">
        <f>kt*t0t*_xlfn.GAMMA.DIST(Tabella2[[#This Row],[Day]]/t0t,wt+1,1,1)*_xlfn.GAMMA(wt+1)</f>
        <v>20821.772199245297</v>
      </c>
      <c r="AA58" s="10">
        <f>kt*((Tabella2[[#This Row],[Day]]/t0t)^wt)*EXP(-(Tabella2[[#This Row],[Day]]/t0t))</f>
        <v>417.3475941900283</v>
      </c>
      <c r="AB58" s="65">
        <f>Tabella2[[#This Row],[New_Deaths_fit]]*NOT(ISBLANK(Tabella2[[#This Row],[New 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kn*t0n*_xlfn.GAMMA.DIST(Tabella2[[#This Row],[Day]]/t0n,wn+1,1,1)*_xlfn.GAMMA(wn+1)</f>
        <v>163415.54206629383</v>
      </c>
      <c r="H59" s="10">
        <f>kn*((Tabella2[[#This Row],[Day]]/t0n)^wn)*EXP(-(Tabella2[[#This Row],[Day]]/t0n))</f>
        <v>2607.0311368042981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-4.2358175924401849</v>
      </c>
      <c r="P59" s="48"/>
      <c r="Q59" s="60">
        <f>Tabella2[[#This Row],[New recovered]]*NOT(ISBLANK(Tabella2[[#This Row],[New recovered]]))</f>
        <v>0</v>
      </c>
      <c r="R59" s="50">
        <f>kd*t0d*_xlfn.GAMMA.DIST(Tabella2[[#This Row],[Day]]/t0d,wd+1,1,1)*_xlfn.GAMMA(wd+1)</f>
        <v>40464.866455940864</v>
      </c>
      <c r="S59" s="10">
        <f>kd*((Tabella2[[#This Row],[Day]]/t0d)^wd)*EXP(-(Tabella2[[#This Row],[Day]]/t0d))</f>
        <v>2221.268999232766</v>
      </c>
      <c r="T59" s="60">
        <f>Tabella2[[#This Row],[New_Recovered_fit]]*NOT(ISBLANK(Tabella2[[#This Row],[New recovered]]))</f>
        <v>0</v>
      </c>
      <c r="X59" s="26"/>
      <c r="Y59" s="65">
        <f>Tabella2[[#This Row],[New deaths]]*NOT(ISBLANK(Tabella2[[#This Row],[New deaths]]))</f>
        <v>0</v>
      </c>
      <c r="Z59" s="50">
        <f>kt*t0t*_xlfn.GAMMA.DIST(Tabella2[[#This Row],[Day]]/t0t,wt+1,1,1)*_xlfn.GAMMA(wt+1)</f>
        <v>21225.378314662048</v>
      </c>
      <c r="AA59" s="10">
        <f>kt*((Tabella2[[#This Row],[Day]]/t0t)^wt)*EXP(-(Tabella2[[#This Row],[Day]]/t0t))</f>
        <v>389.99795516397228</v>
      </c>
      <c r="AB59" s="65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kn*t0n*_xlfn.GAMMA.DIST(Tabella2[[#This Row],[Day]]/t0n,wn+1,1,1)*_xlfn.GAMMA(wn+1)</f>
        <v>165946.38615666609</v>
      </c>
      <c r="H60" s="10">
        <f>kn*((Tabella2[[#This Row],[Day]]/t0n)^wn)*EXP(-(Tabella2[[#This Row],[Day]]/t0n))</f>
        <v>2455.4805988802568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-207.62968505058171</v>
      </c>
      <c r="P60" s="48"/>
      <c r="Q60" s="60">
        <f>Tabella2[[#This Row],[New recovered]]*NOT(ISBLANK(Tabella2[[#This Row],[New recovered]]))</f>
        <v>0</v>
      </c>
      <c r="R60" s="50">
        <f>kd*t0d*_xlfn.GAMMA.DIST(Tabella2[[#This Row],[Day]]/t0d,wd+1,1,1)*_xlfn.GAMMA(wd+1)</f>
        <v>42725.206162059992</v>
      </c>
      <c r="S60" s="10">
        <f>kd*((Tabella2[[#This Row],[Day]]/t0d)^wd)*EXP(-(Tabella2[[#This Row],[Day]]/t0d))</f>
        <v>2299.6015726288197</v>
      </c>
      <c r="T60" s="60">
        <f>Tabella2[[#This Row],[New_Recovered_fit]]*NOT(ISBLANK(Tabella2[[#This Row],[New recovered]]))</f>
        <v>0</v>
      </c>
      <c r="X60" s="26"/>
      <c r="Y60" s="65">
        <f>Tabella2[[#This Row],[New deaths]]*NOT(ISBLANK(Tabella2[[#This Row],[New deaths]]))</f>
        <v>0</v>
      </c>
      <c r="Z60" s="50">
        <f>kt*t0t*_xlfn.GAMMA.DIST(Tabella2[[#This Row],[Day]]/t0t,wt+1,1,1)*_xlfn.GAMMA(wt+1)</f>
        <v>21602.05518736365</v>
      </c>
      <c r="AA60" s="10">
        <f>kt*((Tabella2[[#This Row],[Day]]/t0t)^wt)*EXP(-(Tabella2[[#This Row],[Day]]/t0t))</f>
        <v>363.50871130201887</v>
      </c>
      <c r="AB60" s="65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kn*t0n*_xlfn.GAMMA.DIST(Tabella2[[#This Row],[Day]]/t0n,wn+1,1,1)*_xlfn.GAMMA(wn+1)</f>
        <v>168328.2062380412</v>
      </c>
      <c r="H61" s="10">
        <f>kn*((Tabella2[[#This Row],[Day]]/t0n)^wn)*EXP(-(Tabella2[[#This Row],[Day]]/t0n))</f>
        <v>2309.03630917275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-408.02605674468225</v>
      </c>
      <c r="P61" s="48"/>
      <c r="Q61" s="60">
        <f>Tabella2[[#This Row],[New recovered]]*NOT(ISBLANK(Tabella2[[#This Row],[New recovered]]))</f>
        <v>0</v>
      </c>
      <c r="R61" s="50">
        <f>kd*t0d*_xlfn.GAMMA.DIST(Tabella2[[#This Row],[Day]]/t0d,wd+1,1,1)*_xlfn.GAMMA(wd+1)</f>
        <v>45064.450587632506</v>
      </c>
      <c r="S61" s="10">
        <f>kd*((Tabella2[[#This Row],[Day]]/t0d)^wd)*EXP(-(Tabella2[[#This Row],[Day]]/t0d))</f>
        <v>2379.0771092009022</v>
      </c>
      <c r="T61" s="60">
        <f>Tabella2[[#This Row],[New_Recovered_fit]]*NOT(ISBLANK(Tabella2[[#This Row],[New recovered]]))</f>
        <v>0</v>
      </c>
      <c r="X61" s="26"/>
      <c r="Y61" s="65">
        <f>Tabella2[[#This Row],[New deaths]]*NOT(ISBLANK(Tabella2[[#This Row],[New deaths]]))</f>
        <v>0</v>
      </c>
      <c r="Z61" s="50">
        <f>kt*t0t*_xlfn.GAMMA.DIST(Tabella2[[#This Row],[Day]]/t0t,wt+1,1,1)*_xlfn.GAMMA(wt+1)</f>
        <v>21952.717924817371</v>
      </c>
      <c r="AA61" s="10">
        <f>kt*((Tabella2[[#This Row],[Day]]/t0t)^wt)*EXP(-(Tabella2[[#This Row],[Day]]/t0t))</f>
        <v>337.98525671652999</v>
      </c>
      <c r="AB61" s="65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kn*t0n*_xlfn.GAMMA.DIST(Tabella2[[#This Row],[Day]]/t0n,wn+1,1,1)*_xlfn.GAMMA(wn+1)</f>
        <v>170566.25513489638</v>
      </c>
      <c r="H62" s="10">
        <f>kn*((Tabella2[[#This Row],[Day]]/t0n)^wn)*EXP(-(Tabella2[[#This Row],[Day]]/t0n))</f>
        <v>2167.9786737865888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-605.21881600494817</v>
      </c>
      <c r="P62" s="48"/>
      <c r="Q62" s="60">
        <f>Tabella2[[#This Row],[New recovered]]*NOT(ISBLANK(Tabella2[[#This Row],[New recovered]]))</f>
        <v>0</v>
      </c>
      <c r="R62" s="50">
        <f>kd*t0d*_xlfn.GAMMA.DIST(Tabella2[[#This Row],[Day]]/t0d,wd+1,1,1)*_xlfn.GAMMA(wd+1)</f>
        <v>47483.73872817654</v>
      </c>
      <c r="S62" s="10">
        <f>kd*((Tabella2[[#This Row],[Day]]/t0d)^wd)*EXP(-(Tabella2[[#This Row],[Day]]/t0d))</f>
        <v>2459.6876926517921</v>
      </c>
      <c r="T62" s="60">
        <f>Tabella2[[#This Row],[New_Recovered_fit]]*NOT(ISBLANK(Tabella2[[#This Row],[New recovered]]))</f>
        <v>0</v>
      </c>
      <c r="X62" s="26"/>
      <c r="Y62" s="65">
        <f>Tabella2[[#This Row],[New deaths]]*NOT(ISBLANK(Tabella2[[#This Row],[New deaths]]))</f>
        <v>0</v>
      </c>
      <c r="Z62" s="50">
        <f>kt*t0t*_xlfn.GAMMA.DIST(Tabella2[[#This Row],[Day]]/t0t,wt+1,1,1)*_xlfn.GAMMA(wt+1)</f>
        <v>22278.375267436826</v>
      </c>
      <c r="AA62" s="10">
        <f>kt*((Tabella2[[#This Row],[Day]]/t0t)^wt)*EXP(-(Tabella2[[#This Row],[Day]]/t0t))</f>
        <v>313.50979713974499</v>
      </c>
      <c r="AB62" s="65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kn*t0n*_xlfn.GAMMA.DIST(Tabella2[[#This Row],[Day]]/t0n,wn+1,1,1)*_xlfn.GAMMA(wn+1)</f>
        <v>172666.02907329728</v>
      </c>
      <c r="H63" s="10">
        <f>kn*((Tabella2[[#This Row],[Day]]/t0n)^wn)*EXP(-(Tabella2[[#This Row],[Day]]/t0n))</f>
        <v>2032.5153189953214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-799.0535963655492</v>
      </c>
      <c r="P63" s="48"/>
      <c r="Q63" s="60">
        <f>Tabella2[[#This Row],[New recovered]]*NOT(ISBLANK(Tabella2[[#This Row],[New recovered]]))</f>
        <v>0</v>
      </c>
      <c r="R63" s="50">
        <f>kd*t0d*_xlfn.GAMMA.DIST(Tabella2[[#This Row],[Day]]/t0d,wd+1,1,1)*_xlfn.GAMMA(wd+1)</f>
        <v>49984.201719285295</v>
      </c>
      <c r="S63" s="10">
        <f>kd*((Tabella2[[#This Row],[Day]]/t0d)^wd)*EXP(-(Tabella2[[#This Row],[Day]]/t0d))</f>
        <v>2541.4255187533781</v>
      </c>
      <c r="T63" s="60">
        <f>Tabella2[[#This Row],[New_Recovered_fit]]*NOT(ISBLANK(Tabella2[[#This Row],[New recovered]]))</f>
        <v>0</v>
      </c>
      <c r="X63" s="26"/>
      <c r="Y63" s="65">
        <f>Tabella2[[#This Row],[New deaths]]*NOT(ISBLANK(Tabella2[[#This Row],[New deaths]]))</f>
        <v>0</v>
      </c>
      <c r="Z63" s="50">
        <f>kt*t0t*_xlfn.GAMMA.DIST(Tabella2[[#This Row],[Day]]/t0t,wt+1,1,1)*_xlfn.GAMMA(wt+1)</f>
        <v>22580.107417062172</v>
      </c>
      <c r="AA63" s="10">
        <f>kt*((Tabella2[[#This Row],[Day]]/t0t)^wt)*EXP(-(Tabella2[[#This Row],[Day]]/t0t))</f>
        <v>290.14339660749249</v>
      </c>
      <c r="AB63" s="65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kn*t0n*_xlfn.GAMMA.DIST(Tabella2[[#This Row],[Day]]/t0n,wn+1,1,1)*_xlfn.GAMMA(wn+1)</f>
        <v>174633.1985567438</v>
      </c>
      <c r="H64" s="10">
        <f>kn*((Tabella2[[#This Row],[Day]]/t0n)^wn)*EXP(-(Tabella2[[#This Row],[Day]]/t0n))</f>
        <v>1902.7883679622119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-989.42259664086419</v>
      </c>
      <c r="P64" s="48"/>
      <c r="Q64" s="60">
        <f>Tabella2[[#This Row],[New recovered]]*NOT(ISBLANK(Tabella2[[#This Row],[New recovered]]))</f>
        <v>0</v>
      </c>
      <c r="R64" s="50">
        <f>kd*t0d*_xlfn.GAMMA.DIST(Tabella2[[#This Row],[Day]]/t0d,wd+1,1,1)*_xlfn.GAMMA(wd+1)</f>
        <v>52566.962946706524</v>
      </c>
      <c r="S64" s="10">
        <f>kd*((Tabella2[[#This Row],[Day]]/t0d)^wd)*EXP(-(Tabella2[[#This Row],[Day]]/t0d))</f>
        <v>2624.2828914039783</v>
      </c>
      <c r="T64" s="60">
        <f>Tabella2[[#This Row],[New_Recovered_fit]]*NOT(ISBLANK(Tabella2[[#This Row],[New recovered]]))</f>
        <v>0</v>
      </c>
      <c r="X64" s="26"/>
      <c r="Y64" s="65">
        <f>Tabella2[[#This Row],[New deaths]]*NOT(ISBLANK(Tabella2[[#This Row],[New deaths]]))</f>
        <v>0</v>
      </c>
      <c r="Z64" s="50">
        <f>kt*t0t*_xlfn.GAMMA.DIST(Tabella2[[#This Row],[Day]]/t0t,wt+1,1,1)*_xlfn.GAMMA(wt+1)</f>
        <v>22859.045941325192</v>
      </c>
      <c r="AA64" s="10">
        <f>kt*((Tabella2[[#This Row],[Day]]/t0t)^wt)*EXP(-(Tabella2[[#This Row],[Day]]/t0t))</f>
        <v>267.9280731990977</v>
      </c>
      <c r="AB64" s="65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kn*t0n*_xlfn.GAMMA.DIST(Tabella2[[#This Row],[Day]]/t0n,wn+1,1,1)*_xlfn.GAMMA(wn+1)</f>
        <v>176473.54640225641</v>
      </c>
      <c r="H65" s="10">
        <f>kn*((Tabella2[[#This Row],[Day]]/t0n)^wn)*EXP(-(Tabella2[[#This Row],[Day]]/t0n))</f>
        <v>1778.8814725351508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-1176.2596391298248</v>
      </c>
      <c r="P65" s="48"/>
      <c r="Q65" s="60">
        <f>Tabella2[[#This Row],[New recovered]]*NOT(ISBLANK(Tabella2[[#This Row],[New recovered]]))</f>
        <v>0</v>
      </c>
      <c r="R65" s="50">
        <f>kd*t0d*_xlfn.GAMMA.DIST(Tabella2[[#This Row],[Day]]/t0d,wd+1,1,1)*_xlfn.GAMMA(wd+1)</f>
        <v>55233.138152588872</v>
      </c>
      <c r="S65" s="10">
        <f>kd*((Tabella2[[#This Row],[Day]]/t0d)^wd)*EXP(-(Tabella2[[#This Row],[Day]]/t0d))</f>
        <v>2708.2522189034603</v>
      </c>
      <c r="T65" s="60">
        <f>Tabella2[[#This Row],[New_Recovered_fit]]*NOT(ISBLANK(Tabella2[[#This Row],[New recovered]]))</f>
        <v>0</v>
      </c>
      <c r="X65" s="26"/>
      <c r="Y65" s="65">
        <f>Tabella2[[#This Row],[New deaths]]*NOT(ISBLANK(Tabella2[[#This Row],[New deaths]]))</f>
        <v>0</v>
      </c>
      <c r="Z65" s="50">
        <f>kt*t0t*_xlfn.GAMMA.DIST(Tabella2[[#This Row],[Day]]/t0t,wt+1,1,1)*_xlfn.GAMMA(wt+1)</f>
        <v>23116.3557765931</v>
      </c>
      <c r="AA65" s="10">
        <f>kt*((Tabella2[[#This Row],[Day]]/t0t)^wt)*EXP(-(Tabella2[[#This Row],[Day]]/t0t))</f>
        <v>246.88889276151531</v>
      </c>
      <c r="AB65" s="65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kn*t0n*_xlfn.GAMMA.DIST(Tabella2[[#This Row],[Day]]/t0n,wn+1,1,1)*_xlfn.GAMMA(wn+1)</f>
        <v>178192.91265884382</v>
      </c>
      <c r="H66" s="10">
        <f>kn*((Tabella2[[#This Row],[Day]]/t0n)^wn)*EXP(-(Tabella2[[#This Row],[Day]]/t0n))</f>
        <v>1660.8265371330574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-1359.5354923836794</v>
      </c>
      <c r="P66" s="48"/>
      <c r="Q66" s="60">
        <f>Tabella2[[#This Row],[New recovered]]*NOT(ISBLANK(Tabella2[[#This Row],[New recovered]]))</f>
        <v>0</v>
      </c>
      <c r="R66" s="50">
        <f>kd*t0d*_xlfn.GAMMA.DIST(Tabella2[[#This Row],[Day]]/t0d,wd+1,1,1)*_xlfn.GAMMA(wd+1)</f>
        <v>57983.835538105661</v>
      </c>
      <c r="S66" s="10">
        <f>kd*((Tabella2[[#This Row],[Day]]/t0d)^wd)*EXP(-(Tabella2[[#This Row],[Day]]/t0d))</f>
        <v>2793.3260104304613</v>
      </c>
      <c r="T66" s="60">
        <f>Tabella2[[#This Row],[New_Recovered_fit]]*NOT(ISBLANK(Tabella2[[#This Row],[New recovered]]))</f>
        <v>0</v>
      </c>
      <c r="X66" s="26"/>
      <c r="Y66" s="65">
        <f>Tabella2[[#This Row],[New deaths]]*NOT(ISBLANK(Tabella2[[#This Row],[New deaths]]))</f>
        <v>0</v>
      </c>
      <c r="Z66" s="50">
        <f>kt*t0t*_xlfn.GAMMA.DIST(Tabella2[[#This Row],[Day]]/t0t,wt+1,1,1)*_xlfn.GAMMA(wt+1)</f>
        <v>23353.219305947332</v>
      </c>
      <c r="AA66" s="10">
        <f>kt*((Tabella2[[#This Row],[Day]]/t0t)^wt)*EXP(-(Tabella2[[#This Row],[Day]]/t0t))</f>
        <v>227.03601908627545</v>
      </c>
      <c r="AB66" s="65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kn*t0n*_xlfn.GAMMA.DIST(Tabella2[[#This Row],[Day]]/t0n,wn+1,1,1)*_xlfn.GAMMA(wn+1)</f>
        <v>179797.14607577593</v>
      </c>
      <c r="H67" s="10">
        <f>kn*((Tabella2[[#This Row],[Day]]/t0n)^wn)*EXP(-(Tabella2[[#This Row],[Day]]/t0n))</f>
        <v>1548.6100878939328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-1539.2534725354694</v>
      </c>
      <c r="P67" s="48"/>
      <c r="Q67" s="60">
        <f>Tabella2[[#This Row],[New recovered]]*NOT(ISBLANK(Tabella2[[#This Row],[New recovered]]))</f>
        <v>0</v>
      </c>
      <c r="R67" s="50">
        <f>kd*t0d*_xlfn.GAMMA.DIST(Tabella2[[#This Row],[Day]]/t0d,wd+1,1,1)*_xlfn.GAMMA(wd+1)</f>
        <v>60820.155862651249</v>
      </c>
      <c r="S67" s="10">
        <f>kd*((Tabella2[[#This Row],[Day]]/t0d)^wd)*EXP(-(Tabella2[[#This Row],[Day]]/t0d))</f>
        <v>2879.4968727071828</v>
      </c>
      <c r="T67" s="60">
        <f>Tabella2[[#This Row],[New_Recovered_fit]]*NOT(ISBLANK(Tabella2[[#This Row],[New recovered]]))</f>
        <v>0</v>
      </c>
      <c r="X67" s="26"/>
      <c r="Y67" s="65">
        <f>Tabella2[[#This Row],[New deaths]]*NOT(ISBLANK(Tabella2[[#This Row],[New deaths]]))</f>
        <v>0</v>
      </c>
      <c r="Z67" s="50">
        <f>kt*t0t*_xlfn.GAMMA.DIST(Tabella2[[#This Row],[Day]]/t0t,wt+1,1,1)*_xlfn.GAMMA(wt+1)</f>
        <v>23570.822451552318</v>
      </c>
      <c r="AA67" s="10">
        <f>kt*((Tabella2[[#This Row],[Day]]/t0t)^wt)*EXP(-(Tabella2[[#This Row],[Day]]/t0t))</f>
        <v>208.36668772221935</v>
      </c>
      <c r="AB67" s="65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kn*t0n*_xlfn.GAMMA.DIST(Tabella2[[#This Row],[Day]]/t0n,wn+1,1,1)*_xlfn.GAMMA(wn+1)</f>
        <v>181292.06174841727</v>
      </c>
      <c r="H68" s="10">
        <f>kn*((Tabella2[[#This Row],[Day]]/t0n)^wn)*EXP(-(Tabella2[[#This Row],[Day]]/t0n))</f>
        <v>1442.1792542242154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-1715.445331035188</v>
      </c>
      <c r="P68" s="48"/>
      <c r="Q68" s="60">
        <f>Tabella2[[#This Row],[New recovered]]*NOT(ISBLANK(Tabella2[[#This Row],[New recovered]]))</f>
        <v>0</v>
      </c>
      <c r="R68" s="50">
        <f>kd*t0d*_xlfn.GAMMA.DIST(Tabella2[[#This Row],[Day]]/t0d,wd+1,1,1)*_xlfn.GAMMA(wd+1)</f>
        <v>63743.192539789787</v>
      </c>
      <c r="S68" s="10">
        <f>kd*((Tabella2[[#This Row],[Day]]/t0d)^wd)*EXP(-(Tabella2[[#This Row],[Day]]/t0d))</f>
        <v>2966.7575068387109</v>
      </c>
      <c r="T68" s="60">
        <f>Tabella2[[#This Row],[New_Recovered_fit]]*NOT(ISBLANK(Tabella2[[#This Row],[New recovered]]))</f>
        <v>0</v>
      </c>
      <c r="X68" s="26"/>
      <c r="Y68" s="65">
        <f>Tabella2[[#This Row],[New deaths]]*NOT(ISBLANK(Tabella2[[#This Row],[New deaths]]))</f>
        <v>0</v>
      </c>
      <c r="Z68" s="50">
        <f>kt*t0t*_xlfn.GAMMA.DIST(Tabella2[[#This Row],[Day]]/t0t,wt+1,1,1)*_xlfn.GAMMA(wt+1)</f>
        <v>23770.342691935672</v>
      </c>
      <c r="AA68" s="10">
        <f>kt*((Tabella2[[#This Row],[Day]]/t0t)^wt)*EXP(-(Tabella2[[#This Row],[Day]]/t0t))</f>
        <v>190.86707842069254</v>
      </c>
      <c r="AB68" s="65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kn*t0n*_xlfn.GAMMA.DIST(Tabella2[[#This Row],[Day]]/t0n,wn+1,1,1)*_xlfn.GAMMA(wn+1)</f>
        <v>182683.40454264599</v>
      </c>
      <c r="H69" s="10">
        <f>kn*((Tabella2[[#This Row],[Day]]/t0n)^wn)*EXP(-(Tabella2[[#This Row],[Day]]/t0n))</f>
        <v>1341.4473418298132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-1888.1674315781756</v>
      </c>
      <c r="P69" s="48"/>
      <c r="Q69" s="60">
        <f>Tabella2[[#This Row],[New recovered]]*NOT(ISBLANK(Tabella2[[#This Row],[New recovered]]))</f>
        <v>0</v>
      </c>
      <c r="R69" s="50">
        <f>kd*t0d*_xlfn.GAMMA.DIST(Tabella2[[#This Row],[Day]]/t0d,wd+1,1,1)*_xlfn.GAMMA(wd+1)</f>
        <v>66754.031730126648</v>
      </c>
      <c r="S69" s="10">
        <f>kd*((Tabella2[[#This Row],[Day]]/t0d)^wd)*EXP(-(Tabella2[[#This Row],[Day]]/t0d))</f>
        <v>3055.1007053147691</v>
      </c>
      <c r="T69" s="60">
        <f>Tabella2[[#This Row],[New_Recovered_fit]]*NOT(ISBLANK(Tabella2[[#This Row],[New recovered]]))</f>
        <v>0</v>
      </c>
      <c r="X69" s="26"/>
      <c r="Y69" s="65">
        <f>Tabella2[[#This Row],[New deaths]]*NOT(ISBLANK(Tabella2[[#This Row],[New deaths]]))</f>
        <v>0</v>
      </c>
      <c r="Z69" s="50">
        <f>kt*t0t*_xlfn.GAMMA.DIST(Tabella2[[#This Row],[Day]]/t0t,wt+1,1,1)*_xlfn.GAMMA(wt+1)</f>
        <v>23952.938893217681</v>
      </c>
      <c r="AA69" s="10">
        <f>kt*((Tabella2[[#This Row],[Day]]/t0t)^wt)*EXP(-(Tabella2[[#This Row],[Day]]/t0t))</f>
        <v>174.51406809321972</v>
      </c>
      <c r="AB69" s="65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kn*t0n*_xlfn.GAMMA.DIST(Tabella2[[#This Row],[Day]]/t0n,wn+1,1,1)*_xlfn.GAMMA(wn+1)</f>
        <v>183976.81788315435</v>
      </c>
      <c r="H70" s="10">
        <f>kn*((Tabella2[[#This Row],[Day]]/t0n)^wn)*EXP(-(Tabella2[[#This Row],[Day]]/t0n))</f>
        <v>1246.2989863885998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-2057.4972148956731</v>
      </c>
      <c r="P70" s="48"/>
      <c r="Q70" s="60">
        <f>Tabella2[[#This Row],[New recovered]]*NOT(ISBLANK(Tabella2[[#This Row],[New recovered]]))</f>
        <v>0</v>
      </c>
      <c r="R70" s="50">
        <f>kd*t0d*_xlfn.GAMMA.DIST(Tabella2[[#This Row],[Day]]/t0d,wd+1,1,1)*_xlfn.GAMMA(wd+1)</f>
        <v>69853.752431256551</v>
      </c>
      <c r="S70" s="10">
        <f>kd*((Tabella2[[#This Row],[Day]]/t0d)^wd)*EXP(-(Tabella2[[#This Row],[Day]]/t0d))</f>
        <v>3144.5193491629175</v>
      </c>
      <c r="T70" s="60">
        <f>Tabella2[[#This Row],[New_Recovered_fit]]*NOT(ISBLANK(Tabella2[[#This Row],[New recovered]]))</f>
        <v>0</v>
      </c>
      <c r="X70" s="26"/>
      <c r="Y70" s="65">
        <f>Tabella2[[#This Row],[New deaths]]*NOT(ISBLANK(Tabella2[[#This Row],[New deaths]]))</f>
        <v>0</v>
      </c>
      <c r="Z70" s="50">
        <f>kt*t0t*_xlfn.GAMMA.DIST(Tabella2[[#This Row],[Day]]/t0t,wt+1,1,1)*_xlfn.GAMMA(wt+1)</f>
        <v>24119.742828263308</v>
      </c>
      <c r="AA70" s="10">
        <f>kt*((Tabella2[[#This Row],[Day]]/t0t)^wt)*EXP(-(Tabella2[[#This Row],[Day]]/t0t))</f>
        <v>159.27685212135557</v>
      </c>
      <c r="AB70" s="65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kn*t0n*_xlfn.GAMMA.DIST(Tabella2[[#This Row],[Day]]/t0n,wn+1,1,1)*_xlfn.GAMMA(wn+1)</f>
        <v>185177.81748441342</v>
      </c>
      <c r="H71" s="10">
        <f>kn*((Tabella2[[#This Row],[Day]]/t0n)^wn)*EXP(-(Tabella2[[#This Row],[Day]]/t0n))</f>
        <v>1156.5948854146247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-2223.5299467557547</v>
      </c>
      <c r="P71" s="48"/>
      <c r="Q71" s="60">
        <f>Tabella2[[#This Row],[New recovered]]*NOT(ISBLANK(Tabella2[[#This Row],[New recovered]]))</f>
        <v>0</v>
      </c>
      <c r="R71" s="50">
        <f>kd*t0d*_xlfn.GAMMA.DIST(Tabella2[[#This Row],[Day]]/t0d,wd+1,1,1)*_xlfn.GAMMA(wd+1)</f>
        <v>73043.426564938127</v>
      </c>
      <c r="S71" s="10">
        <f>kd*((Tabella2[[#This Row],[Day]]/t0d)^wd)*EXP(-(Tabella2[[#This Row],[Day]]/t0d))</f>
        <v>3235.0064052431439</v>
      </c>
      <c r="T71" s="60">
        <f>Tabella2[[#This Row],[New_Recovered_fit]]*NOT(ISBLANK(Tabella2[[#This Row],[New recovered]]))</f>
        <v>0</v>
      </c>
      <c r="X71" s="26"/>
      <c r="Y71" s="65">
        <f>Tabella2[[#This Row],[New deaths]]*NOT(ISBLANK(Tabella2[[#This Row],[New deaths]]))</f>
        <v>0</v>
      </c>
      <c r="Z71" s="50">
        <f>kt*t0t*_xlfn.GAMMA.DIST(Tabella2[[#This Row],[Day]]/t0t,wt+1,1,1)*_xlfn.GAMMA(wt+1)</f>
        <v>24271.852248176892</v>
      </c>
      <c r="AA71" s="10">
        <f>kt*((Tabella2[[#This Row],[Day]]/t0t)^wt)*EXP(-(Tabella2[[#This Row],[Day]]/t0t))</f>
        <v>145.11842692723565</v>
      </c>
      <c r="AB71" s="65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kn*t0n*_xlfn.GAMMA.DIST(Tabella2[[#This Row],[Day]]/t0n,wn+1,1,1)*_xlfn.GAMMA(wn+1)</f>
        <v>186291.76960419156</v>
      </c>
      <c r="H72" s="10">
        <f>kn*((Tabella2[[#This Row],[Day]]/t0n)^wn)*EXP(-(Tabella2[[#This Row],[Day]]/t0n))</f>
        <v>1072.176112738754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-2386.3757418796204</v>
      </c>
      <c r="P72" s="48"/>
      <c r="Q72" s="60">
        <f>Tabella2[[#This Row],[New recovered]]*NOT(ISBLANK(Tabella2[[#This Row],[New recovered]]))</f>
        <v>0</v>
      </c>
      <c r="R72" s="50">
        <f>kd*t0d*_xlfn.GAMMA.DIST(Tabella2[[#This Row],[Day]]/t0d,wd+1,1,1)*_xlfn.GAMMA(wd+1)</f>
        <v>76324.119061628779</v>
      </c>
      <c r="S72" s="10">
        <f>kd*((Tabella2[[#This Row],[Day]]/t0d)^wd)*EXP(-(Tabella2[[#This Row],[Day]]/t0d))</f>
        <v>3326.5549236745119</v>
      </c>
      <c r="T72" s="60">
        <f>Tabella2[[#This Row],[New_Recovered_fit]]*NOT(ISBLANK(Tabella2[[#This Row],[New recovered]]))</f>
        <v>0</v>
      </c>
      <c r="X72" s="26"/>
      <c r="Y72" s="65">
        <f>Tabella2[[#This Row],[New deaths]]*NOT(ISBLANK(Tabella2[[#This Row],[New deaths]]))</f>
        <v>0</v>
      </c>
      <c r="Z72" s="50">
        <f>kt*t0t*_xlfn.GAMMA.DIST(Tabella2[[#This Row],[Day]]/t0t,wt+1,1,1)*_xlfn.GAMMA(wt+1)</f>
        <v>24410.32536565022</v>
      </c>
      <c r="AA72" s="10">
        <f>kt*((Tabella2[[#This Row],[Day]]/t0t)^wt)*EXP(-(Tabella2[[#This Row],[Day]]/t0t))</f>
        <v>131.99693094386228</v>
      </c>
      <c r="AB72" s="65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kn*t0n*_xlfn.GAMMA.DIST(Tabella2[[#This Row],[Day]]/t0n,wn+1,1,1)*_xlfn.GAMMA(wn+1)</f>
        <v>187323.87340681083</v>
      </c>
      <c r="H73" s="10">
        <f>kn*((Tabella2[[#This Row],[Day]]/t0n)^wn)*EXP(-(Tabella2[[#This Row],[Day]]/t0n))</f>
        <v>992.86802555676297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-2546.1568544102197</v>
      </c>
      <c r="P73" s="48"/>
      <c r="Q73" s="60">
        <f>Tabella2[[#This Row],[New recovered]]*NOT(ISBLANK(Tabella2[[#This Row],[New recovered]]))</f>
        <v>0</v>
      </c>
      <c r="R73" s="50">
        <f>kd*t0d*_xlfn.GAMMA.DIST(Tabella2[[#This Row],[Day]]/t0d,wd+1,1,1)*_xlfn.GAMMA(wd+1)</f>
        <v>79696.887942508547</v>
      </c>
      <c r="S73" s="10">
        <f>kd*((Tabella2[[#This Row],[Day]]/t0d)^wd)*EXP(-(Tabella2[[#This Row],[Day]]/t0d))</f>
        <v>3419.1580353854088</v>
      </c>
      <c r="T73" s="60">
        <f>Tabella2[[#This Row],[New_Recovered_fit]]*NOT(ISBLANK(Tabella2[[#This Row],[New recovered]]))</f>
        <v>0</v>
      </c>
      <c r="X73" s="26"/>
      <c r="Y73" s="65">
        <f>Tabella2[[#This Row],[New deaths]]*NOT(ISBLANK(Tabella2[[#This Row],[New deaths]]))</f>
        <v>0</v>
      </c>
      <c r="Z73" s="50">
        <f>kt*t0t*_xlfn.GAMMA.DIST(Tabella2[[#This Row],[Day]]/t0t,wt+1,1,1)*_xlfn.GAMMA(wt+1)</f>
        <v>24536.176608604354</v>
      </c>
      <c r="AA73" s="10">
        <f>kt*((Tabella2[[#This Row],[Day]]/t0t)^wt)*EXP(-(Tabella2[[#This Row],[Day]]/t0t))</f>
        <v>119.86684458157391</v>
      </c>
      <c r="AB73" s="65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kn*t0n*_xlfn.GAMMA.DIST(Tabella2[[#This Row],[Day]]/t0n,wn+1,1,1)*_xlfn.GAMMA(wn+1)</f>
        <v>188279.14703553676</v>
      </c>
      <c r="H74" s="10">
        <f>kn*((Tabella2[[#This Row],[Day]]/t0n)^wn)*EXP(-(Tabella2[[#This Row],[Day]]/t0n))</f>
        <v>918.48377833621487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-2703.0052239879624</v>
      </c>
      <c r="P74" s="48"/>
      <c r="Q74" s="60">
        <f>Tabella2[[#This Row],[New recovered]]*NOT(ISBLANK(Tabella2[[#This Row],[New recovered]]))</f>
        <v>0</v>
      </c>
      <c r="R74" s="50">
        <f>kd*t0d*_xlfn.GAMMA.DIST(Tabella2[[#This Row],[Day]]/t0d,wd+1,1,1)*_xlfn.GAMMA(wd+1)</f>
        <v>83162.784399113647</v>
      </c>
      <c r="S74" s="10">
        <f>kd*((Tabella2[[#This Row],[Day]]/t0d)^wd)*EXP(-(Tabella2[[#This Row],[Day]]/t0d))</f>
        <v>3512.8089497795186</v>
      </c>
      <c r="T74" s="60">
        <f>Tabella2[[#This Row],[New_Recovered_fit]]*NOT(ISBLANK(Tabella2[[#This Row],[New recovered]]))</f>
        <v>0</v>
      </c>
      <c r="X74" s="26"/>
      <c r="Y74" s="65">
        <f>Tabella2[[#This Row],[New deaths]]*NOT(ISBLANK(Tabella2[[#This Row],[New deaths]]))</f>
        <v>0</v>
      </c>
      <c r="Z74" s="50">
        <f>kt*t0t*_xlfn.GAMMA.DIST(Tabella2[[#This Row],[Day]]/t0t,wt+1,1,1)*_xlfn.GAMMA(wt+1)</f>
        <v>24650.373504595598</v>
      </c>
      <c r="AA74" s="10">
        <f>kt*((Tabella2[[#This Row],[Day]]/t0t)^wt)*EXP(-(Tabella2[[#This Row],[Day]]/t0t))</f>
        <v>108.68005254465882</v>
      </c>
      <c r="AB74" s="65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kn*t0n*_xlfn.GAMMA.DIST(Tabella2[[#This Row],[Day]]/t0n,wn+1,1,1)*_xlfn.GAMMA(wn+1)</f>
        <v>189162.4170095241</v>
      </c>
      <c r="H75" s="10">
        <f>kn*((Tabella2[[#This Row],[Day]]/t0n)^wn)*EXP(-(Tabella2[[#This Row],[Day]]/t0n))</f>
        <v>848.82746117904333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-2857.0602653176679</v>
      </c>
      <c r="P75" s="48"/>
      <c r="Q75" s="60">
        <f>Tabella2[[#This Row],[New recovered]]*NOT(ISBLANK(Tabella2[[#This Row],[New recovered]]))</f>
        <v>0</v>
      </c>
      <c r="R75" s="50">
        <f>kd*t0d*_xlfn.GAMMA.DIST(Tabella2[[#This Row],[Day]]/t0d,wd+1,1,1)*_xlfn.GAMMA(wd+1)</f>
        <v>86722.852870689734</v>
      </c>
      <c r="S75" s="10">
        <f>kd*((Tabella2[[#This Row],[Day]]/t0d)^wd)*EXP(-(Tabella2[[#This Row],[Day]]/t0d))</f>
        <v>3607.5009525102937</v>
      </c>
      <c r="T75" s="60">
        <f>Tabella2[[#This Row],[New_Recovered_fit]]*NOT(ISBLANK(Tabella2[[#This Row],[New recovered]]))</f>
        <v>0</v>
      </c>
      <c r="X75" s="26"/>
      <c r="Y75" s="65">
        <f>Tabella2[[#This Row],[New deaths]]*NOT(ISBLANK(Tabella2[[#This Row],[New deaths]]))</f>
        <v>0</v>
      </c>
      <c r="Z75" s="50">
        <f>kt*t0t*_xlfn.GAMMA.DIST(Tabella2[[#This Row],[Day]]/t0t,wt+1,1,1)*_xlfn.GAMMA(wt+1)</f>
        <v>24753.834560926036</v>
      </c>
      <c r="AA75" s="10">
        <f>kt*((Tabella2[[#This Row],[Day]]/t0t)^wt)*EXP(-(Tabella2[[#This Row],[Day]]/t0t))</f>
        <v>98.386773986417779</v>
      </c>
      <c r="AB75" s="65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kn*t0n*_xlfn.GAMMA.DIST(Tabella2[[#This Row],[Day]]/t0n,wn+1,1,1)*_xlfn.GAMMA(wn+1)</f>
        <v>189978.31057961009</v>
      </c>
      <c r="H76" s="10">
        <f>kn*((Tabella2[[#This Row],[Day]]/t0n)^wn)*EXP(-(Tabella2[[#This Row],[Day]]/t0n))</f>
        <v>783.69688264996466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-3008.4668882866058</v>
      </c>
      <c r="P76" s="48"/>
      <c r="Q76" s="60">
        <f>Tabella2[[#This Row],[New recovered]]*NOT(ISBLANK(Tabella2[[#This Row],[New recovered]]))</f>
        <v>0</v>
      </c>
      <c r="R76" s="50">
        <f>kd*t0d*_xlfn.GAMMA.DIST(Tabella2[[#This Row],[Day]]/t0d,wd+1,1,1)*_xlfn.GAMMA(wd+1)</f>
        <v>90378.131119371974</v>
      </c>
      <c r="S76" s="10">
        <f>kd*((Tabella2[[#This Row],[Day]]/t0d)^wd)*EXP(-(Tabella2[[#This Row],[Day]]/t0d))</f>
        <v>3703.2274033572617</v>
      </c>
      <c r="T76" s="60">
        <f>Tabella2[[#This Row],[New_Recovered_fit]]*NOT(ISBLANK(Tabella2[[#This Row],[New recovered]]))</f>
        <v>0</v>
      </c>
      <c r="X76" s="26"/>
      <c r="Y76" s="65">
        <f>Tabella2[[#This Row],[New deaths]]*NOT(ISBLANK(Tabella2[[#This Row],[New deaths]]))</f>
        <v>0</v>
      </c>
      <c r="Z76" s="50">
        <f>kt*t0t*_xlfn.GAMMA.DIST(Tabella2[[#This Row],[Day]]/t0t,wt+1,1,1)*_xlfn.GAMMA(wt+1)</f>
        <v>24847.428011723707</v>
      </c>
      <c r="AA76" s="10">
        <f>kt*((Tabella2[[#This Row],[Day]]/t0t)^wt)*EXP(-(Tabella2[[#This Row],[Day]]/t0t))</f>
        <v>88.936367579308637</v>
      </c>
      <c r="AB76" s="65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kn*t0n*_xlfn.GAMMA.DIST(Tabella2[[#This Row],[Day]]/t0n,wn+1,1,1)*_xlfn.GAMMA(wn+1)</f>
        <v>190731.25069814461</v>
      </c>
      <c r="H77" s="10">
        <f>kn*((Tabella2[[#This Row],[Day]]/t0n)^wn)*EXP(-(Tabella2[[#This Row],[Day]]/t0n))</f>
        <v>722.88601873137986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-3157.3737351608675</v>
      </c>
      <c r="P77" s="48"/>
      <c r="Q77" s="60">
        <f>Tabella2[[#This Row],[New recovered]]*NOT(ISBLANK(Tabella2[[#This Row],[New recovered]]))</f>
        <v>0</v>
      </c>
      <c r="R77" s="50">
        <f>kd*t0d*_xlfn.GAMMA.DIST(Tabella2[[#This Row],[Day]]/t0d,wd+1,1,1)*_xlfn.GAMMA(wd+1)</f>
        <v>94129.650303289323</v>
      </c>
      <c r="S77" s="10">
        <f>kd*((Tabella2[[#This Row],[Day]]/t0d)^wd)*EXP(-(Tabella2[[#This Row],[Day]]/t0d))</f>
        <v>3799.981734197976</v>
      </c>
      <c r="T77" s="60">
        <f>Tabella2[[#This Row],[New_Recovered_fit]]*NOT(ISBLANK(Tabella2[[#This Row],[New recovered]]))</f>
        <v>0</v>
      </c>
      <c r="X77" s="26"/>
      <c r="Y77" s="65">
        <f>Tabella2[[#This Row],[New deaths]]*NOT(ISBLANK(Tabella2[[#This Row],[New deaths]]))</f>
        <v>0</v>
      </c>
      <c r="Z77" s="50">
        <f>kt*t0t*_xlfn.GAMMA.DIST(Tabella2[[#This Row],[Day]]/t0t,wt+1,1,1)*_xlfn.GAMMA(wt+1)</f>
        <v>24931.971310929242</v>
      </c>
      <c r="AA77" s="10">
        <f>kt*((Tabella2[[#This Row],[Day]]/t0t)^wt)*EXP(-(Tabella2[[#This Row],[Day]]/t0t))</f>
        <v>80.278019694271237</v>
      </c>
      <c r="AB77" s="65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kn*t0n*_xlfn.GAMMA.DIST(Tabella2[[#This Row],[Day]]/t0n,wn+1,1,1)*_xlfn.GAMMA(wn+1)</f>
        <v>191425.45328025502</v>
      </c>
      <c r="H78" s="10">
        <f>kn*((Tabella2[[#This Row],[Day]]/t0n)^wn)*EXP(-(Tabella2[[#This Row],[Day]]/t0n))</f>
        <v>666.18715057173608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-3303.9316210993925</v>
      </c>
      <c r="P78" s="48"/>
      <c r="Q78" s="60">
        <f>Tabella2[[#This Row],[New recovered]]*NOT(ISBLANK(Tabella2[[#This Row],[New recovered]]))</f>
        <v>0</v>
      </c>
      <c r="R78" s="50">
        <f>kd*t0d*_xlfn.GAMMA.DIST(Tabella2[[#This Row],[Day]]/t0d,wd+1,1,1)*_xlfn.GAMMA(wd+1)</f>
        <v>97978.435047686144</v>
      </c>
      <c r="S78" s="10">
        <f>kd*((Tabella2[[#This Row],[Day]]/t0d)^wd)*EXP(-(Tabella2[[#This Row],[Day]]/t0d))</f>
        <v>3897.7574470699005</v>
      </c>
      <c r="T78" s="60">
        <f>Tabella2[[#This Row],[New_Recovered_fit]]*NOT(ISBLANK(Tabella2[[#This Row],[New recovered]]))</f>
        <v>0</v>
      </c>
      <c r="X78" s="26"/>
      <c r="Y78" s="65">
        <f>Tabella2[[#This Row],[New deaths]]*NOT(ISBLANK(Tabella2[[#This Row],[New deaths]]))</f>
        <v>0</v>
      </c>
      <c r="Z78" s="50">
        <f>kt*t0t*_xlfn.GAMMA.DIST(Tabella2[[#This Row],[Day]]/t0t,wt+1,1,1)*_xlfn.GAMMA(wt+1)</f>
        <v>25008.2312587091</v>
      </c>
      <c r="AA78" s="10">
        <f>kt*((Tabella2[[#This Row],[Day]]/t0t)^wt)*EXP(-(Tabella2[[#This Row],[Day]]/t0t))</f>
        <v>72.361324601227906</v>
      </c>
      <c r="AB78" s="65">
        <f>Tabella2[[#This Row],[New_Deaths_fit]]*NOT(ISBLANK(Tabella2[[#This Row],[New deaths]]))</f>
        <v>0</v>
      </c>
    </row>
  </sheetData>
  <mergeCells count="9">
    <mergeCell ref="AT14:AT17"/>
    <mergeCell ref="AT24:AT27"/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Cumul_confirmed - ExpPwLaw</vt:lpstr>
      <vt:lpstr>New_confirmed - ExpPwLaw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2020-04-13T21:16:02Z</dcterms:modified>
</cp:coreProperties>
</file>