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vg9hxp\Documents\Projects\UPS_MV\data\"/>
    </mc:Choice>
  </mc:AlternateContent>
  <xr:revisionPtr revIDLastSave="0" documentId="13_ncr:1_{6C76506C-AB84-4A9D-9599-59D8B9AA1042}" xr6:coauthVersionLast="47" xr6:coauthVersionMax="47" xr10:uidLastSave="{00000000-0000-0000-0000-000000000000}"/>
  <bookViews>
    <workbookView xWindow="-108" yWindow="-108" windowWidth="23256" windowHeight="12576" tabRatio="696" firstSheet="2" activeTab="2" xr2:uid="{00000000-000D-0000-FFFF-FFFF00000000}"/>
  </bookViews>
  <sheets>
    <sheet name="Primitive Factor Input" sheetId="1" r:id="rId1"/>
    <sheet name="Int step - Component Weights" sheetId="3" r:id="rId2"/>
    <sheet name="Summarized Output" sheetId="2" r:id="rId3"/>
    <sheet name="Control for FSV" sheetId="6" r:id="rId4"/>
    <sheet name="Factor Loadings" sheetId="7" r:id="rId5"/>
  </sheets>
  <externalReferences>
    <externalReference r:id="rId6"/>
  </externalReferences>
  <definedNames>
    <definedName name="Covariance">'[1]Covariance Matrix'!$G$7:$Z$26</definedName>
    <definedName name="Factor_Loadings">'[1]Factor Loadings'!$E$8:$X$23</definedName>
    <definedName name="Funded_Status">'Control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3" l="1"/>
  <c r="G34" i="1"/>
  <c r="E34" i="1"/>
  <c r="F22" i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F3" i="2" l="1"/>
  <c r="G18" i="2"/>
  <c r="E23" i="7" l="1" a="1"/>
  <c r="D22" i="7"/>
  <c r="B22" i="7"/>
  <c r="D21" i="7"/>
  <c r="B21" i="7"/>
  <c r="D20" i="7"/>
  <c r="B20" i="7"/>
  <c r="D19" i="7"/>
  <c r="B19" i="7"/>
  <c r="D18" i="7"/>
  <c r="B18" i="7"/>
  <c r="D17" i="7"/>
  <c r="B17" i="7"/>
  <c r="D16" i="7"/>
  <c r="B16" i="7"/>
  <c r="D15" i="7"/>
  <c r="B15" i="7"/>
  <c r="D14" i="7"/>
  <c r="B14" i="7"/>
  <c r="D13" i="7"/>
  <c r="B13" i="7"/>
  <c r="D12" i="7"/>
  <c r="B12" i="7"/>
  <c r="M11" i="7"/>
  <c r="L11" i="7"/>
  <c r="K11" i="7"/>
  <c r="D11" i="7"/>
  <c r="B11" i="7"/>
  <c r="L10" i="7"/>
  <c r="K10" i="7"/>
  <c r="D10" i="7"/>
  <c r="B10" i="7"/>
  <c r="M9" i="7"/>
  <c r="K9" i="7"/>
  <c r="D9" i="7"/>
  <c r="B9" i="7"/>
  <c r="M8" i="7"/>
  <c r="L8" i="7"/>
  <c r="D8" i="7"/>
  <c r="K5" i="7" s="1" a="1"/>
  <c r="M5" i="7" s="1"/>
  <c r="B8" i="7"/>
  <c r="C30" i="6"/>
  <c r="D28" i="6"/>
  <c r="B6" i="6" s="1"/>
  <c r="D16" i="6"/>
  <c r="C11" i="7" s="1"/>
  <c r="J11" i="7" s="1"/>
  <c r="D15" i="6"/>
  <c r="C10" i="7" s="1"/>
  <c r="I10" i="7" s="1"/>
  <c r="M10" i="7" s="1"/>
  <c r="D14" i="6"/>
  <c r="C9" i="7" s="1"/>
  <c r="H9" i="7" s="1"/>
  <c r="L9" i="7" s="1"/>
  <c r="D13" i="6"/>
  <c r="C8" i="7" s="1"/>
  <c r="G8" i="7" s="1"/>
  <c r="K8" i="7" s="1"/>
  <c r="K9" i="3"/>
  <c r="K10" i="3" s="1"/>
  <c r="K11" i="3" s="1"/>
  <c r="K12" i="3" s="1"/>
  <c r="K13" i="3" s="1"/>
  <c r="T63" i="1"/>
  <c r="V63" i="1" s="1"/>
  <c r="X63" i="1" s="1"/>
  <c r="Z63" i="1" s="1"/>
  <c r="AB63" i="1" s="1"/>
  <c r="J63" i="1"/>
  <c r="K63" i="1" s="1"/>
  <c r="L63" i="1" s="1"/>
  <c r="M63" i="1" s="1"/>
  <c r="N63" i="1" s="1"/>
  <c r="Q63" i="1" s="1"/>
  <c r="S63" i="1" s="1"/>
  <c r="U63" i="1" s="1"/>
  <c r="W63" i="1" s="1"/>
  <c r="Y63" i="1" s="1"/>
  <c r="AA63" i="1" s="1"/>
  <c r="N5" i="7" l="1" a="1"/>
  <c r="V5" i="7" s="1"/>
  <c r="F5" i="2"/>
  <c r="G4" i="2"/>
  <c r="F8" i="2"/>
  <c r="G7" i="2"/>
  <c r="F16" i="2"/>
  <c r="G15" i="2"/>
  <c r="F9" i="2"/>
  <c r="G8" i="2"/>
  <c r="G16" i="2"/>
  <c r="F17" i="2"/>
  <c r="F6" i="2"/>
  <c r="G5" i="2"/>
  <c r="F11" i="2"/>
  <c r="G10" i="2"/>
  <c r="G9" i="2"/>
  <c r="F10" i="2"/>
  <c r="F18" i="2"/>
  <c r="G17" i="2"/>
  <c r="G5" i="7" a="1"/>
  <c r="J5" i="7" s="1"/>
  <c r="G11" i="2"/>
  <c r="F12" i="2"/>
  <c r="F7" i="2"/>
  <c r="G6" i="2"/>
  <c r="G12" i="2"/>
  <c r="F13" i="2"/>
  <c r="C23" i="7"/>
  <c r="B5" i="6"/>
  <c r="B7" i="6" s="1"/>
  <c r="F4" i="2"/>
  <c r="G3" i="2"/>
  <c r="G13" i="2"/>
  <c r="F14" i="2"/>
  <c r="F15" i="2"/>
  <c r="G14" i="2"/>
  <c r="F23" i="7"/>
  <c r="K5" i="7"/>
  <c r="L5" i="7"/>
  <c r="E23" i="7"/>
  <c r="K14" i="3"/>
  <c r="P5" i="7" l="1"/>
  <c r="R5" i="7"/>
  <c r="O5" i="7"/>
  <c r="N5" i="7"/>
  <c r="X5" i="7"/>
  <c r="Q5" i="7"/>
  <c r="S5" i="7"/>
  <c r="U5" i="7"/>
  <c r="W5" i="7"/>
  <c r="T5" i="7"/>
  <c r="G5" i="7"/>
  <c r="H5" i="7"/>
  <c r="I5" i="7"/>
  <c r="K15" i="3"/>
  <c r="K16" i="3" s="1"/>
  <c r="K17" i="3" s="1"/>
  <c r="K18" i="3" s="1"/>
  <c r="K19" i="3" s="1"/>
  <c r="K20" i="3" s="1"/>
  <c r="K21" i="3" s="1"/>
  <c r="K22" i="3" s="1"/>
  <c r="K23" i="3" s="1"/>
  <c r="E36" i="1" l="1"/>
  <c r="G36" i="1" s="1"/>
  <c r="F58" i="1" s="1"/>
  <c r="F28" i="6" s="1"/>
  <c r="E35" i="1" l="1"/>
  <c r="G35" i="1" s="1"/>
  <c r="F65" i="1" s="1"/>
  <c r="F64" i="1"/>
  <c r="F14" i="6" s="1"/>
  <c r="E48" i="1" l="1"/>
  <c r="C54" i="1" s="1"/>
  <c r="E47" i="1"/>
  <c r="C53" i="1" s="1"/>
  <c r="E46" i="1"/>
  <c r="C52" i="1" s="1"/>
  <c r="E45" i="1"/>
  <c r="F67" i="1"/>
  <c r="G18" i="6" s="1"/>
  <c r="F68" i="1"/>
  <c r="G19" i="6" s="1"/>
  <c r="F69" i="1"/>
  <c r="G20" i="6" s="1"/>
  <c r="F66" i="1"/>
  <c r="G17" i="6" s="1"/>
  <c r="F29" i="1"/>
  <c r="E29" i="1" s="1"/>
  <c r="F73" i="1" s="1"/>
  <c r="G24" i="6" s="1"/>
  <c r="F23" i="1"/>
  <c r="F27" i="1" s="1"/>
  <c r="E27" i="1" s="1"/>
  <c r="F71" i="1" s="1"/>
  <c r="G22" i="6" s="1"/>
  <c r="F24" i="1"/>
  <c r="F26" i="1" s="1"/>
  <c r="E26" i="1" s="1"/>
  <c r="F70" i="1" s="1"/>
  <c r="G21" i="6" s="1"/>
  <c r="F25" i="1"/>
  <c r="F30" i="1"/>
  <c r="E30" i="1" s="1"/>
  <c r="F74" i="1" s="1"/>
  <c r="G25" i="6" s="1"/>
  <c r="F57" i="1" l="1"/>
  <c r="C51" i="1"/>
  <c r="F61" i="1" s="1"/>
  <c r="F62" i="1"/>
  <c r="E16" i="6" s="1"/>
  <c r="F60" i="1"/>
  <c r="E14" i="6" s="1"/>
  <c r="F59" i="1"/>
  <c r="E13" i="6" s="1"/>
  <c r="F28" i="1"/>
  <c r="F31" i="1"/>
  <c r="E31" i="1" s="1"/>
  <c r="F75" i="1" s="1"/>
  <c r="G26" i="6" s="1"/>
  <c r="F72" i="1" l="1"/>
  <c r="G23" i="6" s="1"/>
  <c r="E28" i="1"/>
  <c r="E15" i="6"/>
  <c r="F15" i="6"/>
  <c r="E28" i="6"/>
  <c r="D32" i="3"/>
  <c r="I40" i="3" s="1"/>
  <c r="D31" i="3"/>
  <c r="D30" i="3"/>
  <c r="D29" i="3"/>
  <c r="H41" i="3"/>
  <c r="H40" i="3"/>
  <c r="H38" i="3"/>
  <c r="C12" i="3"/>
  <c r="C11" i="3"/>
  <c r="C10" i="3"/>
  <c r="C9" i="3"/>
  <c r="C8" i="3"/>
  <c r="I80" i="1" l="1" a="1"/>
  <c r="J53" i="3"/>
  <c r="H28" i="6"/>
  <c r="I41" i="3"/>
  <c r="J41" i="3" s="1"/>
  <c r="H15" i="6" s="1"/>
  <c r="J39" i="3"/>
  <c r="H13" i="6" s="1"/>
  <c r="J40" i="3"/>
  <c r="H14" i="6" s="1"/>
  <c r="M11" i="3"/>
  <c r="L10" i="3"/>
  <c r="J12" i="3"/>
  <c r="I11" i="3"/>
  <c r="H10" i="3"/>
  <c r="G9" i="3"/>
  <c r="F8" i="3"/>
  <c r="E8" i="3"/>
  <c r="J42" i="3" l="1"/>
  <c r="H16" i="6" s="1"/>
  <c r="H27" i="6"/>
  <c r="I80" i="1"/>
  <c r="P86" i="1"/>
  <c r="X92" i="1"/>
  <c r="P98" i="1"/>
  <c r="P80" i="1"/>
  <c r="X86" i="1"/>
  <c r="L93" i="1"/>
  <c r="W98" i="1"/>
  <c r="AB97" i="1"/>
  <c r="X80" i="1"/>
  <c r="L87" i="1"/>
  <c r="T93" i="1"/>
  <c r="X98" i="1"/>
  <c r="L81" i="1"/>
  <c r="T87" i="1"/>
  <c r="AB93" i="1"/>
  <c r="K99" i="1"/>
  <c r="T81" i="1"/>
  <c r="AB87" i="1"/>
  <c r="P94" i="1"/>
  <c r="L99" i="1"/>
  <c r="AB81" i="1"/>
  <c r="P88" i="1"/>
  <c r="X94" i="1"/>
  <c r="S99" i="1"/>
  <c r="P82" i="1"/>
  <c r="X88" i="1"/>
  <c r="L95" i="1"/>
  <c r="T99" i="1"/>
  <c r="L83" i="1"/>
  <c r="T89" i="1"/>
  <c r="AB95" i="1"/>
  <c r="AB99" i="1"/>
  <c r="L91" i="1"/>
  <c r="L97" i="1"/>
  <c r="X82" i="1"/>
  <c r="L89" i="1"/>
  <c r="T95" i="1"/>
  <c r="AA99" i="1"/>
  <c r="L85" i="1"/>
  <c r="T91" i="1"/>
  <c r="T97" i="1"/>
  <c r="T85" i="1"/>
  <c r="AB91" i="1"/>
  <c r="AB85" i="1"/>
  <c r="T83" i="1"/>
  <c r="AB89" i="1"/>
  <c r="P96" i="1"/>
  <c r="AB83" i="1"/>
  <c r="P90" i="1"/>
  <c r="X96" i="1"/>
  <c r="P84" i="1"/>
  <c r="X90" i="1"/>
  <c r="K97" i="1"/>
  <c r="AA97" i="1"/>
  <c r="P92" i="1"/>
  <c r="X84" i="1"/>
  <c r="K89" i="1"/>
  <c r="W82" i="1"/>
  <c r="N96" i="1"/>
  <c r="Z89" i="1"/>
  <c r="R83" i="1"/>
  <c r="I87" i="1"/>
  <c r="T94" i="1"/>
  <c r="L88" i="1"/>
  <c r="X81" i="1"/>
  <c r="I93" i="1"/>
  <c r="W99" i="1"/>
  <c r="O93" i="1"/>
  <c r="AA86" i="1"/>
  <c r="S80" i="1"/>
  <c r="Q89" i="1"/>
  <c r="R96" i="1"/>
  <c r="J90" i="1"/>
  <c r="V83" i="1"/>
  <c r="M97" i="1"/>
  <c r="Y90" i="1"/>
  <c r="Q84" i="1"/>
  <c r="Y96" i="1"/>
  <c r="I84" i="1"/>
  <c r="Q96" i="1"/>
  <c r="V87" i="1"/>
  <c r="S96" i="1"/>
  <c r="N93" i="1"/>
  <c r="AB96" i="1"/>
  <c r="O89" i="1"/>
  <c r="Q80" i="1"/>
  <c r="X83" i="1"/>
  <c r="J85" i="1"/>
  <c r="Y98" i="1"/>
  <c r="R97" i="1"/>
  <c r="K88" i="1"/>
  <c r="I92" i="1"/>
  <c r="N90" i="1"/>
  <c r="R90" i="1"/>
  <c r="W88" i="1"/>
  <c r="O82" i="1"/>
  <c r="Z95" i="1"/>
  <c r="R89" i="1"/>
  <c r="J83" i="1"/>
  <c r="Q85" i="1"/>
  <c r="L94" i="1"/>
  <c r="X87" i="1"/>
  <c r="P81" i="1"/>
  <c r="Y91" i="1"/>
  <c r="O99" i="1"/>
  <c r="AA92" i="1"/>
  <c r="S86" i="1"/>
  <c r="K80" i="1"/>
  <c r="M88" i="1"/>
  <c r="J96" i="1"/>
  <c r="V89" i="1"/>
  <c r="N83" i="1"/>
  <c r="Q90" i="1"/>
  <c r="I90" i="1"/>
  <c r="Y94" i="1"/>
  <c r="O94" i="1"/>
  <c r="R80" i="1"/>
  <c r="Z85" i="1"/>
  <c r="J86" i="1"/>
  <c r="Z91" i="1"/>
  <c r="R98" i="1"/>
  <c r="Z97" i="1"/>
  <c r="S88" i="1"/>
  <c r="X95" i="1"/>
  <c r="N91" i="1"/>
  <c r="K83" i="1"/>
  <c r="O87" i="1"/>
  <c r="O88" i="1"/>
  <c r="AA81" i="1"/>
  <c r="R95" i="1"/>
  <c r="J89" i="1"/>
  <c r="V82" i="1"/>
  <c r="U80" i="1"/>
  <c r="X93" i="1"/>
  <c r="P87" i="1"/>
  <c r="AB80" i="1"/>
  <c r="I91" i="1"/>
  <c r="AA98" i="1"/>
  <c r="S92" i="1"/>
  <c r="K86" i="1"/>
  <c r="S97" i="1"/>
  <c r="Q87" i="1"/>
  <c r="V95" i="1"/>
  <c r="N89" i="1"/>
  <c r="Z82" i="1"/>
  <c r="U83" i="1"/>
  <c r="P91" i="1"/>
  <c r="L84" i="1"/>
  <c r="R92" i="1"/>
  <c r="W84" i="1"/>
  <c r="O95" i="1"/>
  <c r="P83" i="1"/>
  <c r="O90" i="1"/>
  <c r="S94" i="1"/>
  <c r="Q98" i="1"/>
  <c r="T88" i="1"/>
  <c r="J84" i="1"/>
  <c r="AA87" i="1"/>
  <c r="S81" i="1"/>
  <c r="J95" i="1"/>
  <c r="V88" i="1"/>
  <c r="N82" i="1"/>
  <c r="X99" i="1"/>
  <c r="P93" i="1"/>
  <c r="AB86" i="1"/>
  <c r="T80" i="1"/>
  <c r="Y89" i="1"/>
  <c r="S98" i="1"/>
  <c r="K92" i="1"/>
  <c r="W85" i="1"/>
  <c r="O96" i="1"/>
  <c r="M86" i="1"/>
  <c r="N95" i="1"/>
  <c r="Z88" i="1"/>
  <c r="R82" i="1"/>
  <c r="I96" i="1"/>
  <c r="U89" i="1"/>
  <c r="M83" i="1"/>
  <c r="X97" i="1"/>
  <c r="S91" i="1"/>
  <c r="Q99" i="1"/>
  <c r="Z98" i="1"/>
  <c r="U82" i="1"/>
  <c r="Q86" i="1"/>
  <c r="Y93" i="1"/>
  <c r="AA94" i="1"/>
  <c r="N85" i="1"/>
  <c r="P89" i="1"/>
  <c r="Z83" i="1"/>
  <c r="AA80" i="1"/>
  <c r="AA95" i="1"/>
  <c r="S87" i="1"/>
  <c r="K81" i="1"/>
  <c r="V94" i="1"/>
  <c r="N88" i="1"/>
  <c r="Z81" i="1"/>
  <c r="P99" i="1"/>
  <c r="AB92" i="1"/>
  <c r="T86" i="1"/>
  <c r="L80" i="1"/>
  <c r="I89" i="1"/>
  <c r="K98" i="1"/>
  <c r="W91" i="1"/>
  <c r="O85" i="1"/>
  <c r="K95" i="1"/>
  <c r="I85" i="1"/>
  <c r="Z94" i="1"/>
  <c r="R88" i="1"/>
  <c r="J82" i="1"/>
  <c r="U95" i="1"/>
  <c r="M89" i="1"/>
  <c r="Y82" i="1"/>
  <c r="O97" i="1"/>
  <c r="Y99" i="1"/>
  <c r="J94" i="1"/>
  <c r="I82" i="1"/>
  <c r="W83" i="1"/>
  <c r="V99" i="1"/>
  <c r="U87" i="1"/>
  <c r="T90" i="1"/>
  <c r="R85" i="1"/>
  <c r="U94" i="1"/>
  <c r="R91" i="1"/>
  <c r="Q97" i="1"/>
  <c r="J98" i="1"/>
  <c r="J91" i="1"/>
  <c r="AB94" i="1"/>
  <c r="M91" i="1"/>
  <c r="W94" i="1"/>
  <c r="K87" i="1"/>
  <c r="W80" i="1"/>
  <c r="N94" i="1"/>
  <c r="Z87" i="1"/>
  <c r="R81" i="1"/>
  <c r="AB98" i="1"/>
  <c r="T92" i="1"/>
  <c r="L86" i="1"/>
  <c r="O98" i="1"/>
  <c r="Y87" i="1"/>
  <c r="W97" i="1"/>
  <c r="O91" i="1"/>
  <c r="AA84" i="1"/>
  <c r="W92" i="1"/>
  <c r="Y83" i="1"/>
  <c r="R94" i="1"/>
  <c r="J88" i="1"/>
  <c r="V81" i="1"/>
  <c r="M95" i="1"/>
  <c r="Y88" i="1"/>
  <c r="Q82" i="1"/>
  <c r="U86" i="1"/>
  <c r="S84" i="1"/>
  <c r="I83" i="1"/>
  <c r="Q88" i="1"/>
  <c r="K90" i="1"/>
  <c r="Y97" i="1"/>
  <c r="Z86" i="1"/>
  <c r="I97" i="1"/>
  <c r="Q83" i="1"/>
  <c r="AA82" i="1"/>
  <c r="Y86" i="1"/>
  <c r="K91" i="1"/>
  <c r="M98" i="1"/>
  <c r="V85" i="1"/>
  <c r="K82" i="1"/>
  <c r="V84" i="1"/>
  <c r="M96" i="1"/>
  <c r="U92" i="1"/>
  <c r="Z84" i="1"/>
  <c r="W93" i="1"/>
  <c r="AA93" i="1"/>
  <c r="W86" i="1"/>
  <c r="O80" i="1"/>
  <c r="Z93" i="1"/>
  <c r="R87" i="1"/>
  <c r="J81" i="1"/>
  <c r="T98" i="1"/>
  <c r="L92" i="1"/>
  <c r="X85" i="1"/>
  <c r="W96" i="1"/>
  <c r="AA90" i="1"/>
  <c r="N81" i="1"/>
  <c r="V98" i="1"/>
  <c r="U99" i="1"/>
  <c r="L90" i="1"/>
  <c r="J92" i="1"/>
  <c r="L96" i="1"/>
  <c r="V91" i="1"/>
  <c r="Y81" i="1"/>
  <c r="S89" i="1"/>
  <c r="M80" i="1"/>
  <c r="Y84" i="1"/>
  <c r="S93" i="1"/>
  <c r="O86" i="1"/>
  <c r="Z99" i="1"/>
  <c r="R93" i="1"/>
  <c r="J87" i="1"/>
  <c r="V80" i="1"/>
  <c r="L98" i="1"/>
  <c r="X91" i="1"/>
  <c r="P85" i="1"/>
  <c r="S95" i="1"/>
  <c r="Y85" i="1"/>
  <c r="AA96" i="1"/>
  <c r="S90" i="1"/>
  <c r="K84" i="1"/>
  <c r="I99" i="1"/>
  <c r="I81" i="1"/>
  <c r="V93" i="1"/>
  <c r="N87" i="1"/>
  <c r="Z80" i="1"/>
  <c r="Q94" i="1"/>
  <c r="I88" i="1"/>
  <c r="U81" i="1"/>
  <c r="U84" i="1"/>
  <c r="M81" i="1"/>
  <c r="N92" i="1"/>
  <c r="Q95" i="1"/>
  <c r="T96" i="1"/>
  <c r="Y92" i="1"/>
  <c r="O84" i="1"/>
  <c r="M82" i="1"/>
  <c r="Q92" i="1"/>
  <c r="AA83" i="1"/>
  <c r="AB82" i="1"/>
  <c r="V97" i="1"/>
  <c r="V96" i="1"/>
  <c r="O92" i="1"/>
  <c r="AA85" i="1"/>
  <c r="R99" i="1"/>
  <c r="J93" i="1"/>
  <c r="V86" i="1"/>
  <c r="N80" i="1"/>
  <c r="AB84" i="1"/>
  <c r="I94" i="1"/>
  <c r="M93" i="1"/>
  <c r="Y95" i="1"/>
  <c r="AA88" i="1"/>
  <c r="M99" i="1"/>
  <c r="U90" i="1"/>
  <c r="AA91" i="1"/>
  <c r="S85" i="1"/>
  <c r="J99" i="1"/>
  <c r="V92" i="1"/>
  <c r="N86" i="1"/>
  <c r="U98" i="1"/>
  <c r="P97" i="1"/>
  <c r="AB90" i="1"/>
  <c r="T84" i="1"/>
  <c r="K93" i="1"/>
  <c r="M84" i="1"/>
  <c r="K96" i="1"/>
  <c r="W89" i="1"/>
  <c r="O83" i="1"/>
  <c r="U96" i="1"/>
  <c r="N99" i="1"/>
  <c r="Z92" i="1"/>
  <c r="R86" i="1"/>
  <c r="J80" i="1"/>
  <c r="U93" i="1"/>
  <c r="M87" i="1"/>
  <c r="Y80" i="1"/>
  <c r="K85" i="1"/>
  <c r="W95" i="1"/>
  <c r="N98" i="1"/>
  <c r="S82" i="1"/>
  <c r="W90" i="1"/>
  <c r="X89" i="1"/>
  <c r="Q93" i="1"/>
  <c r="I86" i="1"/>
  <c r="M92" i="1"/>
  <c r="W81" i="1"/>
  <c r="L82" i="1"/>
  <c r="U97" i="1"/>
  <c r="U85" i="1"/>
  <c r="U88" i="1"/>
  <c r="Z96" i="1"/>
  <c r="AA89" i="1"/>
  <c r="S83" i="1"/>
  <c r="J97" i="1"/>
  <c r="V90" i="1"/>
  <c r="N84" i="1"/>
  <c r="M90" i="1"/>
  <c r="P95" i="1"/>
  <c r="AB88" i="1"/>
  <c r="T82" i="1"/>
  <c r="I95" i="1"/>
  <c r="Q81" i="1"/>
  <c r="K94" i="1"/>
  <c r="W87" i="1"/>
  <c r="O81" i="1"/>
  <c r="Q91" i="1"/>
  <c r="N97" i="1"/>
  <c r="Z90" i="1"/>
  <c r="R84" i="1"/>
  <c r="I98" i="1"/>
  <c r="U91" i="1"/>
  <c r="M85" i="1"/>
  <c r="M94" i="1"/>
  <c r="I3" i="2"/>
  <c r="I4" i="2"/>
  <c r="I7" i="2"/>
  <c r="I6" i="2"/>
  <c r="I5" i="2"/>
  <c r="I18" i="2"/>
  <c r="C43" i="3" l="1" a="1"/>
  <c r="C43" i="3" s="1"/>
  <c r="C42" i="3" a="1"/>
  <c r="C42" i="3" s="1"/>
  <c r="C38" i="3" a="1"/>
  <c r="C38" i="3" s="1"/>
  <c r="L3" i="2" s="1" a="1"/>
  <c r="C39" i="3" a="1"/>
  <c r="C39" i="3" s="1"/>
  <c r="J4" i="2" s="1"/>
  <c r="C44" i="3" a="1"/>
  <c r="C44" i="3" s="1"/>
  <c r="C45" i="3" a="1"/>
  <c r="C45" i="3" s="1"/>
  <c r="C46" i="3" a="1"/>
  <c r="C46" i="3" s="1"/>
  <c r="C47" i="3" a="1"/>
  <c r="C47" i="3" s="1"/>
  <c r="C50" i="3" a="1"/>
  <c r="C50" i="3" s="1"/>
  <c r="C48" i="3" a="1"/>
  <c r="C48" i="3" s="1"/>
  <c r="C41" i="3" a="1"/>
  <c r="C41" i="3" s="1"/>
  <c r="J6" i="2" s="1"/>
  <c r="C49" i="3" a="1"/>
  <c r="C49" i="3" s="1"/>
  <c r="C51" i="3" a="1"/>
  <c r="C51" i="3" s="1"/>
  <c r="C40" i="3" a="1"/>
  <c r="C40" i="3" s="1"/>
  <c r="J5" i="2" s="1"/>
  <c r="C52" i="3" a="1"/>
  <c r="C52" i="3" s="1"/>
  <c r="C53" i="3" a="1"/>
  <c r="C53" i="3" s="1"/>
  <c r="B3" i="6" a="1"/>
  <c r="B3" i="6" s="1"/>
  <c r="J7" i="2"/>
  <c r="L3" i="2" l="1"/>
  <c r="Z6" i="2"/>
  <c r="Y11" i="2"/>
  <c r="Y3" i="2"/>
  <c r="P14" i="2"/>
  <c r="P6" i="2"/>
  <c r="O18" i="2"/>
  <c r="O10" i="2"/>
  <c r="S15" i="2"/>
  <c r="N17" i="2"/>
  <c r="N9" i="2"/>
  <c r="S10" i="2"/>
  <c r="M15" i="2"/>
  <c r="M7" i="2"/>
  <c r="Z14" i="2"/>
  <c r="L13" i="2"/>
  <c r="L5" i="2"/>
  <c r="P17" i="2"/>
  <c r="S14" i="2"/>
  <c r="X16" i="2"/>
  <c r="T15" i="2"/>
  <c r="P8" i="2"/>
  <c r="Z12" i="2"/>
  <c r="Q12" i="2"/>
  <c r="V9" i="2"/>
  <c r="R3" i="2"/>
  <c r="Q11" i="2"/>
  <c r="Q3" i="2"/>
  <c r="X13" i="2"/>
  <c r="X5" i="2"/>
  <c r="W17" i="2"/>
  <c r="W9" i="2"/>
  <c r="S12" i="2"/>
  <c r="V16" i="2"/>
  <c r="V8" i="2"/>
  <c r="AA7" i="2"/>
  <c r="U14" i="2"/>
  <c r="U6" i="2"/>
  <c r="Z11" i="2"/>
  <c r="T12" i="2"/>
  <c r="T4" i="2"/>
  <c r="P9" i="2"/>
  <c r="W12" i="2"/>
  <c r="P16" i="2"/>
  <c r="R14" i="2"/>
  <c r="U8" i="2"/>
  <c r="X6" i="2"/>
  <c r="Y18" i="2"/>
  <c r="Y10" i="2"/>
  <c r="AA15" i="2"/>
  <c r="P13" i="2"/>
  <c r="P5" i="2"/>
  <c r="O17" i="2"/>
  <c r="O9" i="2"/>
  <c r="S9" i="2"/>
  <c r="N16" i="2"/>
  <c r="N8" i="2"/>
  <c r="S3" i="2"/>
  <c r="M14" i="2"/>
  <c r="M6" i="2"/>
  <c r="R10" i="2"/>
  <c r="L12" i="2"/>
  <c r="L4" i="2"/>
  <c r="AA9" i="2"/>
  <c r="L16" i="2"/>
  <c r="Q14" i="2"/>
  <c r="V3" i="2"/>
  <c r="O12" i="2"/>
  <c r="X7" i="2"/>
  <c r="Q4" i="2"/>
  <c r="U7" i="2"/>
  <c r="Q18" i="2"/>
  <c r="Q10" i="2"/>
  <c r="S11" i="2"/>
  <c r="X12" i="2"/>
  <c r="X4" i="2"/>
  <c r="W16" i="2"/>
  <c r="W8" i="2"/>
  <c r="S7" i="2"/>
  <c r="V15" i="2"/>
  <c r="V7" i="2"/>
  <c r="R17" i="2"/>
  <c r="U13" i="2"/>
  <c r="U5" i="2"/>
  <c r="R8" i="2"/>
  <c r="T11" i="2"/>
  <c r="T3" i="2"/>
  <c r="O5" i="2"/>
  <c r="Z18" i="2"/>
  <c r="AA11" i="2"/>
  <c r="Y13" i="2"/>
  <c r="N11" i="2"/>
  <c r="L15" i="2"/>
  <c r="W10" i="2"/>
  <c r="Y17" i="2"/>
  <c r="Y9" i="2"/>
  <c r="AA5" i="2"/>
  <c r="P12" i="2"/>
  <c r="P4" i="2"/>
  <c r="O16" i="2"/>
  <c r="O8" i="2"/>
  <c r="S4" i="2"/>
  <c r="N15" i="2"/>
  <c r="N7" i="2"/>
  <c r="R15" i="2"/>
  <c r="M13" i="2"/>
  <c r="M5" i="2"/>
  <c r="R5" i="2"/>
  <c r="L11" i="2"/>
  <c r="Y6" i="2"/>
  <c r="R6" i="2"/>
  <c r="R16" i="2"/>
  <c r="O4" i="2"/>
  <c r="N3" i="2"/>
  <c r="AA8" i="2"/>
  <c r="W18" i="2"/>
  <c r="AA16" i="2"/>
  <c r="Q17" i="2"/>
  <c r="Q9" i="2"/>
  <c r="E44" i="3" s="1"/>
  <c r="Z13" i="2"/>
  <c r="X11" i="2"/>
  <c r="X3" i="2"/>
  <c r="W15" i="2"/>
  <c r="W7" i="2"/>
  <c r="Z17" i="2"/>
  <c r="V14" i="2"/>
  <c r="V6" i="2"/>
  <c r="R12" i="2"/>
  <c r="U12" i="2"/>
  <c r="U4" i="2"/>
  <c r="T18" i="2"/>
  <c r="T10" i="2"/>
  <c r="Y14" i="2"/>
  <c r="N4" i="2"/>
  <c r="L8" i="2"/>
  <c r="V11" i="2"/>
  <c r="L7" i="2"/>
  <c r="Q5" i="2"/>
  <c r="W3" i="2"/>
  <c r="V10" i="2"/>
  <c r="T14" i="2"/>
  <c r="Z16" i="2"/>
  <c r="AA13" i="2"/>
  <c r="Y16" i="2"/>
  <c r="Y8" i="2"/>
  <c r="Z3" i="2"/>
  <c r="P11" i="2"/>
  <c r="P3" i="2"/>
  <c r="O15" i="2"/>
  <c r="O7" i="2"/>
  <c r="Z15" i="2"/>
  <c r="N14" i="2"/>
  <c r="N6" i="2"/>
  <c r="Z9" i="2"/>
  <c r="M12" i="2"/>
  <c r="M4" i="2"/>
  <c r="L18" i="2"/>
  <c r="L10" i="2"/>
  <c r="AA4" i="2"/>
  <c r="S5" i="2"/>
  <c r="T7" i="2"/>
  <c r="M9" i="2"/>
  <c r="Q13" i="2"/>
  <c r="T6" i="2"/>
  <c r="X14" i="2"/>
  <c r="AA10" i="2"/>
  <c r="Q16" i="2"/>
  <c r="Q8" i="2"/>
  <c r="X18" i="2"/>
  <c r="X10" i="2"/>
  <c r="AA18" i="2"/>
  <c r="W14" i="2"/>
  <c r="W6" i="2"/>
  <c r="R13" i="2"/>
  <c r="V13" i="2"/>
  <c r="V5" i="2"/>
  <c r="Z7" i="2"/>
  <c r="U11" i="2"/>
  <c r="U3" i="2"/>
  <c r="T17" i="2"/>
  <c r="T9" i="2"/>
  <c r="O13" i="2"/>
  <c r="X8" i="2"/>
  <c r="R18" i="2"/>
  <c r="X15" i="2"/>
  <c r="V18" i="2"/>
  <c r="U16" i="2"/>
  <c r="S8" i="2"/>
  <c r="Y15" i="2"/>
  <c r="Y7" i="2"/>
  <c r="P18" i="2"/>
  <c r="P10" i="2"/>
  <c r="S16" i="2"/>
  <c r="O14" i="2"/>
  <c r="O6" i="2"/>
  <c r="R11" i="2"/>
  <c r="N13" i="2"/>
  <c r="N5" i="2"/>
  <c r="Z5" i="2"/>
  <c r="M11" i="2"/>
  <c r="M3" i="2"/>
  <c r="L17" i="2"/>
  <c r="L9" i="2"/>
  <c r="M10" i="2"/>
  <c r="W4" i="2"/>
  <c r="U9" i="2"/>
  <c r="U15" i="2"/>
  <c r="AA6" i="2"/>
  <c r="Q15" i="2"/>
  <c r="Q7" i="2"/>
  <c r="X17" i="2"/>
  <c r="X9" i="2"/>
  <c r="S13" i="2"/>
  <c r="W13" i="2"/>
  <c r="W5" i="2"/>
  <c r="Z8" i="2"/>
  <c r="V12" i="2"/>
  <c r="V4" i="2"/>
  <c r="U18" i="2"/>
  <c r="U10" i="2"/>
  <c r="S17" i="2"/>
  <c r="T16" i="2"/>
  <c r="T8" i="2"/>
  <c r="R7" i="2"/>
  <c r="N12" i="2"/>
  <c r="M18" i="2"/>
  <c r="Q6" i="2"/>
  <c r="U17" i="2"/>
  <c r="Y5" i="2"/>
  <c r="Z4" i="2"/>
  <c r="M17" i="2"/>
  <c r="W11" i="2"/>
  <c r="S6" i="2"/>
  <c r="R9" i="2"/>
  <c r="V17" i="2"/>
  <c r="AA12" i="2"/>
  <c r="T5" i="2"/>
  <c r="AA17" i="2"/>
  <c r="S18" i="2"/>
  <c r="Z10" i="2"/>
  <c r="Y12" i="2"/>
  <c r="Y4" i="2"/>
  <c r="P15" i="2"/>
  <c r="P7" i="2"/>
  <c r="R4" i="2"/>
  <c r="O11" i="2"/>
  <c r="O3" i="2"/>
  <c r="N18" i="2"/>
  <c r="N10" i="2"/>
  <c r="AA14" i="2"/>
  <c r="M16" i="2"/>
  <c r="M8" i="2"/>
  <c r="AA3" i="2"/>
  <c r="L14" i="2"/>
  <c r="L6" i="2"/>
  <c r="T13" i="2"/>
  <c r="J3" i="2"/>
  <c r="J8" i="2"/>
  <c r="J11" i="2"/>
  <c r="J12" i="2"/>
  <c r="J9" i="2"/>
  <c r="J13" i="2"/>
  <c r="J10" i="2"/>
  <c r="J17" i="2"/>
  <c r="J15" i="2"/>
  <c r="J16" i="2"/>
  <c r="J14" i="2"/>
  <c r="J18" i="2"/>
  <c r="F1" i="2" l="1" a="1"/>
  <c r="F1" i="2" s="1"/>
  <c r="E43" i="3"/>
  <c r="F43" i="3" s="1"/>
  <c r="E52" i="3"/>
  <c r="F52" i="3" s="1"/>
  <c r="F45" i="3"/>
  <c r="J45" i="3" s="1"/>
  <c r="H19" i="6" s="1"/>
  <c r="E49" i="3"/>
  <c r="F49" i="3" s="1"/>
  <c r="E50" i="3"/>
  <c r="F50" i="3" s="1"/>
  <c r="E46" i="3"/>
  <c r="F46" i="3" s="1"/>
  <c r="J46" i="3" s="1"/>
  <c r="E51" i="3"/>
  <c r="F51" i="3" s="1"/>
  <c r="H20" i="6" l="1"/>
  <c r="F44" i="3"/>
  <c r="J44" i="3" s="1"/>
  <c r="H18" i="6" s="1"/>
  <c r="E48" i="3"/>
  <c r="F48" i="3" s="1"/>
  <c r="J48" i="3" s="1"/>
  <c r="H22" i="6" s="1"/>
  <c r="F47" i="3"/>
  <c r="J51" i="3"/>
  <c r="H25" i="6" s="1"/>
  <c r="I11" i="2"/>
  <c r="J49" i="3"/>
  <c r="H23" i="6" s="1"/>
  <c r="J50" i="3"/>
  <c r="H24" i="6" s="1"/>
  <c r="J52" i="3"/>
  <c r="H26" i="6" s="1"/>
  <c r="J43" i="3"/>
  <c r="H17" i="6" s="1"/>
  <c r="I10" i="2"/>
  <c r="I13" i="2" l="1"/>
  <c r="I15" i="2"/>
  <c r="J47" i="3"/>
  <c r="I17" i="2"/>
  <c r="I14" i="2"/>
  <c r="I9" i="2"/>
  <c r="I16" i="2"/>
  <c r="I8" i="2"/>
  <c r="H21" i="6" l="1"/>
  <c r="H30" i="6" s="1"/>
  <c r="I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Scholz</author>
  </authors>
  <commentList>
    <comment ref="F7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Dan Scholz:</t>
        </r>
        <r>
          <rPr>
            <sz val="9"/>
            <color indexed="81"/>
            <rFont val="Tahoma"/>
            <family val="2"/>
          </rPr>
          <t xml:space="preserve">
Set very small to prevent divide by zero problem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<sst xmlns="http://schemas.openxmlformats.org/spreadsheetml/2006/main" count="531" uniqueCount="160">
  <si>
    <t>15+ STRIPS</t>
  </si>
  <si>
    <t>Long Corporate</t>
  </si>
  <si>
    <t>Int Corporate</t>
  </si>
  <si>
    <t>Ultra 30-Year UST Futures</t>
  </si>
  <si>
    <t xml:space="preserve">S&amp;P 500 </t>
  </si>
  <si>
    <t xml:space="preserve">Russell 2000 </t>
  </si>
  <si>
    <t>MSCI EAFE</t>
  </si>
  <si>
    <t>MSCI Emerging Markets</t>
  </si>
  <si>
    <t>MSCI ACWI</t>
  </si>
  <si>
    <t>Private Equity</t>
  </si>
  <si>
    <t>Dow Jones REIT</t>
  </si>
  <si>
    <t>Barclays HY</t>
  </si>
  <si>
    <t>Global HF</t>
  </si>
  <si>
    <t>GS Commodity</t>
  </si>
  <si>
    <t>Cash</t>
  </si>
  <si>
    <t>LIABILITY</t>
  </si>
  <si>
    <t>Liability</t>
  </si>
  <si>
    <t>Rate</t>
  </si>
  <si>
    <t>Change</t>
  </si>
  <si>
    <t>Spread</t>
  </si>
  <si>
    <t>FIXED INCOME GENERAL RATES</t>
  </si>
  <si>
    <t>FIXED INCOME SPREADS</t>
  </si>
  <si>
    <t>EQUITY</t>
  </si>
  <si>
    <t>Excess</t>
  </si>
  <si>
    <t>Return</t>
  </si>
  <si>
    <t>Fundamental Factor Group</t>
  </si>
  <si>
    <t>Return Seeking Assets</t>
  </si>
  <si>
    <t>Factor Description</t>
  </si>
  <si>
    <t>Vol Assumption</t>
  </si>
  <si>
    <t>Correlation</t>
  </si>
  <si>
    <t>Vol Description</t>
  </si>
  <si>
    <t>Liability General Rate</t>
  </si>
  <si>
    <t>Liability Spread</t>
  </si>
  <si>
    <t>Risk Unit</t>
  </si>
  <si>
    <t>Vol of Rate</t>
  </si>
  <si>
    <t>Vol of Spread</t>
  </si>
  <si>
    <t>Vol of Return</t>
  </si>
  <si>
    <t>From implied vol on rate options</t>
  </si>
  <si>
    <t>(Historical ratio of spread vol to spread level) * Current Spread Level</t>
  </si>
  <si>
    <t>Assumed to be zero (the zero vol asset )</t>
  </si>
  <si>
    <t>Asset Class or Liability</t>
  </si>
  <si>
    <t>Vol</t>
  </si>
  <si>
    <t>Duration</t>
  </si>
  <si>
    <t>N/A</t>
  </si>
  <si>
    <t>Covar</t>
  </si>
  <si>
    <t>Return Assumptions</t>
  </si>
  <si>
    <t>Generic Market (SP500) Risk Premium</t>
  </si>
  <si>
    <t>Premium</t>
  </si>
  <si>
    <t>Bond OAS</t>
  </si>
  <si>
    <t>Bond OAS Capture Ratio:</t>
  </si>
  <si>
    <t>Fixed Inc Term Premium (percent per yr duration)</t>
  </si>
  <si>
    <t>(e.g. 0.01% means a 30yr zero has a +30bp term premium)</t>
  </si>
  <si>
    <t>Capture Ratio</t>
  </si>
  <si>
    <t>OAS</t>
  </si>
  <si>
    <t>Market</t>
  </si>
  <si>
    <t>Beta</t>
  </si>
  <si>
    <t>to SP500</t>
  </si>
  <si>
    <t>Assumption</t>
  </si>
  <si>
    <t>Generic</t>
  </si>
  <si>
    <t>Other</t>
  </si>
  <si>
    <t>Factor</t>
  </si>
  <si>
    <t>Liability doesn't have default risk</t>
  </si>
  <si>
    <t>Comments</t>
  </si>
  <si>
    <t>Weighted Average of Components</t>
  </si>
  <si>
    <t>2% Hedge Fund Alpha Assumption</t>
  </si>
  <si>
    <t>Lots of opinions on what to assume for commodities</t>
  </si>
  <si>
    <t>A</t>
  </si>
  <si>
    <t>N</t>
  </si>
  <si>
    <t>P</t>
  </si>
  <si>
    <t>C</t>
  </si>
  <si>
    <t>I</t>
  </si>
  <si>
    <t>O</t>
  </si>
  <si>
    <t xml:space="preserve"> </t>
  </si>
  <si>
    <t>B</t>
  </si>
  <si>
    <t>E</t>
  </si>
  <si>
    <t>D</t>
  </si>
  <si>
    <t>F</t>
  </si>
  <si>
    <t>G</t>
  </si>
  <si>
    <t>H</t>
  </si>
  <si>
    <t>J</t>
  </si>
  <si>
    <t>K</t>
  </si>
  <si>
    <t>L</t>
  </si>
  <si>
    <t>M</t>
  </si>
  <si>
    <t>Anything in red is user input</t>
  </si>
  <si>
    <t>Broad Market Return Assumptions</t>
  </si>
  <si>
    <t>Fixed Inc Term Premium:</t>
  </si>
  <si>
    <t>Generic Market (SP500) Risk Premium:</t>
  </si>
  <si>
    <t>Total</t>
  </si>
  <si>
    <t>Override to assume same market beta as domestic equity</t>
  </si>
  <si>
    <t>Assumes Emerging Markets have additional 1.5% risk premium from other factors</t>
  </si>
  <si>
    <t>Correlation*</t>
  </si>
  <si>
    <t>Fixed Income Inputs</t>
  </si>
  <si>
    <t>Cash is subtracted because futures are unfunded</t>
  </si>
  <si>
    <t>1yr Implied Vol (Scales 3mo UST vol by ratio of 3mo to 12mo mty swaption vols)</t>
  </si>
  <si>
    <t>From implied vol on Russell 2000 options</t>
  </si>
  <si>
    <t>From implied vol on MSCI EAFE options</t>
  </si>
  <si>
    <t>From implied vol on S&amp;P 500 options</t>
  </si>
  <si>
    <t>From implied vol on MSCI Emerging Markets options</t>
  </si>
  <si>
    <t>Set Equivalent to Domestic Small Cap</t>
  </si>
  <si>
    <t>Historical vol scaled by the ratio of prospective to historical vol of proxy index</t>
  </si>
  <si>
    <t>Vol Proxy</t>
  </si>
  <si>
    <t>At the request of UPS, NISA has prepared the below illustrative mean-variance calculation of the UPS Pension liability and various indices.</t>
  </si>
  <si>
    <t>Underlying Tsy Market Return:</t>
  </si>
  <si>
    <t>*Correlation is based on up to 180 months of historical monthly data, weighted exponentially with a decay factor of 0.98.</t>
  </si>
  <si>
    <t>The liability data were estimated by discounting the cash flows provided by UPS on 05/10/2021 using the FTSE Above Median Discount Curve plus 36 bps as of 07/31/2021.
Index characteristics throughout this presentation are supplied by Bloomberg Index Services Ltd. as of 07/31/2021.
Prospective Risk Analysis:
Prospective return-seeking volatilities use one-year at-the-money (“ATM”) implied Index option volatilities.
-Correlation estimates use 139 months of monthly data.
-Prospective interest rate volatilities use ATM option implied volatilities on Treasury bonds and interest rate swaps. 
-Prospective credit spread volatilities are calculated by scaling historical volatilities by the prevailing spread level.</t>
  </si>
  <si>
    <t>Primitive Factor Weights</t>
  </si>
  <si>
    <t>Underlying Tsy Return:</t>
  </si>
  <si>
    <t>Equity Inputs</t>
  </si>
  <si>
    <t>Historical Vol</t>
  </si>
  <si>
    <t>Prospective Vol</t>
  </si>
  <si>
    <t>Vol Ratio</t>
  </si>
  <si>
    <t>3mo x 2yr Tsy Futures Options Vol</t>
  </si>
  <si>
    <t>3mo x 5yr Tsy Futures Options Vol</t>
  </si>
  <si>
    <t>3mo x 10yr Tsy Futures Options Vol</t>
  </si>
  <si>
    <t>3mo x 30yr Tsy Futures Options Vol</t>
  </si>
  <si>
    <t>Ratio</t>
  </si>
  <si>
    <t>2yr</t>
  </si>
  <si>
    <t>5yr</t>
  </si>
  <si>
    <t>10yr</t>
  </si>
  <si>
    <t>30yr</t>
  </si>
  <si>
    <t>Implied Rate Volatility</t>
  </si>
  <si>
    <t>Swaption Volatility</t>
  </si>
  <si>
    <t>2-Year</t>
  </si>
  <si>
    <t>3mo expiry</t>
  </si>
  <si>
    <t>12mo expiry</t>
  </si>
  <si>
    <t>5-Year</t>
  </si>
  <si>
    <t>10-Year</t>
  </si>
  <si>
    <t>30-Year</t>
  </si>
  <si>
    <t>Prospective Rate Volatility</t>
  </si>
  <si>
    <t>MSCI ACWI Components</t>
  </si>
  <si>
    <t>S&amp;P 500</t>
  </si>
  <si>
    <t>Spread Volatility</t>
  </si>
  <si>
    <t>Historical Spread</t>
  </si>
  <si>
    <t>Current Spread</t>
  </si>
  <si>
    <t>Current Vol</t>
  </si>
  <si>
    <t>Maturity Used in Interpolation</t>
  </si>
  <si>
    <t>15+  STRIPS</t>
  </si>
  <si>
    <t xml:space="preserve"> Date</t>
  </si>
  <si>
    <t>Funded Status Volatility</t>
  </si>
  <si>
    <t>Funded Status</t>
  </si>
  <si>
    <t>Assets OAD</t>
  </si>
  <si>
    <t>Liability OAD</t>
  </si>
  <si>
    <t>Hedge Percentage</t>
  </si>
  <si>
    <t>Index</t>
  </si>
  <si>
    <t>Weight</t>
  </si>
  <si>
    <t>Equity</t>
  </si>
  <si>
    <t>Expected</t>
  </si>
  <si>
    <t>OAD</t>
  </si>
  <si>
    <t>Fixed Income Indices</t>
  </si>
  <si>
    <t>UST Futures</t>
  </si>
  <si>
    <t>Equity Indices</t>
  </si>
  <si>
    <t>Total Allocation:</t>
  </si>
  <si>
    <t>Funded Status Loadings</t>
  </si>
  <si>
    <t>Durations</t>
  </si>
  <si>
    <t>Factor Loadings</t>
  </si>
  <si>
    <t>Spead</t>
  </si>
  <si>
    <t>CASH</t>
  </si>
  <si>
    <t>Asset Class</t>
  </si>
  <si>
    <t>Weights</t>
  </si>
  <si>
    <t>FS AdjWeights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</si>
</sst>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"/>
    <numFmt numFmtId="166" formatCode="0E+00"/>
    <numFmt numFmtId="167" formatCode="#,##0.0"/>
    <numFmt numFmtId="168" formatCode="0.0000%"/>
  </numFmts>
  <fonts count="3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theme="2"/>
      <name val="Arial"/>
      <family val="2"/>
    </font>
    <font>
      <b/>
      <sz val="10"/>
      <color rgb="FF0070C0"/>
      <name val="Arial"/>
      <family val="2"/>
    </font>
    <font>
      <sz val="10"/>
      <name val="Arial"/>
      <family val="2"/>
    </font>
    <font>
      <b/>
      <sz val="10"/>
      <color theme="6" tint="0.59999389629810485"/>
      <name val="Arial"/>
      <family val="2"/>
    </font>
    <font>
      <b/>
      <sz val="10"/>
      <color theme="5" tint="0.59999389629810485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2"/>
      <color theme="0"/>
      <name val="Arial"/>
      <family val="2"/>
    </font>
    <font>
      <b/>
      <u/>
      <sz val="11"/>
      <color theme="1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3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253">
    <xf numFmtId="0" fontId="0" fillId="0" borderId="0" xfId="0"/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wrapText="1"/>
    </xf>
    <xf numFmtId="0" fontId="6" fillId="5" borderId="0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5" borderId="9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/>
    <xf numFmtId="0" fontId="4" fillId="0" borderId="0" xfId="0" applyFont="1"/>
    <xf numFmtId="164" fontId="5" fillId="2" borderId="0" xfId="1" applyNumberFormat="1" applyFont="1" applyFill="1" applyBorder="1" applyAlignment="1">
      <alignment horizontal="center"/>
    </xf>
    <xf numFmtId="164" fontId="5" fillId="3" borderId="0" xfId="1" applyNumberFormat="1" applyFont="1" applyFill="1" applyBorder="1" applyAlignment="1">
      <alignment horizontal="center"/>
    </xf>
    <xf numFmtId="164" fontId="5" fillId="5" borderId="0" xfId="1" applyNumberFormat="1" applyFont="1" applyFill="1" applyBorder="1" applyAlignment="1">
      <alignment horizontal="center"/>
    </xf>
    <xf numFmtId="10" fontId="5" fillId="2" borderId="0" xfId="1" applyNumberFormat="1" applyFont="1" applyFill="1" applyBorder="1" applyAlignment="1">
      <alignment horizontal="center"/>
    </xf>
    <xf numFmtId="10" fontId="5" fillId="3" borderId="0" xfId="1" applyNumberFormat="1" applyFont="1" applyFill="1" applyBorder="1" applyAlignment="1">
      <alignment horizontal="center"/>
    </xf>
    <xf numFmtId="10" fontId="5" fillId="5" borderId="0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5" borderId="0" xfId="0" applyFont="1" applyFill="1" applyBorder="1" applyAlignment="1">
      <alignment horizontal="right"/>
    </xf>
    <xf numFmtId="10" fontId="11" fillId="0" borderId="0" xfId="0" applyNumberFormat="1" applyFont="1" applyAlignment="1">
      <alignment horizontal="center"/>
    </xf>
    <xf numFmtId="10" fontId="11" fillId="0" borderId="0" xfId="0" applyNumberFormat="1" applyFont="1"/>
    <xf numFmtId="9" fontId="11" fillId="0" borderId="0" xfId="0" applyNumberFormat="1" applyFont="1"/>
    <xf numFmtId="0" fontId="5" fillId="2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  <xf numFmtId="10" fontId="5" fillId="2" borderId="0" xfId="1" applyNumberFormat="1" applyFont="1" applyFill="1" applyBorder="1" applyAlignment="1">
      <alignment horizontal="left"/>
    </xf>
    <xf numFmtId="10" fontId="5" fillId="3" borderId="0" xfId="1" applyNumberFormat="1" applyFont="1" applyFill="1" applyBorder="1" applyAlignment="1">
      <alignment horizontal="left"/>
    </xf>
    <xf numFmtId="10" fontId="5" fillId="5" borderId="0" xfId="1" applyNumberFormat="1" applyFont="1" applyFill="1" applyBorder="1" applyAlignment="1">
      <alignment horizontal="left"/>
    </xf>
    <xf numFmtId="0" fontId="4" fillId="0" borderId="0" xfId="0" applyFont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2" fontId="5" fillId="3" borderId="0" xfId="0" applyNumberFormat="1" applyFont="1" applyFill="1" applyBorder="1" applyAlignment="1">
      <alignment horizontal="center"/>
    </xf>
    <xf numFmtId="2" fontId="5" fillId="5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5" fillId="4" borderId="0" xfId="0" applyFont="1" applyFill="1" applyBorder="1" applyAlignment="1">
      <alignment horizontal="left"/>
    </xf>
    <xf numFmtId="165" fontId="11" fillId="0" borderId="0" xfId="0" applyNumberFormat="1" applyFont="1" applyAlignment="1">
      <alignment horizontal="center"/>
    </xf>
    <xf numFmtId="0" fontId="0" fillId="7" borderId="0" xfId="0" applyFill="1"/>
    <xf numFmtId="0" fontId="3" fillId="0" borderId="0" xfId="0" quotePrefix="1" applyFont="1"/>
    <xf numFmtId="2" fontId="12" fillId="2" borderId="0" xfId="0" applyNumberFormat="1" applyFont="1" applyFill="1" applyBorder="1" applyAlignment="1">
      <alignment horizontal="center"/>
    </xf>
    <xf numFmtId="2" fontId="12" fillId="3" borderId="0" xfId="0" applyNumberFormat="1" applyFont="1" applyFill="1" applyBorder="1" applyAlignment="1">
      <alignment horizontal="center"/>
    </xf>
    <xf numFmtId="2" fontId="12" fillId="4" borderId="0" xfId="0" applyNumberFormat="1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5" fillId="2" borderId="0" xfId="0" applyNumberFormat="1" applyFont="1" applyFill="1" applyBorder="1" applyAlignment="1">
      <alignment horizontal="right"/>
    </xf>
    <xf numFmtId="166" fontId="5" fillId="3" borderId="0" xfId="0" applyNumberFormat="1" applyFont="1" applyFill="1" applyBorder="1" applyAlignment="1">
      <alignment horizontal="right"/>
    </xf>
    <xf numFmtId="166" fontId="5" fillId="4" borderId="0" xfId="0" applyNumberFormat="1" applyFont="1" applyFill="1" applyBorder="1" applyAlignment="1">
      <alignment horizontal="right"/>
    </xf>
    <xf numFmtId="166" fontId="5" fillId="5" borderId="0" xfId="0" applyNumberFormat="1" applyFont="1" applyFill="1" applyBorder="1" applyAlignment="1">
      <alignment horizontal="right"/>
    </xf>
    <xf numFmtId="0" fontId="13" fillId="0" borderId="0" xfId="0" applyFont="1"/>
    <xf numFmtId="10" fontId="12" fillId="2" borderId="0" xfId="1" applyNumberFormat="1" applyFont="1" applyFill="1" applyBorder="1" applyAlignment="1">
      <alignment horizontal="center"/>
    </xf>
    <xf numFmtId="10" fontId="12" fillId="3" borderId="0" xfId="1" applyNumberFormat="1" applyFont="1" applyFill="1" applyBorder="1" applyAlignment="1">
      <alignment horizontal="center"/>
    </xf>
    <xf numFmtId="10" fontId="12" fillId="5" borderId="0" xfId="1" applyNumberFormat="1" applyFont="1" applyFill="1" applyBorder="1" applyAlignment="1">
      <alignment horizontal="center"/>
    </xf>
    <xf numFmtId="10" fontId="14" fillId="0" borderId="0" xfId="0" applyNumberFormat="1" applyFont="1"/>
    <xf numFmtId="9" fontId="14" fillId="0" borderId="0" xfId="0" applyNumberFormat="1" applyFont="1"/>
    <xf numFmtId="165" fontId="5" fillId="2" borderId="0" xfId="0" applyNumberFormat="1" applyFont="1" applyFill="1" applyBorder="1" applyAlignment="1">
      <alignment horizontal="center"/>
    </xf>
    <xf numFmtId="165" fontId="5" fillId="3" borderId="0" xfId="0" applyNumberFormat="1" applyFont="1" applyFill="1" applyBorder="1" applyAlignment="1">
      <alignment horizontal="center"/>
    </xf>
    <xf numFmtId="165" fontId="5" fillId="5" borderId="0" xfId="0" applyNumberFormat="1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9" fontId="5" fillId="2" borderId="0" xfId="1" applyNumberFormat="1" applyFont="1" applyFill="1" applyBorder="1" applyAlignment="1">
      <alignment horizontal="center"/>
    </xf>
    <xf numFmtId="9" fontId="5" fillId="3" borderId="0" xfId="1" applyNumberFormat="1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Border="1"/>
    <xf numFmtId="0" fontId="5" fillId="5" borderId="18" xfId="0" applyFont="1" applyFill="1" applyBorder="1" applyAlignment="1">
      <alignment horizontal="left" vertical="center" readingOrder="1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8" fillId="0" borderId="0" xfId="0" applyNumberFormat="1" applyFont="1" applyAlignment="1">
      <alignment horizontal="center"/>
    </xf>
    <xf numFmtId="10" fontId="8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4" fontId="11" fillId="0" borderId="0" xfId="0" applyNumberFormat="1" applyFont="1" applyAlignment="1">
      <alignment horizontal="center"/>
    </xf>
    <xf numFmtId="0" fontId="4" fillId="0" borderId="0" xfId="0" applyFont="1" applyFill="1"/>
    <xf numFmtId="3" fontId="11" fillId="0" borderId="0" xfId="0" applyNumberFormat="1" applyFont="1" applyFill="1" applyAlignment="1">
      <alignment horizontal="center"/>
    </xf>
    <xf numFmtId="4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left"/>
    </xf>
    <xf numFmtId="10" fontId="16" fillId="0" borderId="0" xfId="0" applyNumberFormat="1" applyFont="1" applyAlignment="1">
      <alignment horizontal="center"/>
    </xf>
    <xf numFmtId="10" fontId="17" fillId="4" borderId="0" xfId="1" applyNumberFormat="1" applyFont="1" applyFill="1" applyBorder="1" applyAlignment="1">
      <alignment horizontal="center"/>
    </xf>
    <xf numFmtId="10" fontId="17" fillId="5" borderId="0" xfId="1" applyNumberFormat="1" applyFont="1" applyFill="1" applyBorder="1" applyAlignment="1">
      <alignment horizontal="center"/>
    </xf>
    <xf numFmtId="10" fontId="17" fillId="2" borderId="0" xfId="1" applyNumberFormat="1" applyFont="1" applyFill="1" applyBorder="1" applyAlignment="1">
      <alignment horizontal="center"/>
    </xf>
    <xf numFmtId="10" fontId="17" fillId="3" borderId="0" xfId="1" applyNumberFormat="1" applyFont="1" applyFill="1" applyBorder="1" applyAlignment="1">
      <alignment horizontal="center"/>
    </xf>
    <xf numFmtId="0" fontId="0" fillId="0" borderId="0" xfId="0" applyAlignment="1">
      <alignment horizontal="left" wrapText="1"/>
    </xf>
    <xf numFmtId="167" fontId="11" fillId="0" borderId="0" xfId="0" applyNumberFormat="1" applyFont="1" applyFill="1" applyAlignment="1">
      <alignment horizontal="center"/>
    </xf>
    <xf numFmtId="0" fontId="5" fillId="4" borderId="18" xfId="0" applyFont="1" applyFill="1" applyBorder="1" applyAlignment="1">
      <alignment vertical="center" wrapText="1" readingOrder="1"/>
    </xf>
    <xf numFmtId="0" fontId="1" fillId="0" borderId="0" xfId="0" applyFont="1"/>
    <xf numFmtId="0" fontId="1" fillId="0" borderId="0" xfId="0" applyFont="1" applyAlignment="1">
      <alignment wrapText="1"/>
    </xf>
    <xf numFmtId="0" fontId="18" fillId="8" borderId="0" xfId="0" applyFont="1" applyFill="1" applyAlignment="1">
      <alignment horizontal="right"/>
    </xf>
    <xf numFmtId="14" fontId="1" fillId="9" borderId="0" xfId="0" applyNumberFormat="1" applyFont="1" applyFill="1" applyAlignment="1">
      <alignment horizontal="center"/>
    </xf>
    <xf numFmtId="9" fontId="5" fillId="11" borderId="20" xfId="1" applyFont="1" applyFill="1" applyBorder="1" applyAlignment="1">
      <alignment horizontal="center"/>
    </xf>
    <xf numFmtId="2" fontId="1" fillId="9" borderId="0" xfId="0" applyNumberFormat="1" applyFont="1" applyFill="1" applyAlignment="1">
      <alignment horizontal="center"/>
    </xf>
    <xf numFmtId="0" fontId="1" fillId="0" borderId="0" xfId="0" applyFont="1" applyAlignment="1">
      <alignment vertical="top" wrapText="1"/>
    </xf>
    <xf numFmtId="164" fontId="1" fillId="9" borderId="0" xfId="0" applyNumberFormat="1" applyFont="1" applyFill="1" applyAlignment="1">
      <alignment horizontal="center"/>
    </xf>
    <xf numFmtId="0" fontId="19" fillId="8" borderId="0" xfId="0" applyFont="1" applyFill="1"/>
    <xf numFmtId="0" fontId="19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/>
    </xf>
    <xf numFmtId="0" fontId="19" fillId="8" borderId="21" xfId="0" applyFont="1" applyFill="1" applyBorder="1"/>
    <xf numFmtId="0" fontId="21" fillId="10" borderId="0" xfId="0" applyFont="1" applyFill="1"/>
    <xf numFmtId="9" fontId="17" fillId="11" borderId="0" xfId="1" applyFont="1" applyFill="1" applyBorder="1" applyAlignment="1">
      <alignment horizontal="center"/>
    </xf>
    <xf numFmtId="165" fontId="22" fillId="10" borderId="0" xfId="1" applyNumberFormat="1" applyFont="1" applyFill="1" applyBorder="1" applyAlignment="1">
      <alignment horizontal="center"/>
    </xf>
    <xf numFmtId="1" fontId="22" fillId="10" borderId="0" xfId="1" applyNumberFormat="1" applyFont="1" applyFill="1" applyBorder="1" applyAlignment="1">
      <alignment horizontal="center"/>
    </xf>
    <xf numFmtId="9" fontId="23" fillId="10" borderId="0" xfId="1" applyFont="1" applyFill="1" applyBorder="1" applyAlignment="1">
      <alignment horizontal="center"/>
    </xf>
    <xf numFmtId="10" fontId="22" fillId="10" borderId="0" xfId="1" applyNumberFormat="1" applyFont="1" applyFill="1" applyBorder="1" applyAlignment="1">
      <alignment horizontal="center"/>
    </xf>
    <xf numFmtId="0" fontId="20" fillId="8" borderId="23" xfId="0" applyFont="1" applyFill="1" applyBorder="1" applyAlignment="1">
      <alignment horizontal="center" vertical="center" readingOrder="1"/>
    </xf>
    <xf numFmtId="0" fontId="21" fillId="12" borderId="0" xfId="0" applyFont="1" applyFill="1"/>
    <xf numFmtId="165" fontId="22" fillId="12" borderId="0" xfId="1" applyNumberFormat="1" applyFont="1" applyFill="1" applyBorder="1" applyAlignment="1">
      <alignment horizontal="center"/>
    </xf>
    <xf numFmtId="1" fontId="22" fillId="12" borderId="0" xfId="1" applyNumberFormat="1" applyFont="1" applyFill="1" applyBorder="1" applyAlignment="1">
      <alignment horizontal="center"/>
    </xf>
    <xf numFmtId="9" fontId="23" fillId="12" borderId="0" xfId="1" applyFont="1" applyFill="1" applyBorder="1" applyAlignment="1">
      <alignment horizontal="center"/>
    </xf>
    <xf numFmtId="10" fontId="22" fillId="12" borderId="0" xfId="1" applyNumberFormat="1" applyFont="1" applyFill="1" applyBorder="1" applyAlignment="1">
      <alignment horizontal="center"/>
    </xf>
    <xf numFmtId="0" fontId="21" fillId="13" borderId="0" xfId="0" applyFont="1" applyFill="1"/>
    <xf numFmtId="9" fontId="24" fillId="13" borderId="0" xfId="1" applyFont="1" applyFill="1" applyBorder="1" applyAlignment="1">
      <alignment horizontal="center"/>
    </xf>
    <xf numFmtId="164" fontId="22" fillId="13" borderId="0" xfId="1" applyNumberFormat="1" applyFont="1" applyFill="1" applyBorder="1" applyAlignment="1">
      <alignment horizontal="center"/>
    </xf>
    <xf numFmtId="9" fontId="24" fillId="12" borderId="0" xfId="1" applyFont="1" applyFill="1" applyBorder="1" applyAlignment="1">
      <alignment horizontal="center"/>
    </xf>
    <xf numFmtId="164" fontId="22" fillId="12" borderId="0" xfId="1" applyNumberFormat="1" applyFont="1" applyFill="1" applyBorder="1" applyAlignment="1">
      <alignment horizontal="center"/>
    </xf>
    <xf numFmtId="0" fontId="20" fillId="8" borderId="23" xfId="0" applyFont="1" applyFill="1" applyBorder="1" applyAlignment="1">
      <alignment horizontal="center" readingOrder="1"/>
    </xf>
    <xf numFmtId="0" fontId="5" fillId="13" borderId="0" xfId="0" applyFont="1" applyFill="1"/>
    <xf numFmtId="9" fontId="1" fillId="13" borderId="0" xfId="0" applyNumberFormat="1" applyFont="1" applyFill="1" applyAlignment="1">
      <alignment horizontal="center"/>
    </xf>
    <xf numFmtId="165" fontId="1" fillId="13" borderId="0" xfId="0" applyNumberFormat="1" applyFont="1" applyFill="1" applyAlignment="1">
      <alignment horizontal="center"/>
    </xf>
    <xf numFmtId="1" fontId="1" fillId="13" borderId="0" xfId="0" applyNumberFormat="1" applyFont="1" applyFill="1" applyAlignment="1">
      <alignment horizontal="center"/>
    </xf>
    <xf numFmtId="0" fontId="1" fillId="13" borderId="0" xfId="0" applyFont="1" applyFill="1"/>
    <xf numFmtId="10" fontId="1" fillId="13" borderId="0" xfId="0" applyNumberFormat="1" applyFont="1" applyFill="1" applyAlignment="1">
      <alignment horizontal="center"/>
    </xf>
    <xf numFmtId="9" fontId="5" fillId="13" borderId="0" xfId="0" applyNumberFormat="1" applyFont="1" applyFill="1" applyAlignment="1">
      <alignment horizontal="center"/>
    </xf>
    <xf numFmtId="0" fontId="1" fillId="0" borderId="0" xfId="0" applyFont="1" applyAlignment="1">
      <alignment horizontal="left" vertical="top" wrapText="1"/>
    </xf>
    <xf numFmtId="0" fontId="15" fillId="0" borderId="0" xfId="0" applyFont="1"/>
    <xf numFmtId="0" fontId="6" fillId="2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3" borderId="0" xfId="0" applyFont="1" applyFill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4" borderId="0" xfId="0" applyFont="1" applyFill="1" applyAlignment="1">
      <alignment horizontal="center"/>
    </xf>
    <xf numFmtId="0" fontId="6" fillId="5" borderId="8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6" fillId="5" borderId="1" xfId="0" applyFont="1" applyFill="1" applyBorder="1" applyAlignment="1">
      <alignment wrapText="1"/>
    </xf>
    <xf numFmtId="0" fontId="6" fillId="5" borderId="9" xfId="0" applyFont="1" applyFill="1" applyBorder="1" applyAlignment="1">
      <alignment wrapText="1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wrapText="1"/>
    </xf>
    <xf numFmtId="0" fontId="6" fillId="5" borderId="0" xfId="0" applyFont="1" applyFill="1" applyAlignment="1">
      <alignment horizontal="center"/>
    </xf>
    <xf numFmtId="0" fontId="28" fillId="2" borderId="0" xfId="0" applyFont="1" applyFill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28" fillId="3" borderId="0" xfId="0" applyFont="1" applyFill="1" applyAlignment="1">
      <alignment horizontal="center"/>
    </xf>
    <xf numFmtId="0" fontId="28" fillId="3" borderId="19" xfId="0" applyFont="1" applyFill="1" applyBorder="1" applyAlignment="1">
      <alignment horizontal="center"/>
    </xf>
    <xf numFmtId="0" fontId="28" fillId="3" borderId="1" xfId="0" applyFont="1" applyFill="1" applyBorder="1" applyAlignment="1">
      <alignment horizontal="center"/>
    </xf>
    <xf numFmtId="0" fontId="28" fillId="4" borderId="0" xfId="0" applyFont="1" applyFill="1" applyAlignment="1">
      <alignment horizontal="center"/>
    </xf>
    <xf numFmtId="0" fontId="28" fillId="5" borderId="8" xfId="0" applyFont="1" applyFill="1" applyBorder="1" applyAlignment="1">
      <alignment horizontal="center"/>
    </xf>
    <xf numFmtId="0" fontId="28" fillId="5" borderId="0" xfId="0" applyFont="1" applyFill="1" applyAlignment="1">
      <alignment horizontal="center"/>
    </xf>
    <xf numFmtId="0" fontId="28" fillId="5" borderId="1" xfId="0" applyFont="1" applyFill="1" applyBorder="1" applyAlignment="1">
      <alignment horizontal="center"/>
    </xf>
    <xf numFmtId="0" fontId="28" fillId="5" borderId="9" xfId="0" applyFont="1" applyFill="1" applyBorder="1" applyAlignment="1">
      <alignment horizontal="center"/>
    </xf>
    <xf numFmtId="4" fontId="15" fillId="0" borderId="26" xfId="0" applyNumberFormat="1" applyFont="1" applyBorder="1" applyAlignment="1">
      <alignment horizontal="center"/>
    </xf>
    <xf numFmtId="165" fontId="15" fillId="0" borderId="27" xfId="0" applyNumberFormat="1" applyFont="1" applyBorder="1" applyAlignment="1">
      <alignment horizontal="center"/>
    </xf>
    <xf numFmtId="0" fontId="15" fillId="0" borderId="1" xfId="0" applyFont="1" applyBorder="1"/>
    <xf numFmtId="0" fontId="15" fillId="2" borderId="28" xfId="0" applyFont="1" applyFill="1" applyBorder="1" applyAlignment="1">
      <alignment horizontal="center"/>
    </xf>
    <xf numFmtId="0" fontId="15" fillId="2" borderId="29" xfId="0" applyFont="1" applyFill="1" applyBorder="1" applyAlignment="1">
      <alignment horizontal="center"/>
    </xf>
    <xf numFmtId="0" fontId="15" fillId="2" borderId="30" xfId="0" applyFont="1" applyFill="1" applyBorder="1" applyAlignment="1">
      <alignment horizontal="center"/>
    </xf>
    <xf numFmtId="0" fontId="15" fillId="2" borderId="31" xfId="0" applyFont="1" applyFill="1" applyBorder="1" applyAlignment="1">
      <alignment horizontal="center"/>
    </xf>
    <xf numFmtId="4" fontId="15" fillId="0" borderId="25" xfId="0" applyNumberFormat="1" applyFont="1" applyBorder="1" applyAlignment="1">
      <alignment horizontal="center"/>
    </xf>
    <xf numFmtId="165" fontId="15" fillId="0" borderId="32" xfId="0" applyNumberFormat="1" applyFont="1" applyBorder="1" applyAlignment="1">
      <alignment horizontal="center"/>
    </xf>
    <xf numFmtId="0" fontId="15" fillId="0" borderId="32" xfId="0" applyFont="1" applyBorder="1"/>
    <xf numFmtId="0" fontId="15" fillId="2" borderId="8" xfId="0" applyFont="1" applyFill="1" applyBorder="1" applyAlignment="1">
      <alignment horizontal="center"/>
    </xf>
    <xf numFmtId="1" fontId="15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9" xfId="0" applyFont="1" applyFill="1" applyBorder="1" applyAlignment="1">
      <alignment horizontal="center"/>
    </xf>
    <xf numFmtId="165" fontId="15" fillId="0" borderId="32" xfId="0" applyNumberFormat="1" applyFont="1" applyBorder="1" applyAlignment="1">
      <alignment horizontal="left"/>
    </xf>
    <xf numFmtId="0" fontId="15" fillId="0" borderId="27" xfId="0" applyFont="1" applyBorder="1" applyAlignment="1">
      <alignment horizontal="center"/>
    </xf>
    <xf numFmtId="0" fontId="15" fillId="0" borderId="27" xfId="0" applyFont="1" applyBorder="1" applyAlignment="1">
      <alignment horizontal="left"/>
    </xf>
    <xf numFmtId="0" fontId="15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165" fontId="15" fillId="0" borderId="34" xfId="0" applyNumberFormat="1" applyFont="1" applyBorder="1" applyAlignment="1">
      <alignment horizontal="center"/>
    </xf>
    <xf numFmtId="0" fontId="6" fillId="0" borderId="34" xfId="0" applyFont="1" applyBorder="1"/>
    <xf numFmtId="0" fontId="15" fillId="2" borderId="35" xfId="0" applyFont="1" applyFill="1" applyBorder="1" applyAlignment="1">
      <alignment horizontal="center"/>
    </xf>
    <xf numFmtId="0" fontId="15" fillId="2" borderId="37" xfId="0" applyFont="1" applyFill="1" applyBorder="1" applyAlignment="1">
      <alignment horizontal="center"/>
    </xf>
    <xf numFmtId="0" fontId="15" fillId="2" borderId="36" xfId="0" applyFont="1" applyFill="1" applyBorder="1" applyAlignment="1">
      <alignment horizontal="center"/>
    </xf>
    <xf numFmtId="0" fontId="15" fillId="2" borderId="38" xfId="0" applyFont="1" applyFill="1" applyBorder="1" applyAlignment="1">
      <alignment horizontal="center"/>
    </xf>
    <xf numFmtId="0" fontId="6" fillId="0" borderId="0" xfId="0" applyFont="1"/>
    <xf numFmtId="165" fontId="4" fillId="0" borderId="10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2" fontId="29" fillId="2" borderId="0" xfId="0" applyNumberFormat="1" applyFont="1" applyFill="1" applyBorder="1" applyAlignment="1">
      <alignment horizontal="center"/>
    </xf>
    <xf numFmtId="2" fontId="29" fillId="3" borderId="0" xfId="0" applyNumberFormat="1" applyFont="1" applyFill="1" applyBorder="1" applyAlignment="1">
      <alignment horizontal="center"/>
    </xf>
    <xf numFmtId="2" fontId="29" fillId="4" borderId="0" xfId="0" applyNumberFormat="1" applyFont="1" applyFill="1" applyBorder="1" applyAlignment="1">
      <alignment horizontal="center"/>
    </xf>
    <xf numFmtId="2" fontId="29" fillId="5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2" fontId="1" fillId="5" borderId="0" xfId="0" applyNumberFormat="1" applyFont="1" applyFill="1" applyBorder="1" applyAlignment="1">
      <alignment horizontal="center"/>
    </xf>
    <xf numFmtId="165" fontId="6" fillId="2" borderId="35" xfId="0" applyNumberFormat="1" applyFont="1" applyFill="1" applyBorder="1" applyAlignment="1">
      <alignment horizontal="center"/>
    </xf>
    <xf numFmtId="165" fontId="6" fillId="2" borderId="36" xfId="0" applyNumberFormat="1" applyFont="1" applyFill="1" applyBorder="1" applyAlignment="1">
      <alignment horizontal="center"/>
    </xf>
    <xf numFmtId="165" fontId="30" fillId="2" borderId="28" xfId="0" applyNumberFormat="1" applyFont="1" applyFill="1" applyBorder="1" applyAlignment="1">
      <alignment horizontal="center"/>
    </xf>
    <xf numFmtId="165" fontId="6" fillId="2" borderId="0" xfId="0" applyNumberFormat="1" applyFont="1" applyFill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0" fontId="5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168" fontId="5" fillId="10" borderId="0" xfId="1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18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 wrapText="1" readingOrder="1"/>
    </xf>
    <xf numFmtId="0" fontId="5" fillId="5" borderId="18" xfId="0" applyFont="1" applyFill="1" applyBorder="1" applyAlignment="1">
      <alignment horizontal="left" vertical="center" readingOrder="1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8" fillId="8" borderId="0" xfId="0" applyFont="1" applyFill="1" applyAlignment="1">
      <alignment horizontal="center"/>
    </xf>
    <xf numFmtId="0" fontId="20" fillId="8" borderId="22" xfId="0" applyFont="1" applyFill="1" applyBorder="1" applyAlignment="1">
      <alignment horizontal="center" vertical="center" readingOrder="1"/>
    </xf>
    <xf numFmtId="0" fontId="20" fillId="8" borderId="0" xfId="0" applyFont="1" applyFill="1" applyAlignment="1">
      <alignment horizontal="center" vertical="center" readingOrder="1"/>
    </xf>
    <xf numFmtId="0" fontId="20" fillId="8" borderId="21" xfId="0" applyFont="1" applyFill="1" applyBorder="1" applyAlignment="1">
      <alignment horizontal="center" vertical="center" readingOrder="1"/>
    </xf>
    <xf numFmtId="0" fontId="1" fillId="0" borderId="0" xfId="0" applyFont="1" applyAlignment="1">
      <alignment horizontal="left" vertical="top" wrapText="1"/>
    </xf>
    <xf numFmtId="0" fontId="25" fillId="14" borderId="10" xfId="0" applyFont="1" applyFill="1" applyBorder="1" applyAlignment="1">
      <alignment horizontal="center" vertical="center" wrapText="1"/>
    </xf>
    <xf numFmtId="0" fontId="25" fillId="14" borderId="11" xfId="0" applyFont="1" applyFill="1" applyBorder="1" applyAlignment="1">
      <alignment horizontal="center" vertical="center" wrapText="1"/>
    </xf>
    <xf numFmtId="0" fontId="26" fillId="12" borderId="10" xfId="0" applyFont="1" applyFill="1" applyBorder="1" applyAlignment="1">
      <alignment horizontal="center" vertical="center" wrapText="1"/>
    </xf>
    <xf numFmtId="0" fontId="26" fillId="12" borderId="11" xfId="0" applyFont="1" applyFill="1" applyBorder="1" applyAlignment="1">
      <alignment horizontal="center" vertical="center" wrapText="1"/>
    </xf>
    <xf numFmtId="0" fontId="27" fillId="8" borderId="24" xfId="0" applyFont="1" applyFill="1" applyBorder="1" applyAlignment="1">
      <alignment horizontal="center" vertical="center" wrapText="1"/>
    </xf>
    <xf numFmtId="0" fontId="27" fillId="8" borderId="2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</cellXfs>
  <cellStyles count="3">
    <cellStyle name="Normal" xfId="0" builtinId="0"/>
    <cellStyle name="Normal 10 2" xfId="2" xr:uid="{00000000-0005-0000-0000-000001000000}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  <row r="13">
          <cell r="B13" t="str">
            <v>15+ STRIPS</v>
          </cell>
        </row>
        <row r="14">
          <cell r="B14" t="str">
            <v>Long Corporate</v>
          </cell>
        </row>
        <row r="15">
          <cell r="B15" t="str">
            <v>Int Corporate</v>
          </cell>
        </row>
        <row r="16">
          <cell r="B16" t="str">
            <v>Ultra 30-Year UST Futures</v>
          </cell>
        </row>
        <row r="17">
          <cell r="B17" t="str">
            <v xml:space="preserve">S&amp;P 500 </v>
          </cell>
        </row>
        <row r="18">
          <cell r="B18" t="str">
            <v xml:space="preserve">Russell 2000 </v>
          </cell>
        </row>
        <row r="19">
          <cell r="B19" t="str">
            <v>MSCI EAFE</v>
          </cell>
        </row>
        <row r="20">
          <cell r="B20" t="str">
            <v>MSCI Emerging Markets</v>
          </cell>
        </row>
        <row r="21">
          <cell r="B21" t="str">
            <v>MSCI ACWI</v>
          </cell>
        </row>
        <row r="22">
          <cell r="B22" t="str">
            <v>Private Equity</v>
          </cell>
        </row>
        <row r="23">
          <cell r="B23" t="str">
            <v>Dow Jones REIT</v>
          </cell>
        </row>
        <row r="24">
          <cell r="B24" t="str">
            <v>Barclays HY</v>
          </cell>
        </row>
        <row r="25">
          <cell r="B25" t="str">
            <v>Global HF</v>
          </cell>
        </row>
        <row r="26">
          <cell r="B26" t="str">
            <v>GS Commodity</v>
          </cell>
        </row>
        <row r="27">
          <cell r="B27" t="str">
            <v>Cash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NISA Colors">
      <a:dk1>
        <a:srgbClr val="000000"/>
      </a:dk1>
      <a:lt1>
        <a:srgbClr val="FFFFFF"/>
      </a:lt1>
      <a:dk2>
        <a:srgbClr val="DDF3FF"/>
      </a:dk2>
      <a:lt2>
        <a:srgbClr val="EBEBEB"/>
      </a:lt2>
      <a:accent1>
        <a:srgbClr val="004C88"/>
      </a:accent1>
      <a:accent2>
        <a:srgbClr val="83AD99"/>
      </a:accent2>
      <a:accent3>
        <a:srgbClr val="A9B8C1"/>
      </a:accent3>
      <a:accent4>
        <a:srgbClr val="E98571"/>
      </a:accent4>
      <a:accent5>
        <a:srgbClr val="E2D04E"/>
      </a:accent5>
      <a:accent6>
        <a:srgbClr val="00AEEF"/>
      </a:accent6>
      <a:hlink>
        <a:srgbClr val="004C88"/>
      </a:hlink>
      <a:folHlink>
        <a:srgbClr val="004C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102"/>
  <sheetViews>
    <sheetView showGridLines="0" topLeftCell="A22" zoomScaleNormal="100" workbookViewId="0">
      <selection activeCell="C75" sqref="C75"/>
    </sheetView>
  </sheetViews>
  <sheetFormatPr defaultRowHeight="14.4" x14ac:dyDescent="0.3"/>
  <cols>
    <col min="2" max="2" width="31" bestFit="1" customWidth="1"/>
    <col min="3" max="3" width="24.5546875" bestFit="1" customWidth="1"/>
    <col min="4" max="4" width="17.5546875" bestFit="1" customWidth="1"/>
    <col min="5" max="5" width="14.88671875" customWidth="1"/>
    <col min="6" max="6" width="20.6640625" bestFit="1" customWidth="1"/>
    <col min="7" max="7" width="86.6640625" bestFit="1" customWidth="1"/>
    <col min="9" max="14" width="6.5546875" bestFit="1" customWidth="1"/>
    <col min="15" max="15" width="6.44140625" bestFit="1" customWidth="1"/>
    <col min="16" max="27" width="6.5546875" bestFit="1" customWidth="1"/>
    <col min="28" max="28" width="8" customWidth="1"/>
  </cols>
  <sheetData>
    <row r="2" spans="2:5" x14ac:dyDescent="0.3">
      <c r="B2" t="s">
        <v>101</v>
      </c>
    </row>
    <row r="4" spans="2:5" x14ac:dyDescent="0.3">
      <c r="B4" s="49" t="s">
        <v>72</v>
      </c>
      <c r="C4" s="50" t="s">
        <v>83</v>
      </c>
    </row>
    <row r="6" spans="2:5" x14ac:dyDescent="0.3">
      <c r="B6" s="20" t="s">
        <v>84</v>
      </c>
    </row>
    <row r="7" spans="2:5" x14ac:dyDescent="0.3">
      <c r="B7" s="21" t="s">
        <v>102</v>
      </c>
      <c r="D7" s="34">
        <v>0.02</v>
      </c>
    </row>
    <row r="8" spans="2:5" x14ac:dyDescent="0.3">
      <c r="B8" s="21" t="s">
        <v>46</v>
      </c>
      <c r="D8" s="34">
        <v>0.04</v>
      </c>
    </row>
    <row r="9" spans="2:5" x14ac:dyDescent="0.3">
      <c r="B9" s="21" t="s">
        <v>50</v>
      </c>
      <c r="D9" s="34">
        <v>0</v>
      </c>
      <c r="E9" t="s">
        <v>51</v>
      </c>
    </row>
    <row r="10" spans="2:5" x14ac:dyDescent="0.3">
      <c r="B10" s="21" t="s">
        <v>49</v>
      </c>
      <c r="D10" s="35">
        <v>0.75</v>
      </c>
    </row>
    <row r="14" spans="2:5" x14ac:dyDescent="0.3">
      <c r="B14" s="20" t="s">
        <v>91</v>
      </c>
      <c r="C14" s="28" t="s">
        <v>42</v>
      </c>
      <c r="D14" s="28" t="s">
        <v>19</v>
      </c>
    </row>
    <row r="15" spans="2:5" x14ac:dyDescent="0.3">
      <c r="B15" s="21" t="s">
        <v>16</v>
      </c>
      <c r="C15" s="48">
        <v>20.292029322892667</v>
      </c>
      <c r="D15" s="33">
        <v>1.2500000000000001E-2</v>
      </c>
    </row>
    <row r="16" spans="2:5" x14ac:dyDescent="0.3">
      <c r="B16" s="21" t="s">
        <v>0</v>
      </c>
      <c r="C16" s="48">
        <v>25.46306899999999</v>
      </c>
      <c r="D16" s="18" t="s">
        <v>43</v>
      </c>
    </row>
    <row r="17" spans="2:6" x14ac:dyDescent="0.3">
      <c r="B17" s="21" t="s">
        <v>1</v>
      </c>
      <c r="C17" s="48">
        <v>15.451228999999993</v>
      </c>
      <c r="D17" s="33">
        <v>1.2233859699999999E-2</v>
      </c>
    </row>
    <row r="18" spans="2:6" x14ac:dyDescent="0.3">
      <c r="B18" s="21" t="s">
        <v>2</v>
      </c>
      <c r="C18" s="48">
        <v>4.5725780000000009</v>
      </c>
      <c r="D18" s="33">
        <v>6.2254885000000001E-3</v>
      </c>
    </row>
    <row r="19" spans="2:6" x14ac:dyDescent="0.3">
      <c r="B19" s="21" t="s">
        <v>3</v>
      </c>
      <c r="C19" s="48">
        <v>19.400993</v>
      </c>
      <c r="D19" s="18" t="s">
        <v>43</v>
      </c>
    </row>
    <row r="21" spans="2:6" x14ac:dyDescent="0.3">
      <c r="B21" s="20" t="s">
        <v>107</v>
      </c>
      <c r="C21" s="28" t="s">
        <v>100</v>
      </c>
      <c r="D21" s="28" t="s">
        <v>108</v>
      </c>
      <c r="E21" s="28" t="s">
        <v>109</v>
      </c>
      <c r="F21" s="28" t="s">
        <v>110</v>
      </c>
    </row>
    <row r="22" spans="2:6" x14ac:dyDescent="0.3">
      <c r="B22" s="21" t="s">
        <v>4</v>
      </c>
      <c r="C22" s="18" t="s">
        <v>43</v>
      </c>
      <c r="D22" s="98">
        <v>0.15037140451186259</v>
      </c>
      <c r="E22" s="98">
        <v>0.16745873474928574</v>
      </c>
      <c r="F22" s="94">
        <f>E22/D22</f>
        <v>1.1136341732850885</v>
      </c>
    </row>
    <row r="23" spans="2:6" x14ac:dyDescent="0.3">
      <c r="B23" s="21" t="s">
        <v>5</v>
      </c>
      <c r="C23" s="18" t="s">
        <v>43</v>
      </c>
      <c r="D23" s="98">
        <v>0.20261690946442354</v>
      </c>
      <c r="E23" s="98">
        <v>0.20140740249674263</v>
      </c>
      <c r="F23" s="94">
        <f t="shared" ref="F23:F25" si="0">E23/D23</f>
        <v>0.99403057241926163</v>
      </c>
    </row>
    <row r="24" spans="2:6" x14ac:dyDescent="0.3">
      <c r="B24" s="21" t="s">
        <v>6</v>
      </c>
      <c r="C24" s="18" t="s">
        <v>43</v>
      </c>
      <c r="D24" s="98">
        <v>0.15488090814079505</v>
      </c>
      <c r="E24" s="98">
        <v>0.18856635093755461</v>
      </c>
      <c r="F24" s="94">
        <f t="shared" si="0"/>
        <v>1.2174925444402591</v>
      </c>
    </row>
    <row r="25" spans="2:6" x14ac:dyDescent="0.3">
      <c r="B25" s="21" t="s">
        <v>7</v>
      </c>
      <c r="C25" s="18" t="s">
        <v>43</v>
      </c>
      <c r="D25" s="98">
        <v>0.17609317384487749</v>
      </c>
      <c r="E25" s="98">
        <v>0.20662077776341703</v>
      </c>
      <c r="F25" s="94">
        <f t="shared" si="0"/>
        <v>1.173360518480016</v>
      </c>
    </row>
    <row r="26" spans="2:6" x14ac:dyDescent="0.3">
      <c r="B26" s="21" t="s">
        <v>8</v>
      </c>
      <c r="C26" s="18" t="s">
        <v>6</v>
      </c>
      <c r="D26" s="98">
        <v>0.1489601559447962</v>
      </c>
      <c r="E26" s="92">
        <f>D26*F26</f>
        <v>0.1813578792814477</v>
      </c>
      <c r="F26" s="94">
        <f>VLOOKUP(C26,$B$22:$F$25,5,0)</f>
        <v>1.2174925444402591</v>
      </c>
    </row>
    <row r="27" spans="2:6" x14ac:dyDescent="0.3">
      <c r="B27" s="21" t="s">
        <v>9</v>
      </c>
      <c r="C27" s="18" t="s">
        <v>5</v>
      </c>
      <c r="D27" s="98">
        <v>0.20261690946442354</v>
      </c>
      <c r="E27" s="92">
        <f t="shared" ref="E27:E31" si="1">D27*F27</f>
        <v>0.20140740249674263</v>
      </c>
      <c r="F27" s="94">
        <f t="shared" ref="F27:F31" si="2">VLOOKUP(C27,$B$22:$F$25,5,0)</f>
        <v>0.99403057241926163</v>
      </c>
    </row>
    <row r="28" spans="2:6" x14ac:dyDescent="0.3">
      <c r="B28" s="21" t="s">
        <v>10</v>
      </c>
      <c r="C28" s="18" t="s">
        <v>4</v>
      </c>
      <c r="D28" s="98">
        <v>0.16192639843947809</v>
      </c>
      <c r="E28" s="92">
        <f>D28*F28</f>
        <v>0.18032677085918003</v>
      </c>
      <c r="F28" s="94">
        <f t="shared" si="2"/>
        <v>1.1136341732850885</v>
      </c>
    </row>
    <row r="29" spans="2:6" x14ac:dyDescent="0.3">
      <c r="B29" s="21" t="s">
        <v>11</v>
      </c>
      <c r="C29" s="18" t="s">
        <v>4</v>
      </c>
      <c r="D29" s="98">
        <v>7.5167594241271826E-2</v>
      </c>
      <c r="E29" s="92">
        <f t="shared" si="1"/>
        <v>8.3709201670707736E-2</v>
      </c>
      <c r="F29" s="94">
        <f t="shared" si="2"/>
        <v>1.1136341732850885</v>
      </c>
    </row>
    <row r="30" spans="2:6" x14ac:dyDescent="0.3">
      <c r="B30" s="21" t="s">
        <v>12</v>
      </c>
      <c r="C30" s="18" t="s">
        <v>4</v>
      </c>
      <c r="D30" s="98">
        <v>4.7647051077905678E-2</v>
      </c>
      <c r="E30" s="92">
        <f t="shared" si="1"/>
        <v>5.3061384336615877E-2</v>
      </c>
      <c r="F30" s="94">
        <f t="shared" si="2"/>
        <v>1.1136341732850885</v>
      </c>
    </row>
    <row r="31" spans="2:6" x14ac:dyDescent="0.3">
      <c r="B31" s="21" t="s">
        <v>13</v>
      </c>
      <c r="C31" s="18" t="s">
        <v>4</v>
      </c>
      <c r="D31" s="98">
        <v>0.22790198770244452</v>
      </c>
      <c r="E31" s="92">
        <f t="shared" si="1"/>
        <v>0.2537994416650402</v>
      </c>
      <c r="F31" s="94">
        <f t="shared" si="2"/>
        <v>1.1136341732850885</v>
      </c>
    </row>
    <row r="32" spans="2:6" x14ac:dyDescent="0.3">
      <c r="B32" s="21"/>
      <c r="C32" s="18"/>
      <c r="D32" s="33"/>
      <c r="E32" s="93"/>
      <c r="F32" s="94"/>
    </row>
    <row r="33" spans="2:7" x14ac:dyDescent="0.3">
      <c r="B33" s="20" t="s">
        <v>131</v>
      </c>
      <c r="C33" s="28" t="s">
        <v>132</v>
      </c>
      <c r="D33" s="28" t="s">
        <v>108</v>
      </c>
      <c r="E33" s="97" t="s">
        <v>110</v>
      </c>
      <c r="F33" s="96" t="s">
        <v>133</v>
      </c>
      <c r="G33" s="20" t="s">
        <v>134</v>
      </c>
    </row>
    <row r="34" spans="2:7" x14ac:dyDescent="0.3">
      <c r="B34" s="100" t="s">
        <v>1</v>
      </c>
      <c r="C34" s="101">
        <v>175.01580594921191</v>
      </c>
      <c r="D34" s="101">
        <v>55.145966989785123</v>
      </c>
      <c r="E34" s="102">
        <f>D34/C34</f>
        <v>0.31509135241069602</v>
      </c>
      <c r="F34" s="101">
        <v>122.33860015869141</v>
      </c>
      <c r="G34" s="103">
        <f>E34*F34</f>
        <v>38.547834976033464</v>
      </c>
    </row>
    <row r="35" spans="2:7" x14ac:dyDescent="0.3">
      <c r="B35" s="100" t="s">
        <v>2</v>
      </c>
      <c r="C35" s="101">
        <v>109.63020788871731</v>
      </c>
      <c r="D35" s="101">
        <v>61.080629189123009</v>
      </c>
      <c r="E35" s="102">
        <f>D35/C35</f>
        <v>0.55715144908896208</v>
      </c>
      <c r="F35" s="101">
        <v>62.254886627197266</v>
      </c>
      <c r="G35" s="103">
        <f>E35*F35</f>
        <v>34.685400297212006</v>
      </c>
    </row>
    <row r="36" spans="2:7" x14ac:dyDescent="0.3">
      <c r="B36" s="100" t="s">
        <v>32</v>
      </c>
      <c r="C36" s="101">
        <v>122.19875876099965</v>
      </c>
      <c r="D36" s="101">
        <v>41.798871890707858</v>
      </c>
      <c r="E36" s="102">
        <f>D36/C36</f>
        <v>0.34205643587967588</v>
      </c>
      <c r="F36" s="101">
        <v>88.722886355057341</v>
      </c>
      <c r="G36" s="103">
        <f>E36*F36</f>
        <v>30.348234287568442</v>
      </c>
    </row>
    <row r="37" spans="2:7" x14ac:dyDescent="0.3">
      <c r="B37" s="21"/>
      <c r="C37" s="18"/>
      <c r="D37" s="33"/>
      <c r="E37" s="93"/>
      <c r="F37" s="94"/>
    </row>
    <row r="38" spans="2:7" x14ac:dyDescent="0.3">
      <c r="B38" s="20" t="s">
        <v>120</v>
      </c>
      <c r="C38" s="18"/>
      <c r="D38" s="33"/>
      <c r="E38" s="93"/>
      <c r="F38" s="94"/>
    </row>
    <row r="39" spans="2:7" x14ac:dyDescent="0.3">
      <c r="B39" s="21" t="s">
        <v>111</v>
      </c>
      <c r="C39" s="99">
        <v>21.791281711299785</v>
      </c>
      <c r="D39" s="33"/>
      <c r="E39" s="93"/>
      <c r="F39" s="94"/>
    </row>
    <row r="40" spans="2:7" x14ac:dyDescent="0.3">
      <c r="B40" s="21" t="s">
        <v>112</v>
      </c>
      <c r="C40" s="99">
        <v>61.391811839688827</v>
      </c>
      <c r="D40" s="33"/>
      <c r="E40" s="93"/>
      <c r="F40" s="94"/>
    </row>
    <row r="41" spans="2:7" x14ac:dyDescent="0.3">
      <c r="B41" s="21" t="s">
        <v>113</v>
      </c>
      <c r="C41" s="99">
        <v>70.058702463221962</v>
      </c>
      <c r="D41" s="33"/>
      <c r="E41" s="93"/>
      <c r="F41" s="94"/>
    </row>
    <row r="42" spans="2:7" x14ac:dyDescent="0.3">
      <c r="B42" s="21" t="s">
        <v>114</v>
      </c>
      <c r="C42" s="99">
        <v>80.113709997260301</v>
      </c>
      <c r="D42" s="33"/>
      <c r="E42" s="93"/>
      <c r="F42" s="94"/>
    </row>
    <row r="43" spans="2:7" x14ac:dyDescent="0.3">
      <c r="B43" s="21"/>
      <c r="C43" s="94"/>
      <c r="D43" s="33"/>
      <c r="E43" s="93"/>
      <c r="F43" s="94"/>
    </row>
    <row r="44" spans="2:7" x14ac:dyDescent="0.3">
      <c r="B44" s="20" t="s">
        <v>121</v>
      </c>
      <c r="C44" s="96" t="s">
        <v>123</v>
      </c>
      <c r="D44" s="96" t="s">
        <v>124</v>
      </c>
      <c r="E44" s="97" t="s">
        <v>115</v>
      </c>
      <c r="F44" s="94"/>
    </row>
    <row r="45" spans="2:7" x14ac:dyDescent="0.3">
      <c r="B45" s="21" t="s">
        <v>122</v>
      </c>
      <c r="C45" s="99">
        <v>29.83</v>
      </c>
      <c r="D45" s="99">
        <v>47.7</v>
      </c>
      <c r="E45" s="94">
        <f>D45/C45</f>
        <v>1.5990613476366076</v>
      </c>
      <c r="F45" s="94"/>
    </row>
    <row r="46" spans="2:7" x14ac:dyDescent="0.3">
      <c r="B46" s="21" t="s">
        <v>125</v>
      </c>
      <c r="C46" s="99">
        <v>62.19</v>
      </c>
      <c r="D46" s="99">
        <v>65.56</v>
      </c>
      <c r="E46" s="94">
        <f>D46/C46</f>
        <v>1.0541887763305999</v>
      </c>
      <c r="F46" s="94"/>
    </row>
    <row r="47" spans="2:7" x14ac:dyDescent="0.3">
      <c r="B47" s="21" t="s">
        <v>126</v>
      </c>
      <c r="C47" s="99">
        <v>74.86</v>
      </c>
      <c r="D47" s="99">
        <v>70.64</v>
      </c>
      <c r="E47" s="94">
        <f>D47/C47</f>
        <v>0.94362810579748868</v>
      </c>
      <c r="F47" s="94"/>
    </row>
    <row r="48" spans="2:7" x14ac:dyDescent="0.3">
      <c r="B48" s="21" t="s">
        <v>127</v>
      </c>
      <c r="C48" s="99">
        <v>78.13</v>
      </c>
      <c r="D48" s="99">
        <v>71.540000000000006</v>
      </c>
      <c r="E48" s="94">
        <f>D48/C48</f>
        <v>0.91565339818251645</v>
      </c>
      <c r="F48" s="94"/>
    </row>
    <row r="49" spans="1:28" x14ac:dyDescent="0.3">
      <c r="B49" s="21"/>
      <c r="C49" s="94"/>
      <c r="D49" s="33"/>
      <c r="E49" s="93"/>
      <c r="F49" s="94"/>
    </row>
    <row r="50" spans="1:28" x14ac:dyDescent="0.3">
      <c r="B50" s="20" t="s">
        <v>128</v>
      </c>
      <c r="C50" s="94"/>
      <c r="D50" s="104" t="s">
        <v>135</v>
      </c>
      <c r="E50" s="93"/>
      <c r="F50" s="94"/>
    </row>
    <row r="51" spans="1:28" x14ac:dyDescent="0.3">
      <c r="B51" s="21" t="s">
        <v>116</v>
      </c>
      <c r="C51" s="95">
        <f>C39*E45</f>
        <v>34.845596299999997</v>
      </c>
      <c r="D51" s="110">
        <v>2</v>
      </c>
      <c r="E51" s="93"/>
      <c r="F51" s="94"/>
    </row>
    <row r="52" spans="1:28" x14ac:dyDescent="0.3">
      <c r="B52" s="21" t="s">
        <v>117</v>
      </c>
      <c r="C52" s="95">
        <f>C40*E46</f>
        <v>64.718558999999999</v>
      </c>
      <c r="D52" s="110">
        <v>5</v>
      </c>
      <c r="E52" s="93"/>
      <c r="F52" s="94"/>
    </row>
    <row r="53" spans="1:28" x14ac:dyDescent="0.3">
      <c r="B53" s="21" t="s">
        <v>118</v>
      </c>
      <c r="C53" s="95">
        <f>C41*E47</f>
        <v>66.109360699999996</v>
      </c>
      <c r="D53" s="110">
        <v>10</v>
      </c>
      <c r="E53" s="94"/>
      <c r="F53" s="94"/>
    </row>
    <row r="54" spans="1:28" x14ac:dyDescent="0.3">
      <c r="B54" s="21" t="s">
        <v>119</v>
      </c>
      <c r="C54" s="95">
        <f>C42*E48</f>
        <v>73.356390800000042</v>
      </c>
      <c r="D54" s="110">
        <v>30</v>
      </c>
      <c r="E54" s="93"/>
      <c r="F54" s="94"/>
    </row>
    <row r="56" spans="1:28" x14ac:dyDescent="0.3">
      <c r="B56" s="21" t="s">
        <v>25</v>
      </c>
      <c r="C56" s="21" t="s">
        <v>27</v>
      </c>
      <c r="D56" s="42" t="s">
        <v>33</v>
      </c>
      <c r="F56" s="21" t="s">
        <v>28</v>
      </c>
      <c r="G56" s="42" t="s">
        <v>30</v>
      </c>
      <c r="I56" s="223" t="s">
        <v>90</v>
      </c>
      <c r="J56" s="223"/>
      <c r="K56" s="223"/>
      <c r="L56" s="223"/>
      <c r="M56" s="223"/>
      <c r="N56" s="223"/>
      <c r="O56" s="223"/>
      <c r="P56" s="223"/>
      <c r="Q56" s="223"/>
      <c r="R56" s="223"/>
      <c r="S56" s="223"/>
      <c r="T56" s="223"/>
      <c r="U56" s="223"/>
      <c r="V56" s="223"/>
      <c r="W56" s="223"/>
      <c r="X56" s="223"/>
      <c r="Y56" s="223"/>
      <c r="Z56" s="223"/>
      <c r="AA56" s="223"/>
    </row>
    <row r="57" spans="1:28" x14ac:dyDescent="0.3">
      <c r="A57" s="90"/>
      <c r="B57" s="224" t="s">
        <v>15</v>
      </c>
      <c r="C57" s="36" t="s">
        <v>31</v>
      </c>
      <c r="D57" s="1" t="s">
        <v>34</v>
      </c>
      <c r="F57" s="107">
        <f>(C53+(C15-D53)*(C54-C53)/(D54-D53))/10000</f>
        <v>6.9838693014654309E-3</v>
      </c>
      <c r="G57" s="1" t="s">
        <v>93</v>
      </c>
      <c r="I57" s="51">
        <v>1</v>
      </c>
      <c r="J57" s="205">
        <v>-0.40864853341884005</v>
      </c>
      <c r="K57" s="205">
        <v>0.99864855553525911</v>
      </c>
      <c r="L57" s="205">
        <v>0.99802596636235386</v>
      </c>
      <c r="M57" s="205">
        <v>0.88490582480967039</v>
      </c>
      <c r="N57" s="205">
        <v>0.99933970592886723</v>
      </c>
      <c r="O57" s="205">
        <v>0</v>
      </c>
      <c r="P57" s="205">
        <v>-0.43582429602969042</v>
      </c>
      <c r="Q57" s="205">
        <v>-0.28653887919983423</v>
      </c>
      <c r="R57" s="205">
        <v>-0.32147774191212597</v>
      </c>
      <c r="S57" s="205">
        <v>-0.41010115388652973</v>
      </c>
      <c r="T57" s="205">
        <v>-0.35328246683628556</v>
      </c>
      <c r="U57" s="205">
        <v>-0.29104357582533663</v>
      </c>
      <c r="V57" s="205">
        <v>-0.34319048449093764</v>
      </c>
      <c r="W57" s="205">
        <v>-0.41010115388652973</v>
      </c>
      <c r="X57" s="205">
        <v>2.9624440552832563E-2</v>
      </c>
      <c r="Y57" s="205">
        <v>-0.17691263599522505</v>
      </c>
      <c r="Z57" s="205">
        <v>-0.28015538168763959</v>
      </c>
      <c r="AA57" s="205">
        <v>-0.44362658917447545</v>
      </c>
      <c r="AB57" s="205">
        <v>0</v>
      </c>
    </row>
    <row r="58" spans="1:28" x14ac:dyDescent="0.3">
      <c r="A58" s="90"/>
      <c r="B58" s="224"/>
      <c r="C58" s="36" t="s">
        <v>32</v>
      </c>
      <c r="D58" s="1" t="s">
        <v>35</v>
      </c>
      <c r="F58" s="107">
        <f>G36/10000</f>
        <v>3.0348234287568441E-3</v>
      </c>
      <c r="G58" s="1" t="s">
        <v>38</v>
      </c>
      <c r="I58" s="205">
        <v>-0.40864853341884005</v>
      </c>
      <c r="J58" s="51">
        <v>1</v>
      </c>
      <c r="K58" s="205">
        <v>-0.4006659419150268</v>
      </c>
      <c r="L58" s="205">
        <v>-0.41134022937642911</v>
      </c>
      <c r="M58" s="205">
        <v>-0.46136814380526026</v>
      </c>
      <c r="N58" s="205">
        <v>-0.41104275482417763</v>
      </c>
      <c r="O58" s="205">
        <v>0</v>
      </c>
      <c r="P58" s="205">
        <v>0.95154339923030584</v>
      </c>
      <c r="Q58" s="205">
        <v>0.921841666982256</v>
      </c>
      <c r="R58" s="205">
        <v>0.68494154674801011</v>
      </c>
      <c r="S58" s="205">
        <v>0.71349853706241007</v>
      </c>
      <c r="T58" s="205">
        <v>0.71355027612840272</v>
      </c>
      <c r="U58" s="205">
        <v>0.67319869536429877</v>
      </c>
      <c r="V58" s="205">
        <v>0.73842949585957562</v>
      </c>
      <c r="W58" s="205">
        <v>0.71349853706241007</v>
      </c>
      <c r="X58" s="205">
        <v>0.58139303333914849</v>
      </c>
      <c r="Y58" s="205">
        <v>0.82623005712820619</v>
      </c>
      <c r="Z58" s="205">
        <v>0.73450022033566642</v>
      </c>
      <c r="AA58" s="205">
        <v>0.64693945734681979</v>
      </c>
      <c r="AB58" s="205">
        <v>0</v>
      </c>
    </row>
    <row r="59" spans="1:28" x14ac:dyDescent="0.3">
      <c r="A59" s="90"/>
      <c r="B59" s="225" t="s">
        <v>20</v>
      </c>
      <c r="C59" s="37" t="s">
        <v>0</v>
      </c>
      <c r="D59" s="2" t="s">
        <v>34</v>
      </c>
      <c r="F59" s="108">
        <f>(C53+(C16-D53)*(C54-C53)/(D54-D53))/10000</f>
        <v>7.1712427024068874E-3</v>
      </c>
      <c r="G59" s="2" t="s">
        <v>37</v>
      </c>
      <c r="I59" s="206">
        <v>0.99864855553525911</v>
      </c>
      <c r="J59" s="206">
        <v>-0.4006659419150268</v>
      </c>
      <c r="K59" s="52">
        <v>1</v>
      </c>
      <c r="L59" s="206">
        <v>0.99491582988532556</v>
      </c>
      <c r="M59" s="206">
        <v>0.86474395560056516</v>
      </c>
      <c r="N59" s="206">
        <v>0.99911784020937466</v>
      </c>
      <c r="O59" s="206">
        <v>0</v>
      </c>
      <c r="P59" s="206">
        <v>-0.43533057310395684</v>
      </c>
      <c r="Q59" s="206">
        <v>-0.28742763327740906</v>
      </c>
      <c r="R59" s="206">
        <v>-0.32351287917325589</v>
      </c>
      <c r="S59" s="206">
        <v>-0.41315037694604584</v>
      </c>
      <c r="T59" s="206">
        <v>-0.36025513168063855</v>
      </c>
      <c r="U59" s="206">
        <v>-0.29865945326430804</v>
      </c>
      <c r="V59" s="206">
        <v>-0.34807566388405237</v>
      </c>
      <c r="W59" s="206">
        <v>-0.41315037694604584</v>
      </c>
      <c r="X59" s="206">
        <v>2.8032283844567397E-2</v>
      </c>
      <c r="Y59" s="206">
        <v>-0.18234928199095313</v>
      </c>
      <c r="Z59" s="206">
        <v>-0.28156438156692476</v>
      </c>
      <c r="AA59" s="206">
        <v>-0.44929008252390795</v>
      </c>
      <c r="AB59" s="206">
        <v>0</v>
      </c>
    </row>
    <row r="60" spans="1:28" x14ac:dyDescent="0.3">
      <c r="A60" s="90"/>
      <c r="B60" s="225"/>
      <c r="C60" s="37" t="s">
        <v>1</v>
      </c>
      <c r="D60" s="2" t="s">
        <v>34</v>
      </c>
      <c r="F60" s="108">
        <f>(C53+(C17-D53)*(C54-C53)/(D54-D53))/10000</f>
        <v>6.8084621732249643E-3</v>
      </c>
      <c r="G60" s="2" t="s">
        <v>37</v>
      </c>
      <c r="I60" s="206">
        <v>0.99802596636235386</v>
      </c>
      <c r="J60" s="206">
        <v>-0.41134022937642911</v>
      </c>
      <c r="K60" s="206">
        <v>0.99491582988532556</v>
      </c>
      <c r="L60" s="52">
        <v>1</v>
      </c>
      <c r="M60" s="206">
        <v>0.90633027126056276</v>
      </c>
      <c r="N60" s="206">
        <v>0.99803240956935979</v>
      </c>
      <c r="O60" s="206">
        <v>0</v>
      </c>
      <c r="P60" s="206">
        <v>-0.44519739590070639</v>
      </c>
      <c r="Q60" s="206">
        <v>-0.29400862944559447</v>
      </c>
      <c r="R60" s="206">
        <v>-0.3237261709563346</v>
      </c>
      <c r="S60" s="206">
        <v>-0.41545176304356612</v>
      </c>
      <c r="T60" s="206">
        <v>-0.35359598891585392</v>
      </c>
      <c r="U60" s="206">
        <v>-0.2893354311082067</v>
      </c>
      <c r="V60" s="206">
        <v>-0.34411851259697773</v>
      </c>
      <c r="W60" s="206">
        <v>-0.41545176304356612</v>
      </c>
      <c r="X60" s="206">
        <v>2.9739406440810256E-2</v>
      </c>
      <c r="Y60" s="206">
        <v>-0.17832247139676755</v>
      </c>
      <c r="Z60" s="206">
        <v>-0.28693452726348623</v>
      </c>
      <c r="AA60" s="206">
        <v>-0.44537825890183741</v>
      </c>
      <c r="AB60" s="206">
        <v>0</v>
      </c>
    </row>
    <row r="61" spans="1:28" x14ac:dyDescent="0.3">
      <c r="A61" s="90"/>
      <c r="B61" s="225"/>
      <c r="C61" s="37" t="s">
        <v>2</v>
      </c>
      <c r="D61" s="2" t="s">
        <v>34</v>
      </c>
      <c r="F61" s="108">
        <f>(C51+(C18-D51)*(C52-C51)/(D52-D51))/10000</f>
        <v>6.0462438512280201E-3</v>
      </c>
      <c r="G61" s="2" t="s">
        <v>37</v>
      </c>
      <c r="I61" s="206">
        <v>0.88490582480967039</v>
      </c>
      <c r="J61" s="206">
        <v>-0.46136814380526026</v>
      </c>
      <c r="K61" s="206">
        <v>0.86474395560056516</v>
      </c>
      <c r="L61" s="206">
        <v>0.90633027126056276</v>
      </c>
      <c r="M61" s="52">
        <v>1</v>
      </c>
      <c r="N61" s="206">
        <v>0.88348436008737896</v>
      </c>
      <c r="O61" s="206">
        <v>0</v>
      </c>
      <c r="P61" s="206">
        <v>-0.47986690239887453</v>
      </c>
      <c r="Q61" s="206">
        <v>-0.35374331281841215</v>
      </c>
      <c r="R61" s="206">
        <v>-0.33134106745513425</v>
      </c>
      <c r="S61" s="206">
        <v>-0.41849325310105762</v>
      </c>
      <c r="T61" s="206">
        <v>-0.31526509300971844</v>
      </c>
      <c r="U61" s="206">
        <v>-0.24041797681830815</v>
      </c>
      <c r="V61" s="206">
        <v>-0.32810918022007651</v>
      </c>
      <c r="W61" s="206">
        <v>-0.41849325310105762</v>
      </c>
      <c r="X61" s="206">
        <v>-5.7764592142373122E-3</v>
      </c>
      <c r="Y61" s="206">
        <v>-0.18729120280985231</v>
      </c>
      <c r="Z61" s="206">
        <v>-0.30868848848978075</v>
      </c>
      <c r="AA61" s="206">
        <v>-0.41693837036101078</v>
      </c>
      <c r="AB61" s="206">
        <v>0</v>
      </c>
    </row>
    <row r="62" spans="1:28" x14ac:dyDescent="0.3">
      <c r="A62" s="90"/>
      <c r="B62" s="225"/>
      <c r="C62" s="37" t="s">
        <v>3</v>
      </c>
      <c r="D62" s="2" t="s">
        <v>34</v>
      </c>
      <c r="F62" s="108">
        <f>(C53+(C19-D53)*(C54-C53)/(D54-D53))/10000</f>
        <v>6.9515824662044479E-3</v>
      </c>
      <c r="G62" s="2" t="s">
        <v>37</v>
      </c>
      <c r="I62" s="206">
        <v>0.99933970592886723</v>
      </c>
      <c r="J62" s="206">
        <v>-0.41104275482417763</v>
      </c>
      <c r="K62" s="206">
        <v>0.99911784020937466</v>
      </c>
      <c r="L62" s="206">
        <v>0.99803240956935979</v>
      </c>
      <c r="M62" s="206">
        <v>0.88348436008737896</v>
      </c>
      <c r="N62" s="52">
        <v>1</v>
      </c>
      <c r="O62" s="206">
        <v>0</v>
      </c>
      <c r="P62" s="206">
        <v>-0.44017591059626743</v>
      </c>
      <c r="Q62" s="206">
        <v>-0.29197098432695495</v>
      </c>
      <c r="R62" s="206">
        <v>-0.32403987834315684</v>
      </c>
      <c r="S62" s="206">
        <v>-0.41479234473771243</v>
      </c>
      <c r="T62" s="206">
        <v>-0.35822738502017915</v>
      </c>
      <c r="U62" s="206">
        <v>-0.2948705249507701</v>
      </c>
      <c r="V62" s="206">
        <v>-0.34700849855278881</v>
      </c>
      <c r="W62" s="206">
        <v>-0.41479234473771243</v>
      </c>
      <c r="X62" s="206">
        <v>2.7234874888821762E-2</v>
      </c>
      <c r="Y62" s="206">
        <v>-0.18262826722981038</v>
      </c>
      <c r="Z62" s="206">
        <v>-0.28443527118656947</v>
      </c>
      <c r="AA62" s="206">
        <v>-0.44790385572871289</v>
      </c>
      <c r="AB62" s="206">
        <v>0</v>
      </c>
    </row>
    <row r="63" spans="1:28" x14ac:dyDescent="0.3">
      <c r="A63" s="90"/>
      <c r="B63" s="111"/>
      <c r="C63" s="47" t="s">
        <v>0</v>
      </c>
      <c r="D63" s="3" t="s">
        <v>35</v>
      </c>
      <c r="F63" s="105">
        <v>0</v>
      </c>
      <c r="G63" s="3" t="s">
        <v>38</v>
      </c>
      <c r="I63" s="207">
        <v>0</v>
      </c>
      <c r="J63" s="207">
        <f>I63</f>
        <v>0</v>
      </c>
      <c r="K63" s="207">
        <f t="shared" ref="K63:N63" si="3">J63</f>
        <v>0</v>
      </c>
      <c r="L63" s="207">
        <f t="shared" si="3"/>
        <v>0</v>
      </c>
      <c r="M63" s="207">
        <f t="shared" si="3"/>
        <v>0</v>
      </c>
      <c r="N63" s="207">
        <f t="shared" si="3"/>
        <v>0</v>
      </c>
      <c r="O63" s="53">
        <v>1</v>
      </c>
      <c r="P63" s="207">
        <v>0</v>
      </c>
      <c r="Q63" s="207">
        <f>N63</f>
        <v>0</v>
      </c>
      <c r="R63" s="207">
        <v>0</v>
      </c>
      <c r="S63" s="207">
        <f t="shared" ref="S63:AB63" si="4">Q63</f>
        <v>0</v>
      </c>
      <c r="T63" s="207">
        <f t="shared" si="4"/>
        <v>0</v>
      </c>
      <c r="U63" s="207">
        <f t="shared" si="4"/>
        <v>0</v>
      </c>
      <c r="V63" s="207">
        <f t="shared" si="4"/>
        <v>0</v>
      </c>
      <c r="W63" s="207">
        <f t="shared" si="4"/>
        <v>0</v>
      </c>
      <c r="X63" s="207">
        <f t="shared" si="4"/>
        <v>0</v>
      </c>
      <c r="Y63" s="207">
        <f t="shared" si="4"/>
        <v>0</v>
      </c>
      <c r="Z63" s="207">
        <f t="shared" si="4"/>
        <v>0</v>
      </c>
      <c r="AA63" s="207">
        <f t="shared" si="4"/>
        <v>0</v>
      </c>
      <c r="AB63" s="207">
        <f t="shared" si="4"/>
        <v>0</v>
      </c>
    </row>
    <row r="64" spans="1:28" x14ac:dyDescent="0.3">
      <c r="A64" s="90"/>
      <c r="B64" s="111" t="s">
        <v>21</v>
      </c>
      <c r="C64" s="47" t="s">
        <v>1</v>
      </c>
      <c r="D64" s="3" t="s">
        <v>35</v>
      </c>
      <c r="F64" s="105">
        <f>G34/10000</f>
        <v>3.8547834976033462E-3</v>
      </c>
      <c r="G64" s="3" t="s">
        <v>38</v>
      </c>
      <c r="I64" s="207">
        <v>-0.43582429602969042</v>
      </c>
      <c r="J64" s="207">
        <v>0.95154339923030584</v>
      </c>
      <c r="K64" s="207">
        <v>-0.43533057310395684</v>
      </c>
      <c r="L64" s="207">
        <v>-0.44519739590070639</v>
      </c>
      <c r="M64" s="207">
        <v>-0.47986690239887453</v>
      </c>
      <c r="N64" s="207">
        <v>-0.44017591059626743</v>
      </c>
      <c r="O64" s="207">
        <v>0</v>
      </c>
      <c r="P64" s="53">
        <v>1</v>
      </c>
      <c r="Q64" s="207">
        <v>0.92067126282083345</v>
      </c>
      <c r="R64" s="207">
        <v>0.72627269322505517</v>
      </c>
      <c r="S64" s="207">
        <v>0.75063545367843221</v>
      </c>
      <c r="T64" s="207">
        <v>0.75372478530689035</v>
      </c>
      <c r="U64" s="207">
        <v>0.74555943831412086</v>
      </c>
      <c r="V64" s="207">
        <v>0.78543195209789862</v>
      </c>
      <c r="W64" s="207">
        <v>0.75063545367843221</v>
      </c>
      <c r="X64" s="207">
        <v>0.58617947710198093</v>
      </c>
      <c r="Y64" s="207">
        <v>0.85205939394916352</v>
      </c>
      <c r="Z64" s="207">
        <v>0.77999044320448574</v>
      </c>
      <c r="AA64" s="207">
        <v>0.64817326712232048</v>
      </c>
      <c r="AB64" s="207">
        <v>0</v>
      </c>
    </row>
    <row r="65" spans="1:28" x14ac:dyDescent="0.3">
      <c r="A65" s="90"/>
      <c r="B65" s="111"/>
      <c r="C65" s="47" t="s">
        <v>2</v>
      </c>
      <c r="D65" s="3" t="s">
        <v>35</v>
      </c>
      <c r="F65" s="105">
        <f>G35/10000</f>
        <v>3.4685400297212008E-3</v>
      </c>
      <c r="G65" s="3" t="s">
        <v>38</v>
      </c>
      <c r="I65" s="207">
        <v>-0.28653887919983423</v>
      </c>
      <c r="J65" s="207">
        <v>0.921841666982256</v>
      </c>
      <c r="K65" s="207">
        <v>-0.28742763327740906</v>
      </c>
      <c r="L65" s="207">
        <v>-0.29400862944559447</v>
      </c>
      <c r="M65" s="207">
        <v>-0.35374331281841215</v>
      </c>
      <c r="N65" s="207">
        <v>-0.29197098432695495</v>
      </c>
      <c r="O65" s="207">
        <v>0</v>
      </c>
      <c r="P65" s="207">
        <v>0.92067126282083345</v>
      </c>
      <c r="Q65" s="53">
        <v>1</v>
      </c>
      <c r="R65" s="207">
        <v>0.66695393281378768</v>
      </c>
      <c r="S65" s="207">
        <v>0.69305232223788638</v>
      </c>
      <c r="T65" s="207">
        <v>0.65123333538863148</v>
      </c>
      <c r="U65" s="207">
        <v>0.65451972413912085</v>
      </c>
      <c r="V65" s="207">
        <v>0.70644969346222852</v>
      </c>
      <c r="W65" s="207">
        <v>0.69305232223788638</v>
      </c>
      <c r="X65" s="207">
        <v>0.61495386658558127</v>
      </c>
      <c r="Y65" s="207">
        <v>0.85070979101648792</v>
      </c>
      <c r="Z65" s="207">
        <v>0.75780270646857961</v>
      </c>
      <c r="AA65" s="207">
        <v>0.58142010201665395</v>
      </c>
      <c r="AB65" s="207">
        <v>0</v>
      </c>
    </row>
    <row r="66" spans="1:28" x14ac:dyDescent="0.3">
      <c r="A66" s="90"/>
      <c r="B66" s="226" t="s">
        <v>26</v>
      </c>
      <c r="C66" s="38" t="s">
        <v>4</v>
      </c>
      <c r="D66" s="4" t="s">
        <v>36</v>
      </c>
      <c r="F66" s="106">
        <f>E22</f>
        <v>0.16745873474928574</v>
      </c>
      <c r="G66" s="4" t="s">
        <v>96</v>
      </c>
      <c r="I66" s="208">
        <v>-0.32147774191212597</v>
      </c>
      <c r="J66" s="208">
        <v>0.68494154674801011</v>
      </c>
      <c r="K66" s="208">
        <v>-0.32351287917325589</v>
      </c>
      <c r="L66" s="208">
        <v>-0.3237261709563346</v>
      </c>
      <c r="M66" s="208">
        <v>-0.33134106745513425</v>
      </c>
      <c r="N66" s="208">
        <v>-0.32403987834315684</v>
      </c>
      <c r="O66" s="208">
        <v>0</v>
      </c>
      <c r="P66" s="208">
        <v>0.72627269322505517</v>
      </c>
      <c r="Q66" s="208">
        <v>0.66695393281378768</v>
      </c>
      <c r="R66" s="54">
        <v>1</v>
      </c>
      <c r="S66" s="208">
        <v>0.88451869974848985</v>
      </c>
      <c r="T66" s="208">
        <v>0.86823759307453374</v>
      </c>
      <c r="U66" s="208">
        <v>0.72939539363202943</v>
      </c>
      <c r="V66" s="208">
        <v>0.96732574331503263</v>
      </c>
      <c r="W66" s="208">
        <v>0.88451869974848985</v>
      </c>
      <c r="X66" s="208">
        <v>0.73727072279588279</v>
      </c>
      <c r="Y66" s="208">
        <v>0.79178749104993351</v>
      </c>
      <c r="Z66" s="208">
        <v>0.85684464763258184</v>
      </c>
      <c r="AA66" s="208">
        <v>0.54495609101702158</v>
      </c>
      <c r="AB66" s="208">
        <v>0</v>
      </c>
    </row>
    <row r="67" spans="1:28" x14ac:dyDescent="0.3">
      <c r="A67" s="90"/>
      <c r="B67" s="226"/>
      <c r="C67" s="38" t="s">
        <v>5</v>
      </c>
      <c r="D67" s="4" t="s">
        <v>36</v>
      </c>
      <c r="F67" s="106">
        <f t="shared" ref="F67:F75" si="5">E23</f>
        <v>0.20140740249674263</v>
      </c>
      <c r="G67" s="4" t="s">
        <v>94</v>
      </c>
      <c r="I67" s="208">
        <v>-0.41010115388652973</v>
      </c>
      <c r="J67" s="208">
        <v>0.71349853706241007</v>
      </c>
      <c r="K67" s="208">
        <v>-0.41315037694604584</v>
      </c>
      <c r="L67" s="208">
        <v>-0.41545176304356612</v>
      </c>
      <c r="M67" s="208">
        <v>-0.41849325310105762</v>
      </c>
      <c r="N67" s="208">
        <v>-0.41479234473771243</v>
      </c>
      <c r="O67" s="208">
        <v>0</v>
      </c>
      <c r="P67" s="208">
        <v>0.75063545367843221</v>
      </c>
      <c r="Q67" s="208">
        <v>0.69305232223788638</v>
      </c>
      <c r="R67" s="208">
        <v>0.88451869974848985</v>
      </c>
      <c r="S67" s="54">
        <v>1.0000000000000002</v>
      </c>
      <c r="T67" s="208">
        <v>0.79485365038960576</v>
      </c>
      <c r="U67" s="208">
        <v>0.7117918302501004</v>
      </c>
      <c r="V67" s="208">
        <v>0.8785317554075851</v>
      </c>
      <c r="W67" s="208">
        <v>1.0000000000000002</v>
      </c>
      <c r="X67" s="208">
        <v>0.68093838344326807</v>
      </c>
      <c r="Y67" s="208">
        <v>0.76831557343673462</v>
      </c>
      <c r="Z67" s="208">
        <v>0.84122704870802467</v>
      </c>
      <c r="AA67" s="208">
        <v>0.60267974741864683</v>
      </c>
      <c r="AB67" s="208">
        <v>0</v>
      </c>
    </row>
    <row r="68" spans="1:28" x14ac:dyDescent="0.3">
      <c r="A68" s="90"/>
      <c r="B68" s="226"/>
      <c r="C68" s="38" t="s">
        <v>6</v>
      </c>
      <c r="D68" s="4" t="s">
        <v>36</v>
      </c>
      <c r="F68" s="106">
        <f t="shared" si="5"/>
        <v>0.18856635093755461</v>
      </c>
      <c r="G68" s="4" t="s">
        <v>95</v>
      </c>
      <c r="I68" s="208">
        <v>-0.35328246683628556</v>
      </c>
      <c r="J68" s="208">
        <v>0.71355027612840272</v>
      </c>
      <c r="K68" s="208">
        <v>-0.36025513168063855</v>
      </c>
      <c r="L68" s="208">
        <v>-0.35359598891585392</v>
      </c>
      <c r="M68" s="208">
        <v>-0.31526509300971844</v>
      </c>
      <c r="N68" s="208">
        <v>-0.35822738502017915</v>
      </c>
      <c r="O68" s="208">
        <v>0</v>
      </c>
      <c r="P68" s="208">
        <v>0.75372478530689035</v>
      </c>
      <c r="Q68" s="208">
        <v>0.65123333538863148</v>
      </c>
      <c r="R68" s="208">
        <v>0.86823759307453374</v>
      </c>
      <c r="S68" s="208">
        <v>0.79485365038960576</v>
      </c>
      <c r="T68" s="54">
        <v>0.99999999999999989</v>
      </c>
      <c r="U68" s="208">
        <v>0.81726394225001175</v>
      </c>
      <c r="V68" s="208">
        <v>0.95581372982827972</v>
      </c>
      <c r="W68" s="208">
        <v>0.79485365038960576</v>
      </c>
      <c r="X68" s="208">
        <v>0.65643018016876631</v>
      </c>
      <c r="Y68" s="208">
        <v>0.77606393614213254</v>
      </c>
      <c r="Z68" s="208">
        <v>0.83968116862572328</v>
      </c>
      <c r="AA68" s="208">
        <v>0.62212438298565387</v>
      </c>
      <c r="AB68" s="208">
        <v>0</v>
      </c>
    </row>
    <row r="69" spans="1:28" x14ac:dyDescent="0.3">
      <c r="A69" s="90"/>
      <c r="B69" s="226"/>
      <c r="C69" s="38" t="s">
        <v>7</v>
      </c>
      <c r="D69" s="4" t="s">
        <v>36</v>
      </c>
      <c r="F69" s="106">
        <f t="shared" si="5"/>
        <v>0.20662077776341703</v>
      </c>
      <c r="G69" s="4" t="s">
        <v>97</v>
      </c>
      <c r="I69" s="208">
        <v>-0.29104357582533663</v>
      </c>
      <c r="J69" s="208">
        <v>0.67319869536429877</v>
      </c>
      <c r="K69" s="208">
        <v>-0.29865945326430804</v>
      </c>
      <c r="L69" s="208">
        <v>-0.2893354311082067</v>
      </c>
      <c r="M69" s="208">
        <v>-0.24041797681830815</v>
      </c>
      <c r="N69" s="208">
        <v>-0.2948705249507701</v>
      </c>
      <c r="O69" s="208">
        <v>0</v>
      </c>
      <c r="P69" s="208">
        <v>0.74555943831412086</v>
      </c>
      <c r="Q69" s="208">
        <v>0.65451972413912085</v>
      </c>
      <c r="R69" s="208">
        <v>0.72939539363202943</v>
      </c>
      <c r="S69" s="208">
        <v>0.7117918302501004</v>
      </c>
      <c r="T69" s="208">
        <v>0.81726394225001175</v>
      </c>
      <c r="U69" s="54">
        <v>0.99999999999999967</v>
      </c>
      <c r="V69" s="208">
        <v>0.84441130442285073</v>
      </c>
      <c r="W69" s="208">
        <v>0.7117918302501004</v>
      </c>
      <c r="X69" s="208">
        <v>0.56881108702364036</v>
      </c>
      <c r="Y69" s="208">
        <v>0.75381544821085955</v>
      </c>
      <c r="Z69" s="208">
        <v>0.76822747677068137</v>
      </c>
      <c r="AA69" s="208">
        <v>0.55839839136518044</v>
      </c>
      <c r="AB69" s="208">
        <v>0</v>
      </c>
    </row>
    <row r="70" spans="1:28" x14ac:dyDescent="0.3">
      <c r="A70" s="90"/>
      <c r="B70" s="226"/>
      <c r="C70" s="38" t="s">
        <v>8</v>
      </c>
      <c r="D70" s="4" t="s">
        <v>36</v>
      </c>
      <c r="F70" s="106">
        <f t="shared" si="5"/>
        <v>0.1813578792814477</v>
      </c>
      <c r="G70" s="4" t="s">
        <v>99</v>
      </c>
      <c r="I70" s="208">
        <v>-0.34319048449093764</v>
      </c>
      <c r="J70" s="208">
        <v>0.73842949585957562</v>
      </c>
      <c r="K70" s="208">
        <v>-0.34807566388405237</v>
      </c>
      <c r="L70" s="208">
        <v>-0.34411851259697773</v>
      </c>
      <c r="M70" s="208">
        <v>-0.32810918022007651</v>
      </c>
      <c r="N70" s="208">
        <v>-0.34700849855278881</v>
      </c>
      <c r="O70" s="208">
        <v>0</v>
      </c>
      <c r="P70" s="208">
        <v>0.78543195209789862</v>
      </c>
      <c r="Q70" s="208">
        <v>0.70644969346222852</v>
      </c>
      <c r="R70" s="208">
        <v>0.96732574331503263</v>
      </c>
      <c r="S70" s="208">
        <v>0.8785317554075851</v>
      </c>
      <c r="T70" s="208">
        <v>0.95581372982827972</v>
      </c>
      <c r="U70" s="208">
        <v>0.84441130442285073</v>
      </c>
      <c r="V70" s="54">
        <v>1.0000000000000002</v>
      </c>
      <c r="W70" s="208">
        <v>0.8785317554075851</v>
      </c>
      <c r="X70" s="208">
        <v>0.72568127768941804</v>
      </c>
      <c r="Y70" s="208">
        <v>0.83136894829653574</v>
      </c>
      <c r="Z70" s="208">
        <v>0.8908994627619381</v>
      </c>
      <c r="AA70" s="208">
        <v>0.61156180217050204</v>
      </c>
      <c r="AB70" s="208">
        <v>0</v>
      </c>
    </row>
    <row r="71" spans="1:28" x14ac:dyDescent="0.3">
      <c r="A71" s="90"/>
      <c r="B71" s="226"/>
      <c r="C71" s="38" t="s">
        <v>9</v>
      </c>
      <c r="D71" s="4" t="s">
        <v>36</v>
      </c>
      <c r="F71" s="106">
        <f t="shared" si="5"/>
        <v>0.20140740249674263</v>
      </c>
      <c r="G71" s="4" t="s">
        <v>98</v>
      </c>
      <c r="I71" s="208">
        <v>-0.41010115388652973</v>
      </c>
      <c r="J71" s="208">
        <v>0.71349853706241007</v>
      </c>
      <c r="K71" s="208">
        <v>-0.41315037694604584</v>
      </c>
      <c r="L71" s="208">
        <v>-0.41545176304356612</v>
      </c>
      <c r="M71" s="208">
        <v>-0.41849325310105762</v>
      </c>
      <c r="N71" s="208">
        <v>-0.41479234473771243</v>
      </c>
      <c r="O71" s="208">
        <v>0</v>
      </c>
      <c r="P71" s="208">
        <v>0.75063545367843221</v>
      </c>
      <c r="Q71" s="208">
        <v>0.69305232223788638</v>
      </c>
      <c r="R71" s="208">
        <v>0.88451869974848985</v>
      </c>
      <c r="S71" s="208">
        <v>1.0000000000000002</v>
      </c>
      <c r="T71" s="208">
        <v>0.79485365038960576</v>
      </c>
      <c r="U71" s="208">
        <v>0.7117918302501004</v>
      </c>
      <c r="V71" s="208">
        <v>0.8785317554075851</v>
      </c>
      <c r="W71" s="54">
        <v>1.0000000000000002</v>
      </c>
      <c r="X71" s="208">
        <v>0.68093838344326807</v>
      </c>
      <c r="Y71" s="208">
        <v>0.76831557343673462</v>
      </c>
      <c r="Z71" s="208">
        <v>0.84122704870802467</v>
      </c>
      <c r="AA71" s="208">
        <v>0.60267974741864683</v>
      </c>
      <c r="AB71" s="208">
        <v>0</v>
      </c>
    </row>
    <row r="72" spans="1:28" x14ac:dyDescent="0.3">
      <c r="A72" s="90"/>
      <c r="B72" s="226"/>
      <c r="C72" s="38" t="s">
        <v>10</v>
      </c>
      <c r="D72" s="4" t="s">
        <v>36</v>
      </c>
      <c r="F72" s="106">
        <f t="shared" si="5"/>
        <v>0.18032677085918003</v>
      </c>
      <c r="G72" s="4" t="s">
        <v>99</v>
      </c>
      <c r="I72" s="208">
        <v>2.9624440552832563E-2</v>
      </c>
      <c r="J72" s="208">
        <v>0.58139303333914849</v>
      </c>
      <c r="K72" s="208">
        <v>2.8032283844567397E-2</v>
      </c>
      <c r="L72" s="208">
        <v>2.9739406440810256E-2</v>
      </c>
      <c r="M72" s="208">
        <v>-5.7764592142373122E-3</v>
      </c>
      <c r="N72" s="208">
        <v>2.7234874888821762E-2</v>
      </c>
      <c r="O72" s="208">
        <v>0</v>
      </c>
      <c r="P72" s="208">
        <v>0.58617947710198093</v>
      </c>
      <c r="Q72" s="208">
        <v>0.61495386658558127</v>
      </c>
      <c r="R72" s="208">
        <v>0.73727072279588279</v>
      </c>
      <c r="S72" s="208">
        <v>0.68093838344326807</v>
      </c>
      <c r="T72" s="208">
        <v>0.65643018016876631</v>
      </c>
      <c r="U72" s="208">
        <v>0.56881108702364036</v>
      </c>
      <c r="V72" s="208">
        <v>0.72568127768941804</v>
      </c>
      <c r="W72" s="208">
        <v>0.68093838344326807</v>
      </c>
      <c r="X72" s="54">
        <v>1</v>
      </c>
      <c r="Y72" s="208">
        <v>0.72177693720786773</v>
      </c>
      <c r="Z72" s="208">
        <v>0.65360264904246423</v>
      </c>
      <c r="AA72" s="208">
        <v>0.39272382279113949</v>
      </c>
      <c r="AB72" s="208">
        <v>0</v>
      </c>
    </row>
    <row r="73" spans="1:28" x14ac:dyDescent="0.3">
      <c r="A73" s="90"/>
      <c r="B73" s="226"/>
      <c r="C73" s="38" t="s">
        <v>11</v>
      </c>
      <c r="D73" s="4" t="s">
        <v>36</v>
      </c>
      <c r="F73" s="106">
        <f t="shared" si="5"/>
        <v>8.3709201670707736E-2</v>
      </c>
      <c r="G73" s="4" t="s">
        <v>99</v>
      </c>
      <c r="I73" s="208">
        <v>-0.17691263599522505</v>
      </c>
      <c r="J73" s="208">
        <v>0.82623005712820619</v>
      </c>
      <c r="K73" s="208">
        <v>-0.18234928199095313</v>
      </c>
      <c r="L73" s="208">
        <v>-0.17832247139676755</v>
      </c>
      <c r="M73" s="208">
        <v>-0.18729120280985231</v>
      </c>
      <c r="N73" s="208">
        <v>-0.18262826722981038</v>
      </c>
      <c r="O73" s="208">
        <v>0</v>
      </c>
      <c r="P73" s="208">
        <v>0.85205939394916352</v>
      </c>
      <c r="Q73" s="208">
        <v>0.85070979101648792</v>
      </c>
      <c r="R73" s="208">
        <v>0.79178749104993351</v>
      </c>
      <c r="S73" s="208">
        <v>0.76831557343673462</v>
      </c>
      <c r="T73" s="208">
        <v>0.77606393614213254</v>
      </c>
      <c r="U73" s="208">
        <v>0.75381544821085955</v>
      </c>
      <c r="V73" s="208">
        <v>0.83136894829653574</v>
      </c>
      <c r="W73" s="208">
        <v>0.76831557343673462</v>
      </c>
      <c r="X73" s="208">
        <v>0.72177693720786773</v>
      </c>
      <c r="Y73" s="54">
        <v>1</v>
      </c>
      <c r="Z73" s="208">
        <v>0.82092681924692923</v>
      </c>
      <c r="AA73" s="208">
        <v>0.65568547181845882</v>
      </c>
      <c r="AB73" s="208">
        <v>0</v>
      </c>
    </row>
    <row r="74" spans="1:28" x14ac:dyDescent="0.3">
      <c r="A74" s="90"/>
      <c r="B74" s="226"/>
      <c r="C74" s="38" t="s">
        <v>12</v>
      </c>
      <c r="D74" s="4" t="s">
        <v>36</v>
      </c>
      <c r="F74" s="106">
        <f t="shared" si="5"/>
        <v>5.3061384336615877E-2</v>
      </c>
      <c r="G74" s="4" t="s">
        <v>99</v>
      </c>
      <c r="I74" s="208">
        <v>-0.28015538168763959</v>
      </c>
      <c r="J74" s="208">
        <v>0.73450022033566642</v>
      </c>
      <c r="K74" s="208">
        <v>-0.28156438156692476</v>
      </c>
      <c r="L74" s="208">
        <v>-0.28693452726348623</v>
      </c>
      <c r="M74" s="208">
        <v>-0.30868848848978075</v>
      </c>
      <c r="N74" s="208">
        <v>-0.28443527118656947</v>
      </c>
      <c r="O74" s="208">
        <v>0</v>
      </c>
      <c r="P74" s="208">
        <v>0.77999044320448574</v>
      </c>
      <c r="Q74" s="208">
        <v>0.75780270646857961</v>
      </c>
      <c r="R74" s="208">
        <v>0.85684464763258184</v>
      </c>
      <c r="S74" s="208">
        <v>0.84122704870802467</v>
      </c>
      <c r="T74" s="208">
        <v>0.83968116862572328</v>
      </c>
      <c r="U74" s="208">
        <v>0.76822747677068137</v>
      </c>
      <c r="V74" s="208">
        <v>0.8908994627619381</v>
      </c>
      <c r="W74" s="208">
        <v>0.84122704870802467</v>
      </c>
      <c r="X74" s="208">
        <v>0.65360264904246423</v>
      </c>
      <c r="Y74" s="208">
        <v>0.82092681924692923</v>
      </c>
      <c r="Z74" s="54">
        <v>1</v>
      </c>
      <c r="AA74" s="208">
        <v>0.63845486818164299</v>
      </c>
      <c r="AB74" s="208">
        <v>0</v>
      </c>
    </row>
    <row r="75" spans="1:28" x14ac:dyDescent="0.3">
      <c r="A75" s="90"/>
      <c r="B75" s="226"/>
      <c r="C75" s="38" t="s">
        <v>13</v>
      </c>
      <c r="D75" s="4" t="s">
        <v>36</v>
      </c>
      <c r="F75" s="106">
        <f t="shared" si="5"/>
        <v>0.2537994416650402</v>
      </c>
      <c r="G75" s="4" t="s">
        <v>99</v>
      </c>
      <c r="I75" s="208">
        <v>-0.44362658917447545</v>
      </c>
      <c r="J75" s="208">
        <v>0.64693945734681979</v>
      </c>
      <c r="K75" s="208">
        <v>-0.44929008252390795</v>
      </c>
      <c r="L75" s="208">
        <v>-0.44537825890183741</v>
      </c>
      <c r="M75" s="208">
        <v>-0.41693837036101078</v>
      </c>
      <c r="N75" s="208">
        <v>-0.44790385572871289</v>
      </c>
      <c r="O75" s="208">
        <v>0</v>
      </c>
      <c r="P75" s="208">
        <v>0.64817326712232048</v>
      </c>
      <c r="Q75" s="208">
        <v>0.58142010201665395</v>
      </c>
      <c r="R75" s="208">
        <v>0.54495609101702158</v>
      </c>
      <c r="S75" s="208">
        <v>0.60267974741864683</v>
      </c>
      <c r="T75" s="208">
        <v>0.62212438298565387</v>
      </c>
      <c r="U75" s="208">
        <v>0.55839839136518044</v>
      </c>
      <c r="V75" s="208">
        <v>0.61156180217050204</v>
      </c>
      <c r="W75" s="208">
        <v>0.60267974741864683</v>
      </c>
      <c r="X75" s="208">
        <v>0.39272382279113949</v>
      </c>
      <c r="Y75" s="208">
        <v>0.65568547181845882</v>
      </c>
      <c r="Z75" s="208">
        <v>0.63845486818164299</v>
      </c>
      <c r="AA75" s="54">
        <v>1.0000000000000002</v>
      </c>
      <c r="AB75" s="208">
        <v>0</v>
      </c>
    </row>
    <row r="76" spans="1:28" x14ac:dyDescent="0.3">
      <c r="A76" s="90"/>
      <c r="B76" s="91" t="s">
        <v>14</v>
      </c>
      <c r="C76" s="38" t="s">
        <v>14</v>
      </c>
      <c r="D76" s="4" t="s">
        <v>36</v>
      </c>
      <c r="F76" s="106">
        <v>9.9999999999999995E-7</v>
      </c>
      <c r="G76" s="4" t="s">
        <v>39</v>
      </c>
      <c r="I76" s="208">
        <v>0</v>
      </c>
      <c r="J76" s="208">
        <v>0</v>
      </c>
      <c r="K76" s="208">
        <v>0</v>
      </c>
      <c r="L76" s="208">
        <v>0</v>
      </c>
      <c r="M76" s="208">
        <v>0</v>
      </c>
      <c r="N76" s="208">
        <v>0</v>
      </c>
      <c r="O76" s="208">
        <v>0</v>
      </c>
      <c r="P76" s="208">
        <v>0</v>
      </c>
      <c r="Q76" s="208">
        <v>0</v>
      </c>
      <c r="R76" s="208">
        <v>0</v>
      </c>
      <c r="S76" s="208">
        <v>0</v>
      </c>
      <c r="T76" s="208">
        <v>0</v>
      </c>
      <c r="U76" s="208">
        <v>0</v>
      </c>
      <c r="V76" s="208">
        <v>0</v>
      </c>
      <c r="W76" s="208">
        <v>0</v>
      </c>
      <c r="X76" s="208">
        <v>0</v>
      </c>
      <c r="Y76" s="208">
        <v>0</v>
      </c>
      <c r="Z76" s="208">
        <v>0</v>
      </c>
      <c r="AA76" s="208">
        <v>0</v>
      </c>
      <c r="AB76" s="54">
        <v>1</v>
      </c>
    </row>
    <row r="77" spans="1:28" x14ac:dyDescent="0.3">
      <c r="F77" s="90"/>
      <c r="G77" s="90"/>
      <c r="I77" s="59" t="s">
        <v>103</v>
      </c>
    </row>
    <row r="79" spans="1:28" x14ac:dyDescent="0.3">
      <c r="I79" s="223" t="s">
        <v>44</v>
      </c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223"/>
      <c r="AA79" s="223"/>
    </row>
    <row r="80" spans="1:28" x14ac:dyDescent="0.3">
      <c r="G80" s="29" t="s">
        <v>31</v>
      </c>
      <c r="I80" s="55">
        <f t="array" ref="I80:AB99">MMULT(F57:F76,TRANSPOSE(F57:F76))*I57:AB76</f>
        <v>4.8774430419951245E-5</v>
      </c>
      <c r="J80" s="55">
        <v>-8.6612280959282508E-6</v>
      </c>
      <c r="K80" s="55">
        <v>5.0015337340158765E-5</v>
      </c>
      <c r="L80" s="55">
        <v>4.7455545827059676E-5</v>
      </c>
      <c r="M80" s="55">
        <v>3.7366189829023371E-5</v>
      </c>
      <c r="N80" s="55">
        <v>4.8516886802855481E-5</v>
      </c>
      <c r="O80" s="55">
        <v>0</v>
      </c>
      <c r="P80" s="55">
        <v>-1.1732958421838464E-5</v>
      </c>
      <c r="Q80" s="55">
        <v>-6.941069165313205E-6</v>
      </c>
      <c r="R80" s="55">
        <v>-3.7597140722170661E-4</v>
      </c>
      <c r="S80" s="55">
        <v>-5.7684950326557054E-4</v>
      </c>
      <c r="T80" s="55">
        <v>-4.6524571761226972E-4</v>
      </c>
      <c r="U80" s="55">
        <v>-4.1997951995920803E-4</v>
      </c>
      <c r="V80" s="55">
        <v>-4.3467810970683409E-4</v>
      </c>
      <c r="W80" s="55">
        <v>-5.7684950326557054E-4</v>
      </c>
      <c r="X80" s="55">
        <v>3.7308386446571049E-5</v>
      </c>
      <c r="Y80" s="55">
        <v>-1.034256256811845E-4</v>
      </c>
      <c r="Z80" s="55">
        <v>-1.0381823686355893E-4</v>
      </c>
      <c r="AA80" s="55">
        <v>-7.8632907395847866E-4</v>
      </c>
      <c r="AB80" s="55">
        <v>0</v>
      </c>
    </row>
    <row r="81" spans="7:28" x14ac:dyDescent="0.3">
      <c r="G81" s="29" t="s">
        <v>32</v>
      </c>
      <c r="I81" s="55">
        <v>-8.6612280959282508E-6</v>
      </c>
      <c r="J81" s="55">
        <v>9.2101532437314471E-6</v>
      </c>
      <c r="K81" s="55">
        <v>-8.7198753437707976E-6</v>
      </c>
      <c r="L81" s="55">
        <v>-8.4993094753931451E-6</v>
      </c>
      <c r="M81" s="55">
        <v>-8.4657744051919916E-6</v>
      </c>
      <c r="N81" s="55">
        <v>-8.6716972038960334E-6</v>
      </c>
      <c r="O81" s="55">
        <v>0</v>
      </c>
      <c r="P81" s="55">
        <v>1.1131713498336503E-5</v>
      </c>
      <c r="Q81" s="55">
        <v>9.7036801574937167E-6</v>
      </c>
      <c r="R81" s="55">
        <v>3.4809256233121213E-4</v>
      </c>
      <c r="S81" s="55">
        <v>4.3611592317714128E-4</v>
      </c>
      <c r="T81" s="55">
        <v>4.0834026241405499E-4</v>
      </c>
      <c r="U81" s="55">
        <v>4.2213434290575008E-4</v>
      </c>
      <c r="V81" s="55">
        <v>4.0642357593957782E-4</v>
      </c>
      <c r="W81" s="55">
        <v>4.3611592317714128E-4</v>
      </c>
      <c r="X81" s="55">
        <v>3.1817309853905961E-4</v>
      </c>
      <c r="Y81" s="55">
        <v>2.098976702751692E-4</v>
      </c>
      <c r="Z81" s="55">
        <v>1.1827798978997408E-4</v>
      </c>
      <c r="AA81" s="55">
        <v>4.9829637801470609E-4</v>
      </c>
      <c r="AB81" s="55">
        <v>0</v>
      </c>
    </row>
    <row r="82" spans="7:28" x14ac:dyDescent="0.3">
      <c r="G82" s="30" t="s">
        <v>0</v>
      </c>
      <c r="I82" s="56">
        <v>5.0015337340158765E-5</v>
      </c>
      <c r="J82" s="56">
        <v>-8.7198753437707976E-6</v>
      </c>
      <c r="K82" s="56">
        <v>5.1426721896824035E-5</v>
      </c>
      <c r="L82" s="56">
        <v>4.8576899383796561E-5</v>
      </c>
      <c r="M82" s="56">
        <v>3.7494504162119025E-5</v>
      </c>
      <c r="N82" s="56">
        <v>4.9807508055351058E-5</v>
      </c>
      <c r="O82" s="56">
        <v>0</v>
      </c>
      <c r="P82" s="56">
        <v>-1.2034099018246165E-5</v>
      </c>
      <c r="Q82" s="56">
        <v>-7.1494009019271617E-6</v>
      </c>
      <c r="R82" s="56">
        <v>-3.8850248518606162E-4</v>
      </c>
      <c r="S82" s="56">
        <v>-5.967301795395196E-4</v>
      </c>
      <c r="T82" s="56">
        <v>-4.8715682761712781E-4</v>
      </c>
      <c r="U82" s="56">
        <v>-4.4253199811911798E-4</v>
      </c>
      <c r="V82" s="56">
        <v>-4.526937617003084E-4</v>
      </c>
      <c r="W82" s="56">
        <v>-5.967301795395196E-4</v>
      </c>
      <c r="X82" s="56">
        <v>3.6250425511735066E-5</v>
      </c>
      <c r="Y82" s="56">
        <v>-1.094640919226251E-4</v>
      </c>
      <c r="Z82" s="56">
        <v>-1.0713977057532105E-4</v>
      </c>
      <c r="AA82" s="56">
        <v>-8.1773373671048186E-4</v>
      </c>
      <c r="AB82" s="56">
        <v>0</v>
      </c>
    </row>
    <row r="83" spans="7:28" x14ac:dyDescent="0.3">
      <c r="G83" s="30" t="s">
        <v>1</v>
      </c>
      <c r="I83" s="56">
        <v>4.7455545827059676E-5</v>
      </c>
      <c r="J83" s="56">
        <v>-8.4993094753931451E-6</v>
      </c>
      <c r="K83" s="56">
        <v>4.8576899383796561E-5</v>
      </c>
      <c r="L83" s="56">
        <v>4.6355157164235205E-5</v>
      </c>
      <c r="M83" s="56">
        <v>3.7309649853420911E-5</v>
      </c>
      <c r="N83" s="56">
        <v>4.7236461024185312E-5</v>
      </c>
      <c r="O83" s="56">
        <v>0</v>
      </c>
      <c r="P83" s="56">
        <v>-1.1684271379640352E-5</v>
      </c>
      <c r="Q83" s="56">
        <v>-6.9431383230830252E-6</v>
      </c>
      <c r="R83" s="56">
        <v>-3.6909201092499085E-4</v>
      </c>
      <c r="S83" s="56">
        <v>-5.6969848396581772E-4</v>
      </c>
      <c r="T83" s="56">
        <v>-4.539631027306804E-4</v>
      </c>
      <c r="U83" s="56">
        <v>-4.0702833197181547E-4</v>
      </c>
      <c r="V83" s="56">
        <v>-4.249066173442538E-4</v>
      </c>
      <c r="W83" s="56">
        <v>-5.6969848396581772E-4</v>
      </c>
      <c r="X83" s="56">
        <v>3.6512496725793187E-5</v>
      </c>
      <c r="Y83" s="56">
        <v>-1.0163149252047163E-4</v>
      </c>
      <c r="Z83" s="56">
        <v>-1.0365981176728861E-4</v>
      </c>
      <c r="AA83" s="56">
        <v>-7.6960645997382025E-4</v>
      </c>
      <c r="AB83" s="56">
        <v>0</v>
      </c>
    </row>
    <row r="84" spans="7:28" x14ac:dyDescent="0.3">
      <c r="G84" s="30" t="s">
        <v>2</v>
      </c>
      <c r="I84" s="56">
        <v>3.7366189829023371E-5</v>
      </c>
      <c r="J84" s="56">
        <v>-8.4657744051919916E-6</v>
      </c>
      <c r="K84" s="56">
        <v>3.7494504162119025E-5</v>
      </c>
      <c r="L84" s="56">
        <v>3.7309649853420911E-5</v>
      </c>
      <c r="M84" s="56">
        <v>3.6557064708512639E-5</v>
      </c>
      <c r="N84" s="56">
        <v>3.7133698222496386E-5</v>
      </c>
      <c r="O84" s="56">
        <v>0</v>
      </c>
      <c r="P84" s="56">
        <v>-1.1184239189094434E-5</v>
      </c>
      <c r="Q84" s="56">
        <v>-7.4185769940498883E-6</v>
      </c>
      <c r="R84" s="56">
        <v>-3.3548161985019737E-4</v>
      </c>
      <c r="S84" s="56">
        <v>-5.0962361945846625E-4</v>
      </c>
      <c r="T84" s="56">
        <v>-3.5943945141912075E-4</v>
      </c>
      <c r="U84" s="56">
        <v>-3.0034927561647067E-4</v>
      </c>
      <c r="V84" s="56">
        <v>-3.5978285951186842E-4</v>
      </c>
      <c r="W84" s="56">
        <v>-5.0962361945846625E-4</v>
      </c>
      <c r="X84" s="56">
        <v>-6.2980713412152565E-6</v>
      </c>
      <c r="Y84" s="56">
        <v>-9.4792993366883145E-5</v>
      </c>
      <c r="Z84" s="56">
        <v>-9.9034079486761127E-5</v>
      </c>
      <c r="AA84" s="56">
        <v>-6.3980581904221677E-4</v>
      </c>
      <c r="AB84" s="56">
        <v>0</v>
      </c>
    </row>
    <row r="85" spans="7:28" x14ac:dyDescent="0.3">
      <c r="G85" s="30" t="s">
        <v>3</v>
      </c>
      <c r="I85" s="56">
        <v>4.8516886802855481E-5</v>
      </c>
      <c r="J85" s="56">
        <v>-8.6716972038960334E-6</v>
      </c>
      <c r="K85" s="56">
        <v>4.9807508055351058E-5</v>
      </c>
      <c r="L85" s="56">
        <v>4.7236461024185312E-5</v>
      </c>
      <c r="M85" s="56">
        <v>3.7133698222496386E-5</v>
      </c>
      <c r="N85" s="56">
        <v>4.8324498784441111E-5</v>
      </c>
      <c r="O85" s="56">
        <v>0</v>
      </c>
      <c r="P85" s="56">
        <v>-1.1795325813147259E-5</v>
      </c>
      <c r="Q85" s="56">
        <v>-7.0399582584243901E-6</v>
      </c>
      <c r="R85" s="56">
        <v>-3.7721586069892774E-4</v>
      </c>
      <c r="S85" s="56">
        <v>-5.8075083145289221E-4</v>
      </c>
      <c r="T85" s="56">
        <v>-4.6957682906200793E-4</v>
      </c>
      <c r="U85" s="56">
        <v>-4.2353473550649061E-4</v>
      </c>
      <c r="V85" s="56">
        <v>-4.3748203037278669E-4</v>
      </c>
      <c r="W85" s="56">
        <v>-5.8075083145289221E-4</v>
      </c>
      <c r="X85" s="56">
        <v>3.4140452223707559E-5</v>
      </c>
      <c r="Y85" s="56">
        <v>-1.0627347405907477E-4</v>
      </c>
      <c r="Z85" s="56">
        <v>-1.0491696165854207E-4</v>
      </c>
      <c r="AA85" s="56">
        <v>-7.9024024329498864E-4</v>
      </c>
      <c r="AB85" s="56">
        <v>0</v>
      </c>
    </row>
    <row r="86" spans="7:28" x14ac:dyDescent="0.3">
      <c r="G86" s="31" t="s">
        <v>136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7">
        <v>0</v>
      </c>
      <c r="U86" s="57">
        <v>0</v>
      </c>
      <c r="V86" s="57">
        <v>0</v>
      </c>
      <c r="W86" s="57">
        <v>0</v>
      </c>
      <c r="X86" s="57">
        <v>0</v>
      </c>
      <c r="Y86" s="57">
        <v>0</v>
      </c>
      <c r="Z86" s="57">
        <v>0</v>
      </c>
      <c r="AA86" s="57">
        <v>0</v>
      </c>
      <c r="AB86" s="57">
        <v>0</v>
      </c>
    </row>
    <row r="87" spans="7:28" x14ac:dyDescent="0.3">
      <c r="G87" s="31" t="s">
        <v>1</v>
      </c>
      <c r="I87" s="57">
        <v>-1.1732958421838464E-5</v>
      </c>
      <c r="J87" s="57">
        <v>1.1131713498336503E-5</v>
      </c>
      <c r="K87" s="57">
        <v>-1.2034099018246165E-5</v>
      </c>
      <c r="L87" s="57">
        <v>-1.1684271379640352E-5</v>
      </c>
      <c r="M87" s="57">
        <v>-1.1184239189094434E-5</v>
      </c>
      <c r="N87" s="57">
        <v>-1.1795325813147259E-5</v>
      </c>
      <c r="O87" s="57">
        <v>0</v>
      </c>
      <c r="P87" s="57">
        <v>1.4859355813395088E-5</v>
      </c>
      <c r="Q87" s="57">
        <v>1.2309808297948519E-5</v>
      </c>
      <c r="R87" s="57">
        <v>4.6882149157518948E-4</v>
      </c>
      <c r="S87" s="57">
        <v>5.8277980333390044E-4</v>
      </c>
      <c r="T87" s="57">
        <v>5.4786932444666505E-4</v>
      </c>
      <c r="U87" s="57">
        <v>5.9382196197977429E-4</v>
      </c>
      <c r="V87" s="57">
        <v>5.4909183347583038E-4</v>
      </c>
      <c r="W87" s="57">
        <v>5.8277980333390044E-4</v>
      </c>
      <c r="X87" s="57">
        <v>4.0746546528533411E-4</v>
      </c>
      <c r="Y87" s="57">
        <v>2.7494324880647432E-4</v>
      </c>
      <c r="Z87" s="57">
        <v>1.5953936123822934E-4</v>
      </c>
      <c r="AA87" s="57">
        <v>6.3413506531706846E-4</v>
      </c>
      <c r="AB87" s="57">
        <v>0</v>
      </c>
    </row>
    <row r="88" spans="7:28" x14ac:dyDescent="0.3">
      <c r="G88" s="31" t="s">
        <v>2</v>
      </c>
      <c r="I88" s="57">
        <v>-6.941069165313205E-6</v>
      </c>
      <c r="J88" s="57">
        <v>9.7036801574937167E-6</v>
      </c>
      <c r="K88" s="57">
        <v>-7.1494009019271617E-6</v>
      </c>
      <c r="L88" s="57">
        <v>-6.9431383230830252E-6</v>
      </c>
      <c r="M88" s="57">
        <v>-7.4185769940498883E-6</v>
      </c>
      <c r="N88" s="57">
        <v>-7.0399582584243901E-6</v>
      </c>
      <c r="O88" s="57">
        <v>0</v>
      </c>
      <c r="P88" s="57">
        <v>1.2309808297948519E-5</v>
      </c>
      <c r="Q88" s="57">
        <v>1.2030769937778349E-5</v>
      </c>
      <c r="R88" s="57">
        <v>3.8739173810330884E-4</v>
      </c>
      <c r="S88" s="57">
        <v>4.8415917079780636E-4</v>
      </c>
      <c r="T88" s="57">
        <v>4.2593912164808621E-4</v>
      </c>
      <c r="U88" s="57">
        <v>4.6907624683973541E-4</v>
      </c>
      <c r="V88" s="57">
        <v>4.4439010553120256E-4</v>
      </c>
      <c r="W88" s="57">
        <v>4.8415917079780636E-4</v>
      </c>
      <c r="X88" s="57">
        <v>3.8463557814512371E-4</v>
      </c>
      <c r="Y88" s="57">
        <v>2.4700249623409593E-4</v>
      </c>
      <c r="Z88" s="57">
        <v>1.3947020499415061E-4</v>
      </c>
      <c r="AA88" s="57">
        <v>5.1183197831213727E-4</v>
      </c>
      <c r="AB88" s="57">
        <v>0</v>
      </c>
    </row>
    <row r="89" spans="7:28" x14ac:dyDescent="0.3">
      <c r="G89" s="32" t="s">
        <v>4</v>
      </c>
      <c r="I89" s="58">
        <v>-3.7597140722170661E-4</v>
      </c>
      <c r="J89" s="58">
        <v>3.4809256233121213E-4</v>
      </c>
      <c r="K89" s="58">
        <v>-3.8850248518606162E-4</v>
      </c>
      <c r="L89" s="58">
        <v>-3.6909201092499085E-4</v>
      </c>
      <c r="M89" s="58">
        <v>-3.3548161985019737E-4</v>
      </c>
      <c r="N89" s="58">
        <v>-3.7721586069892774E-4</v>
      </c>
      <c r="O89" s="58">
        <v>0</v>
      </c>
      <c r="P89" s="58">
        <v>4.6882149157518948E-4</v>
      </c>
      <c r="Q89" s="58">
        <v>3.8739173810330884E-4</v>
      </c>
      <c r="R89" s="58">
        <v>2.8042427843831642E-2</v>
      </c>
      <c r="S89" s="58">
        <v>2.9832541460291503E-2</v>
      </c>
      <c r="T89" s="58">
        <v>2.7416410144572557E-2</v>
      </c>
      <c r="U89" s="58">
        <v>2.5237411777704416E-2</v>
      </c>
      <c r="V89" s="58">
        <v>2.9377645100016503E-2</v>
      </c>
      <c r="W89" s="58">
        <v>2.9832541460291503E-2</v>
      </c>
      <c r="X89" s="58">
        <v>2.2263579955122598E-2</v>
      </c>
      <c r="Y89" s="58">
        <v>1.1099147987107628E-2</v>
      </c>
      <c r="Z89" s="58">
        <v>7.6135721904949652E-3</v>
      </c>
      <c r="AA89" s="58">
        <v>2.316114252004961E-2</v>
      </c>
      <c r="AB89" s="58">
        <v>0</v>
      </c>
    </row>
    <row r="90" spans="7:28" x14ac:dyDescent="0.3">
      <c r="G90" s="32" t="s">
        <v>5</v>
      </c>
      <c r="I90" s="58">
        <v>-5.7684950326557054E-4</v>
      </c>
      <c r="J90" s="58">
        <v>4.3611592317714128E-4</v>
      </c>
      <c r="K90" s="58">
        <v>-5.967301795395196E-4</v>
      </c>
      <c r="L90" s="58">
        <v>-5.6969848396581772E-4</v>
      </c>
      <c r="M90" s="58">
        <v>-5.0962361945846625E-4</v>
      </c>
      <c r="N90" s="58">
        <v>-5.8075083145289221E-4</v>
      </c>
      <c r="O90" s="58">
        <v>0</v>
      </c>
      <c r="P90" s="58">
        <v>5.8277980333390044E-4</v>
      </c>
      <c r="Q90" s="58">
        <v>4.8415917079780636E-4</v>
      </c>
      <c r="R90" s="58">
        <v>2.9832541460291503E-2</v>
      </c>
      <c r="S90" s="58">
        <v>4.0564941780484899E-2</v>
      </c>
      <c r="T90" s="58">
        <v>3.0187475695855302E-2</v>
      </c>
      <c r="U90" s="58">
        <v>2.9621184381047085E-2</v>
      </c>
      <c r="V90" s="58">
        <v>3.2089970756741769E-2</v>
      </c>
      <c r="W90" s="58">
        <v>4.0564941780484899E-2</v>
      </c>
      <c r="X90" s="58">
        <v>2.4731100918940877E-2</v>
      </c>
      <c r="Y90" s="58">
        <v>1.295353386550371E-2</v>
      </c>
      <c r="Z90" s="58">
        <v>8.9901561124321114E-3</v>
      </c>
      <c r="AA90" s="58">
        <v>3.0807232660591113E-2</v>
      </c>
      <c r="AB90" s="58">
        <v>0</v>
      </c>
    </row>
    <row r="91" spans="7:28" x14ac:dyDescent="0.3">
      <c r="G91" s="32" t="s">
        <v>6</v>
      </c>
      <c r="I91" s="58">
        <v>-4.6524571761226972E-4</v>
      </c>
      <c r="J91" s="58">
        <v>4.0834026241405499E-4</v>
      </c>
      <c r="K91" s="58">
        <v>-4.8715682761712781E-4</v>
      </c>
      <c r="L91" s="58">
        <v>-4.539631027306804E-4</v>
      </c>
      <c r="M91" s="58">
        <v>-3.5943945141912075E-4</v>
      </c>
      <c r="N91" s="58">
        <v>-4.6957682906200793E-4</v>
      </c>
      <c r="O91" s="58">
        <v>0</v>
      </c>
      <c r="P91" s="58">
        <v>5.4786932444666505E-4</v>
      </c>
      <c r="Q91" s="58">
        <v>4.2593912164808621E-4</v>
      </c>
      <c r="R91" s="58">
        <v>2.7416410144572557E-2</v>
      </c>
      <c r="S91" s="58">
        <v>3.0187475695855302E-2</v>
      </c>
      <c r="T91" s="58">
        <v>3.5557268705904997E-2</v>
      </c>
      <c r="U91" s="58">
        <v>3.1842013861772669E-2</v>
      </c>
      <c r="V91" s="58">
        <v>3.2686911729318008E-2</v>
      </c>
      <c r="W91" s="58">
        <v>3.0187475695855302E-2</v>
      </c>
      <c r="X91" s="58">
        <v>2.2320963776845188E-2</v>
      </c>
      <c r="Y91" s="58">
        <v>1.2249966445675357E-2</v>
      </c>
      <c r="Z91" s="58">
        <v>8.401506864315976E-3</v>
      </c>
      <c r="AA91" s="58">
        <v>2.9773650236953251E-2</v>
      </c>
      <c r="AB91" s="58">
        <v>0</v>
      </c>
    </row>
    <row r="92" spans="7:28" x14ac:dyDescent="0.3">
      <c r="G92" s="32" t="s">
        <v>7</v>
      </c>
      <c r="I92" s="58">
        <v>-4.1997951995920803E-4</v>
      </c>
      <c r="J92" s="58">
        <v>4.2213434290575008E-4</v>
      </c>
      <c r="K92" s="58">
        <v>-4.4253199811911798E-4</v>
      </c>
      <c r="L92" s="58">
        <v>-4.0702833197181547E-4</v>
      </c>
      <c r="M92" s="58">
        <v>-3.0034927561647067E-4</v>
      </c>
      <c r="N92" s="58">
        <v>-4.2353473550649061E-4</v>
      </c>
      <c r="O92" s="58">
        <v>0</v>
      </c>
      <c r="P92" s="58">
        <v>5.9382196197977429E-4</v>
      </c>
      <c r="Q92" s="58">
        <v>4.6907624683973541E-4</v>
      </c>
      <c r="R92" s="58">
        <v>2.5237411777704416E-2</v>
      </c>
      <c r="S92" s="58">
        <v>2.9621184381047085E-2</v>
      </c>
      <c r="T92" s="58">
        <v>3.1842013861772669E-2</v>
      </c>
      <c r="U92" s="58">
        <v>4.2692145803559359E-2</v>
      </c>
      <c r="V92" s="58">
        <v>3.1642038848855462E-2</v>
      </c>
      <c r="W92" s="58">
        <v>2.9621184381047085E-2</v>
      </c>
      <c r="X92" s="58">
        <v>2.119347884359344E-2</v>
      </c>
      <c r="Y92" s="58">
        <v>1.3038037488904272E-2</v>
      </c>
      <c r="Z92" s="58">
        <v>8.4225268574387498E-3</v>
      </c>
      <c r="AA92" s="58">
        <v>2.9282544560295644E-2</v>
      </c>
      <c r="AB92" s="58">
        <v>0</v>
      </c>
    </row>
    <row r="93" spans="7:28" x14ac:dyDescent="0.3">
      <c r="G93" s="32" t="s">
        <v>8</v>
      </c>
      <c r="I93" s="58">
        <v>-4.3467810970683409E-4</v>
      </c>
      <c r="J93" s="58">
        <v>4.0642357593957782E-4</v>
      </c>
      <c r="K93" s="58">
        <v>-4.526937617003084E-4</v>
      </c>
      <c r="L93" s="58">
        <v>-4.249066173442538E-4</v>
      </c>
      <c r="M93" s="58">
        <v>-3.5978285951186842E-4</v>
      </c>
      <c r="N93" s="58">
        <v>-4.3748203037278669E-4</v>
      </c>
      <c r="O93" s="58">
        <v>0</v>
      </c>
      <c r="P93" s="58">
        <v>5.4909183347583038E-4</v>
      </c>
      <c r="Q93" s="58">
        <v>4.4439010553120256E-4</v>
      </c>
      <c r="R93" s="58">
        <v>2.9377645100016503E-2</v>
      </c>
      <c r="S93" s="58">
        <v>3.2089970756741769E-2</v>
      </c>
      <c r="T93" s="58">
        <v>3.2686911729318008E-2</v>
      </c>
      <c r="U93" s="58">
        <v>3.1642038848855462E-2</v>
      </c>
      <c r="V93" s="58">
        <v>3.2890680377464163E-2</v>
      </c>
      <c r="W93" s="58">
        <v>3.2089970756741769E-2</v>
      </c>
      <c r="X93" s="58">
        <v>2.3732448825052512E-2</v>
      </c>
      <c r="Y93" s="58">
        <v>1.2621280778473177E-2</v>
      </c>
      <c r="Z93" s="58">
        <v>8.5732147403994267E-3</v>
      </c>
      <c r="AA93" s="58">
        <v>2.8149289842665477E-2</v>
      </c>
      <c r="AB93" s="58">
        <v>0</v>
      </c>
    </row>
    <row r="94" spans="7:28" x14ac:dyDescent="0.3">
      <c r="G94" s="32" t="s">
        <v>9</v>
      </c>
      <c r="I94" s="58">
        <v>-5.7684950326557054E-4</v>
      </c>
      <c r="J94" s="58">
        <v>4.3611592317714128E-4</v>
      </c>
      <c r="K94" s="58">
        <v>-5.967301795395196E-4</v>
      </c>
      <c r="L94" s="58">
        <v>-5.6969848396581772E-4</v>
      </c>
      <c r="M94" s="58">
        <v>-5.0962361945846625E-4</v>
      </c>
      <c r="N94" s="58">
        <v>-5.8075083145289221E-4</v>
      </c>
      <c r="O94" s="58">
        <v>0</v>
      </c>
      <c r="P94" s="58">
        <v>5.8277980333390044E-4</v>
      </c>
      <c r="Q94" s="58">
        <v>4.8415917079780636E-4</v>
      </c>
      <c r="R94" s="58">
        <v>2.9832541460291503E-2</v>
      </c>
      <c r="S94" s="58">
        <v>4.0564941780484899E-2</v>
      </c>
      <c r="T94" s="58">
        <v>3.0187475695855302E-2</v>
      </c>
      <c r="U94" s="58">
        <v>2.9621184381047085E-2</v>
      </c>
      <c r="V94" s="58">
        <v>3.2089970756741769E-2</v>
      </c>
      <c r="W94" s="58">
        <v>4.0564941780484899E-2</v>
      </c>
      <c r="X94" s="58">
        <v>2.4731100918940877E-2</v>
      </c>
      <c r="Y94" s="58">
        <v>1.295353386550371E-2</v>
      </c>
      <c r="Z94" s="58">
        <v>8.9901561124321114E-3</v>
      </c>
      <c r="AA94" s="58">
        <v>3.0807232660591113E-2</v>
      </c>
      <c r="AB94" s="58">
        <v>0</v>
      </c>
    </row>
    <row r="95" spans="7:28" x14ac:dyDescent="0.3">
      <c r="G95" s="32" t="s">
        <v>10</v>
      </c>
      <c r="I95" s="58">
        <v>3.7308386446571049E-5</v>
      </c>
      <c r="J95" s="58">
        <v>3.1817309853905961E-4</v>
      </c>
      <c r="K95" s="58">
        <v>3.6250425511735066E-5</v>
      </c>
      <c r="L95" s="58">
        <v>3.6512496725793187E-5</v>
      </c>
      <c r="M95" s="58">
        <v>-6.2980713412152565E-6</v>
      </c>
      <c r="N95" s="58">
        <v>3.4140452223707559E-5</v>
      </c>
      <c r="O95" s="58">
        <v>0</v>
      </c>
      <c r="P95" s="58">
        <v>4.0746546528533411E-4</v>
      </c>
      <c r="Q95" s="58">
        <v>3.8463557814512371E-4</v>
      </c>
      <c r="R95" s="58">
        <v>2.2263579955122598E-2</v>
      </c>
      <c r="S95" s="58">
        <v>2.4731100918940877E-2</v>
      </c>
      <c r="T95" s="58">
        <v>2.2320963776845188E-2</v>
      </c>
      <c r="U95" s="58">
        <v>2.119347884359344E-2</v>
      </c>
      <c r="V95" s="58">
        <v>2.3732448825052512E-2</v>
      </c>
      <c r="W95" s="58">
        <v>2.4731100918940877E-2</v>
      </c>
      <c r="X95" s="58">
        <v>3.2517744288499219E-2</v>
      </c>
      <c r="Y95" s="58">
        <v>1.0895230105477336E-2</v>
      </c>
      <c r="Z95" s="58">
        <v>6.2539238057883204E-3</v>
      </c>
      <c r="AA95" s="58">
        <v>1.7973725911791992E-2</v>
      </c>
      <c r="AB95" s="58">
        <v>0</v>
      </c>
    </row>
    <row r="96" spans="7:28" x14ac:dyDescent="0.3">
      <c r="G96" s="32" t="s">
        <v>11</v>
      </c>
      <c r="I96" s="58">
        <v>-1.034256256811845E-4</v>
      </c>
      <c r="J96" s="58">
        <v>2.098976702751692E-4</v>
      </c>
      <c r="K96" s="58">
        <v>-1.094640919226251E-4</v>
      </c>
      <c r="L96" s="58">
        <v>-1.0163149252047163E-4</v>
      </c>
      <c r="M96" s="58">
        <v>-9.4792993366883145E-5</v>
      </c>
      <c r="N96" s="58">
        <v>-1.0627347405907477E-4</v>
      </c>
      <c r="O96" s="58">
        <v>0</v>
      </c>
      <c r="P96" s="58">
        <v>2.7494324880647432E-4</v>
      </c>
      <c r="Q96" s="58">
        <v>2.4700249623409593E-4</v>
      </c>
      <c r="R96" s="58">
        <v>1.1099147987107628E-2</v>
      </c>
      <c r="S96" s="58">
        <v>1.295353386550371E-2</v>
      </c>
      <c r="T96" s="58">
        <v>1.2249966445675357E-2</v>
      </c>
      <c r="U96" s="58">
        <v>1.3038037488904272E-2</v>
      </c>
      <c r="V96" s="58">
        <v>1.2621280778473177E-2</v>
      </c>
      <c r="W96" s="58">
        <v>1.295353386550371E-2</v>
      </c>
      <c r="X96" s="58">
        <v>1.0895230105477336E-2</v>
      </c>
      <c r="Y96" s="58">
        <v>7.0072304443472185E-3</v>
      </c>
      <c r="Z96" s="58">
        <v>3.6463320975955752E-3</v>
      </c>
      <c r="AA96" s="58">
        <v>1.3930266451065317E-2</v>
      </c>
      <c r="AB96" s="58">
        <v>0</v>
      </c>
    </row>
    <row r="97" spans="2:28" x14ac:dyDescent="0.3">
      <c r="G97" s="32" t="s">
        <v>12</v>
      </c>
      <c r="I97" s="58">
        <v>-1.0381823686355893E-4</v>
      </c>
      <c r="J97" s="58">
        <v>1.1827798978997408E-4</v>
      </c>
      <c r="K97" s="58">
        <v>-1.0713977057532105E-4</v>
      </c>
      <c r="L97" s="58">
        <v>-1.0365981176728861E-4</v>
      </c>
      <c r="M97" s="58">
        <v>-9.9034079486761127E-5</v>
      </c>
      <c r="N97" s="58">
        <v>-1.0491696165854207E-4</v>
      </c>
      <c r="O97" s="58">
        <v>0</v>
      </c>
      <c r="P97" s="58">
        <v>1.5953936123822934E-4</v>
      </c>
      <c r="Q97" s="58">
        <v>1.3947020499415061E-4</v>
      </c>
      <c r="R97" s="58">
        <v>7.6135721904949652E-3</v>
      </c>
      <c r="S97" s="58">
        <v>8.9901561124321114E-3</v>
      </c>
      <c r="T97" s="58">
        <v>8.401506864315976E-3</v>
      </c>
      <c r="U97" s="58">
        <v>8.4225268574387498E-3</v>
      </c>
      <c r="V97" s="58">
        <v>8.5732147403994267E-3</v>
      </c>
      <c r="W97" s="58">
        <v>8.9901561124321114E-3</v>
      </c>
      <c r="X97" s="58">
        <v>6.2539238057883204E-3</v>
      </c>
      <c r="Y97" s="58">
        <v>3.6463320975955752E-3</v>
      </c>
      <c r="Z97" s="58">
        <v>2.8155105077180649E-3</v>
      </c>
      <c r="AA97" s="58">
        <v>8.5980396074021859E-3</v>
      </c>
      <c r="AB97" s="58">
        <v>0</v>
      </c>
    </row>
    <row r="98" spans="2:28" x14ac:dyDescent="0.3">
      <c r="G98" s="32" t="s">
        <v>13</v>
      </c>
      <c r="I98" s="58">
        <v>-7.8632907395847866E-4</v>
      </c>
      <c r="J98" s="58">
        <v>4.9829637801470609E-4</v>
      </c>
      <c r="K98" s="58">
        <v>-8.1773373671048186E-4</v>
      </c>
      <c r="L98" s="58">
        <v>-7.6960645997382025E-4</v>
      </c>
      <c r="M98" s="58">
        <v>-6.3980581904221677E-4</v>
      </c>
      <c r="N98" s="58">
        <v>-7.9024024329498864E-4</v>
      </c>
      <c r="O98" s="58">
        <v>0</v>
      </c>
      <c r="P98" s="58">
        <v>6.3413506531706846E-4</v>
      </c>
      <c r="Q98" s="58">
        <v>5.1183197831213727E-4</v>
      </c>
      <c r="R98" s="58">
        <v>2.316114252004961E-2</v>
      </c>
      <c r="S98" s="58">
        <v>3.0807232660591113E-2</v>
      </c>
      <c r="T98" s="58">
        <v>2.9773650236953251E-2</v>
      </c>
      <c r="U98" s="58">
        <v>2.9282544560295644E-2</v>
      </c>
      <c r="V98" s="58">
        <v>2.8149289842665477E-2</v>
      </c>
      <c r="W98" s="58">
        <v>3.0807232660591113E-2</v>
      </c>
      <c r="X98" s="58">
        <v>1.7973725911791992E-2</v>
      </c>
      <c r="Y98" s="58">
        <v>1.3930266451065317E-2</v>
      </c>
      <c r="Z98" s="58">
        <v>8.5980396074021859E-3</v>
      </c>
      <c r="AA98" s="58">
        <v>6.4414156589486155E-2</v>
      </c>
      <c r="AB98" s="58">
        <v>0</v>
      </c>
    </row>
    <row r="99" spans="2:28" x14ac:dyDescent="0.3">
      <c r="G99" s="32" t="s">
        <v>14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0</v>
      </c>
      <c r="X99" s="58">
        <v>0</v>
      </c>
      <c r="Y99" s="58">
        <v>0</v>
      </c>
      <c r="Z99" s="58">
        <v>0</v>
      </c>
      <c r="AA99" s="58">
        <v>0</v>
      </c>
      <c r="AB99" s="58">
        <v>9.9999999999999998E-13</v>
      </c>
    </row>
    <row r="100" spans="2:28" x14ac:dyDescent="0.3">
      <c r="I100" s="90"/>
      <c r="J100" s="90"/>
    </row>
    <row r="101" spans="2:28" ht="131.25" customHeight="1" x14ac:dyDescent="0.3">
      <c r="B101" s="109" t="s">
        <v>104</v>
      </c>
      <c r="C101" s="109"/>
      <c r="D101" s="109"/>
      <c r="E101" s="109"/>
      <c r="F101" s="109"/>
    </row>
    <row r="102" spans="2:28" x14ac:dyDescent="0.3">
      <c r="G102" s="109"/>
    </row>
  </sheetData>
  <mergeCells count="5">
    <mergeCell ref="I56:AA56"/>
    <mergeCell ref="I79:AA79"/>
    <mergeCell ref="B57:B58"/>
    <mergeCell ref="B59:B62"/>
    <mergeCell ref="B66:B7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59"/>
  <sheetViews>
    <sheetView showGridLines="0" topLeftCell="A33" zoomScaleNormal="100" workbookViewId="0">
      <selection activeCell="C38" sqref="C38"/>
    </sheetView>
  </sheetViews>
  <sheetFormatPr defaultRowHeight="14.4" x14ac:dyDescent="0.3"/>
  <cols>
    <col min="2" max="2" width="28" customWidth="1"/>
    <col min="3" max="3" width="8.6640625" bestFit="1" customWidth="1"/>
    <col min="4" max="4" width="6.5546875" bestFit="1" customWidth="1"/>
    <col min="5" max="5" width="9" bestFit="1" customWidth="1"/>
    <col min="6" max="6" width="13" customWidth="1"/>
    <col min="7" max="7" width="13.109375" bestFit="1" customWidth="1"/>
    <col min="8" max="8" width="11.33203125" bestFit="1" customWidth="1"/>
    <col min="9" max="9" width="13.109375" bestFit="1" customWidth="1"/>
    <col min="10" max="11" width="14.88671875" customWidth="1"/>
    <col min="12" max="12" width="12.109375" customWidth="1"/>
    <col min="14" max="14" width="8.5546875" bestFit="1" customWidth="1"/>
    <col min="15" max="15" width="8.33203125" bestFit="1" customWidth="1"/>
    <col min="16" max="16" width="11.33203125" customWidth="1"/>
    <col min="17" max="19" width="8.33203125" bestFit="1" customWidth="1"/>
    <col min="20" max="20" width="9.88671875" customWidth="1"/>
    <col min="21" max="21" width="8.33203125" bestFit="1" customWidth="1"/>
    <col min="22" max="22" width="12.109375" customWidth="1"/>
    <col min="23" max="23" width="8.33203125" bestFit="1" customWidth="1"/>
  </cols>
  <sheetData>
    <row r="2" spans="2:24" ht="15" thickBot="1" x14ac:dyDescent="0.35"/>
    <row r="3" spans="2:24" ht="21.6" thickBot="1" x14ac:dyDescent="0.45">
      <c r="E3" s="227" t="s">
        <v>105</v>
      </c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9"/>
    </row>
    <row r="4" spans="2:24" x14ac:dyDescent="0.3">
      <c r="E4" s="236" t="s">
        <v>15</v>
      </c>
      <c r="F4" s="237"/>
      <c r="G4" s="230" t="s">
        <v>20</v>
      </c>
      <c r="H4" s="231"/>
      <c r="I4" s="231"/>
      <c r="J4" s="232"/>
      <c r="K4" s="238" t="s">
        <v>21</v>
      </c>
      <c r="L4" s="239"/>
      <c r="M4" s="240"/>
      <c r="N4" s="233" t="s">
        <v>22</v>
      </c>
      <c r="O4" s="234"/>
      <c r="P4" s="234"/>
      <c r="Q4" s="234"/>
      <c r="R4" s="234"/>
      <c r="S4" s="234"/>
      <c r="T4" s="234"/>
      <c r="U4" s="234"/>
      <c r="V4" s="234"/>
      <c r="W4" s="235"/>
      <c r="X4" s="5" t="s">
        <v>14</v>
      </c>
    </row>
    <row r="5" spans="2:24" ht="69.599999999999994" x14ac:dyDescent="0.3">
      <c r="E5" s="68" t="s">
        <v>16</v>
      </c>
      <c r="F5" s="6" t="s">
        <v>16</v>
      </c>
      <c r="G5" s="7" t="s">
        <v>0</v>
      </c>
      <c r="H5" s="78" t="s">
        <v>1</v>
      </c>
      <c r="I5" s="78" t="s">
        <v>2</v>
      </c>
      <c r="J5" s="79" t="s">
        <v>3</v>
      </c>
      <c r="K5" s="80" t="s">
        <v>0</v>
      </c>
      <c r="L5" s="80" t="s">
        <v>1</v>
      </c>
      <c r="M5" s="80" t="s">
        <v>2</v>
      </c>
      <c r="N5" s="10" t="s">
        <v>4</v>
      </c>
      <c r="O5" s="11" t="s">
        <v>5</v>
      </c>
      <c r="P5" s="11" t="s">
        <v>6</v>
      </c>
      <c r="Q5" s="11" t="s">
        <v>7</v>
      </c>
      <c r="R5" s="11" t="s">
        <v>8</v>
      </c>
      <c r="S5" s="11" t="s">
        <v>9</v>
      </c>
      <c r="T5" s="11" t="s">
        <v>10</v>
      </c>
      <c r="U5" s="11" t="s">
        <v>11</v>
      </c>
      <c r="V5" s="11" t="s">
        <v>12</v>
      </c>
      <c r="W5" s="12" t="s">
        <v>13</v>
      </c>
      <c r="X5" s="13" t="s">
        <v>14</v>
      </c>
    </row>
    <row r="6" spans="2:24" x14ac:dyDescent="0.3">
      <c r="E6" s="68" t="s">
        <v>17</v>
      </c>
      <c r="F6" s="6" t="s">
        <v>19</v>
      </c>
      <c r="G6" s="7" t="s">
        <v>17</v>
      </c>
      <c r="H6" s="7" t="s">
        <v>17</v>
      </c>
      <c r="I6" s="7" t="s">
        <v>17</v>
      </c>
      <c r="J6" s="8" t="s">
        <v>17</v>
      </c>
      <c r="K6" s="9" t="s">
        <v>19</v>
      </c>
      <c r="L6" s="9" t="s">
        <v>19</v>
      </c>
      <c r="M6" s="9" t="s">
        <v>19</v>
      </c>
      <c r="N6" s="14" t="s">
        <v>23</v>
      </c>
      <c r="O6" s="15" t="s">
        <v>23</v>
      </c>
      <c r="P6" s="15" t="s">
        <v>23</v>
      </c>
      <c r="Q6" s="15" t="s">
        <v>23</v>
      </c>
      <c r="R6" s="15" t="s">
        <v>23</v>
      </c>
      <c r="S6" s="15" t="s">
        <v>23</v>
      </c>
      <c r="T6" s="15" t="s">
        <v>23</v>
      </c>
      <c r="U6" s="15" t="s">
        <v>23</v>
      </c>
      <c r="V6" s="15" t="s">
        <v>23</v>
      </c>
      <c r="W6" s="16" t="s">
        <v>23</v>
      </c>
      <c r="X6" s="17" t="s">
        <v>23</v>
      </c>
    </row>
    <row r="7" spans="2:24" ht="15" thickBot="1" x14ac:dyDescent="0.35">
      <c r="B7" s="21" t="s">
        <v>40</v>
      </c>
      <c r="C7" s="42" t="s">
        <v>42</v>
      </c>
      <c r="E7" s="69" t="s">
        <v>18</v>
      </c>
      <c r="F7" s="70" t="s">
        <v>18</v>
      </c>
      <c r="G7" s="71" t="s">
        <v>18</v>
      </c>
      <c r="H7" s="71" t="s">
        <v>18</v>
      </c>
      <c r="I7" s="71" t="s">
        <v>18</v>
      </c>
      <c r="J7" s="72" t="s">
        <v>18</v>
      </c>
      <c r="K7" s="73" t="s">
        <v>18</v>
      </c>
      <c r="L7" s="73" t="s">
        <v>18</v>
      </c>
      <c r="M7" s="73" t="s">
        <v>18</v>
      </c>
      <c r="N7" s="74" t="s">
        <v>24</v>
      </c>
      <c r="O7" s="75" t="s">
        <v>24</v>
      </c>
      <c r="P7" s="75" t="s">
        <v>24</v>
      </c>
      <c r="Q7" s="75" t="s">
        <v>24</v>
      </c>
      <c r="R7" s="75" t="s">
        <v>24</v>
      </c>
      <c r="S7" s="75" t="s">
        <v>24</v>
      </c>
      <c r="T7" s="75" t="s">
        <v>24</v>
      </c>
      <c r="U7" s="75" t="s">
        <v>24</v>
      </c>
      <c r="V7" s="75" t="s">
        <v>24</v>
      </c>
      <c r="W7" s="76" t="s">
        <v>24</v>
      </c>
      <c r="X7" s="77" t="s">
        <v>24</v>
      </c>
    </row>
    <row r="8" spans="2:24" x14ac:dyDescent="0.3">
      <c r="B8" s="36" t="s">
        <v>16</v>
      </c>
      <c r="C8" s="65">
        <f>'Primitive Factor Input'!C15</f>
        <v>20.292029322892667</v>
      </c>
      <c r="E8" s="200">
        <f>C8</f>
        <v>20.292029322892667</v>
      </c>
      <c r="F8" s="201">
        <f>C8</f>
        <v>20.292029322892667</v>
      </c>
      <c r="G8" s="81">
        <v>0</v>
      </c>
      <c r="H8" s="81">
        <v>0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  <c r="Q8" s="81">
        <v>0</v>
      </c>
      <c r="R8" s="81">
        <v>0</v>
      </c>
      <c r="S8" s="81">
        <v>0</v>
      </c>
      <c r="T8" s="81">
        <v>0</v>
      </c>
      <c r="U8" s="81">
        <v>0</v>
      </c>
      <c r="V8" s="81">
        <v>0</v>
      </c>
      <c r="W8" s="81">
        <v>0</v>
      </c>
      <c r="X8" s="82">
        <v>0</v>
      </c>
    </row>
    <row r="9" spans="2:24" x14ac:dyDescent="0.3">
      <c r="B9" s="37" t="s">
        <v>0</v>
      </c>
      <c r="C9" s="66">
        <f>'Primitive Factor Input'!C16</f>
        <v>25.46306899999999</v>
      </c>
      <c r="E9" s="83">
        <v>0</v>
      </c>
      <c r="F9" s="19">
        <v>0</v>
      </c>
      <c r="G9" s="202">
        <f>C9</f>
        <v>25.46306899999999</v>
      </c>
      <c r="H9" s="19">
        <v>0</v>
      </c>
      <c r="I9" s="19">
        <v>0</v>
      </c>
      <c r="J9" s="19">
        <v>0</v>
      </c>
      <c r="K9" s="203">
        <f>K8</f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84">
        <v>0</v>
      </c>
    </row>
    <row r="10" spans="2:24" x14ac:dyDescent="0.3">
      <c r="B10" s="37" t="s">
        <v>1</v>
      </c>
      <c r="C10" s="66">
        <f>'Primitive Factor Input'!C17</f>
        <v>15.451228999999993</v>
      </c>
      <c r="E10" s="83">
        <v>0</v>
      </c>
      <c r="F10" s="19">
        <v>0</v>
      </c>
      <c r="G10" s="19">
        <v>0</v>
      </c>
      <c r="H10" s="202">
        <f>C10</f>
        <v>15.451228999999993</v>
      </c>
      <c r="I10" s="19">
        <v>0</v>
      </c>
      <c r="J10" s="19">
        <v>0</v>
      </c>
      <c r="K10" s="19">
        <f t="shared" ref="K10:K23" si="0">K9</f>
        <v>0</v>
      </c>
      <c r="L10" s="202">
        <f>C10</f>
        <v>15.451228999999993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84">
        <v>0</v>
      </c>
    </row>
    <row r="11" spans="2:24" x14ac:dyDescent="0.3">
      <c r="B11" s="37" t="s">
        <v>2</v>
      </c>
      <c r="C11" s="66">
        <f>'Primitive Factor Input'!C18</f>
        <v>4.5725780000000009</v>
      </c>
      <c r="E11" s="83">
        <v>0</v>
      </c>
      <c r="F11" s="19">
        <v>0</v>
      </c>
      <c r="G11" s="19">
        <v>0</v>
      </c>
      <c r="H11" s="19">
        <v>0</v>
      </c>
      <c r="I11" s="202">
        <f>C11</f>
        <v>4.5725780000000009</v>
      </c>
      <c r="J11" s="19">
        <v>0</v>
      </c>
      <c r="K11" s="19">
        <f t="shared" si="0"/>
        <v>0</v>
      </c>
      <c r="L11" s="19">
        <v>0</v>
      </c>
      <c r="M11" s="202">
        <f>C11</f>
        <v>4.5725780000000009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84">
        <v>0</v>
      </c>
    </row>
    <row r="12" spans="2:24" x14ac:dyDescent="0.3">
      <c r="B12" s="37" t="s">
        <v>3</v>
      </c>
      <c r="C12" s="66">
        <f>'Primitive Factor Input'!C19</f>
        <v>19.400993</v>
      </c>
      <c r="E12" s="83">
        <v>0</v>
      </c>
      <c r="F12" s="19">
        <v>0</v>
      </c>
      <c r="G12" s="19">
        <v>0</v>
      </c>
      <c r="H12" s="19">
        <v>0</v>
      </c>
      <c r="I12" s="19">
        <v>0</v>
      </c>
      <c r="J12" s="202">
        <f>C12</f>
        <v>19.400993</v>
      </c>
      <c r="K12" s="19">
        <f t="shared" si="0"/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84">
        <v>0</v>
      </c>
    </row>
    <row r="13" spans="2:24" x14ac:dyDescent="0.3">
      <c r="B13" s="38" t="s">
        <v>4</v>
      </c>
      <c r="C13" s="67" t="s">
        <v>43</v>
      </c>
      <c r="E13" s="83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f t="shared" si="0"/>
        <v>0</v>
      </c>
      <c r="L13" s="19">
        <v>0</v>
      </c>
      <c r="M13" s="19">
        <v>0</v>
      </c>
      <c r="N13" s="203">
        <v>1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84">
        <v>0</v>
      </c>
    </row>
    <row r="14" spans="2:24" x14ac:dyDescent="0.3">
      <c r="B14" s="38" t="s">
        <v>5</v>
      </c>
      <c r="C14" s="67" t="s">
        <v>43</v>
      </c>
      <c r="E14" s="83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f t="shared" si="0"/>
        <v>0</v>
      </c>
      <c r="L14" s="19">
        <v>0</v>
      </c>
      <c r="M14" s="19">
        <v>0</v>
      </c>
      <c r="N14" s="19">
        <v>0</v>
      </c>
      <c r="O14" s="203">
        <v>1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84">
        <v>0</v>
      </c>
    </row>
    <row r="15" spans="2:24" x14ac:dyDescent="0.3">
      <c r="B15" s="38" t="s">
        <v>6</v>
      </c>
      <c r="C15" s="67" t="s">
        <v>43</v>
      </c>
      <c r="E15" s="83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f t="shared" si="0"/>
        <v>0</v>
      </c>
      <c r="L15" s="19">
        <v>0</v>
      </c>
      <c r="M15" s="19">
        <v>0</v>
      </c>
      <c r="N15" s="19">
        <v>0</v>
      </c>
      <c r="O15" s="19">
        <v>0</v>
      </c>
      <c r="P15" s="203">
        <v>1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84">
        <v>0</v>
      </c>
    </row>
    <row r="16" spans="2:24" x14ac:dyDescent="0.3">
      <c r="B16" s="38" t="s">
        <v>7</v>
      </c>
      <c r="C16" s="67" t="s">
        <v>43</v>
      </c>
      <c r="E16" s="83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f t="shared" si="0"/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203">
        <v>1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84">
        <v>0</v>
      </c>
    </row>
    <row r="17" spans="2:24" x14ac:dyDescent="0.3">
      <c r="B17" s="38" t="s">
        <v>8</v>
      </c>
      <c r="C17" s="67" t="s">
        <v>43</v>
      </c>
      <c r="E17" s="83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f t="shared" si="0"/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203">
        <v>1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84">
        <v>0</v>
      </c>
    </row>
    <row r="18" spans="2:24" x14ac:dyDescent="0.3">
      <c r="B18" s="38" t="s">
        <v>9</v>
      </c>
      <c r="C18" s="67" t="s">
        <v>43</v>
      </c>
      <c r="E18" s="83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f t="shared" si="0"/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203">
        <v>1</v>
      </c>
      <c r="T18" s="19">
        <v>0</v>
      </c>
      <c r="U18" s="19">
        <v>0</v>
      </c>
      <c r="V18" s="19">
        <v>0</v>
      </c>
      <c r="W18" s="19">
        <v>0</v>
      </c>
      <c r="X18" s="84">
        <v>0</v>
      </c>
    </row>
    <row r="19" spans="2:24" x14ac:dyDescent="0.3">
      <c r="B19" s="38" t="s">
        <v>10</v>
      </c>
      <c r="C19" s="67" t="s">
        <v>43</v>
      </c>
      <c r="E19" s="83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f t="shared" si="0"/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03">
        <v>1</v>
      </c>
      <c r="U19" s="19">
        <v>0</v>
      </c>
      <c r="V19" s="19">
        <v>0</v>
      </c>
      <c r="W19" s="19">
        <v>0</v>
      </c>
      <c r="X19" s="84">
        <v>0</v>
      </c>
    </row>
    <row r="20" spans="2:24" x14ac:dyDescent="0.3">
      <c r="B20" s="38" t="s">
        <v>11</v>
      </c>
      <c r="C20" s="67" t="s">
        <v>43</v>
      </c>
      <c r="E20" s="83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f t="shared" si="0"/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3">
        <v>1</v>
      </c>
      <c r="V20" s="19">
        <v>0</v>
      </c>
      <c r="W20" s="19">
        <v>0</v>
      </c>
      <c r="X20" s="84">
        <v>0</v>
      </c>
    </row>
    <row r="21" spans="2:24" x14ac:dyDescent="0.3">
      <c r="B21" s="38" t="s">
        <v>12</v>
      </c>
      <c r="C21" s="67" t="s">
        <v>43</v>
      </c>
      <c r="E21" s="83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f t="shared" si="0"/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03">
        <v>1</v>
      </c>
      <c r="W21" s="19">
        <v>0</v>
      </c>
      <c r="X21" s="84">
        <v>0</v>
      </c>
    </row>
    <row r="22" spans="2:24" x14ac:dyDescent="0.3">
      <c r="B22" s="38" t="s">
        <v>13</v>
      </c>
      <c r="C22" s="67" t="s">
        <v>43</v>
      </c>
      <c r="E22" s="83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f t="shared" si="0"/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203">
        <v>1</v>
      </c>
      <c r="X22" s="84">
        <v>0</v>
      </c>
    </row>
    <row r="23" spans="2:24" ht="15" thickBot="1" x14ac:dyDescent="0.35">
      <c r="B23" s="38" t="s">
        <v>14</v>
      </c>
      <c r="C23" s="67" t="s">
        <v>43</v>
      </c>
      <c r="E23" s="85">
        <v>0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f t="shared" si="0"/>
        <v>0</v>
      </c>
      <c r="L23" s="86">
        <v>0</v>
      </c>
      <c r="M23" s="86">
        <v>0</v>
      </c>
      <c r="N23" s="86">
        <v>0</v>
      </c>
      <c r="O23" s="86">
        <v>0</v>
      </c>
      <c r="P23" s="86">
        <v>0</v>
      </c>
      <c r="Q23" s="86">
        <v>0</v>
      </c>
      <c r="R23" s="86">
        <v>0</v>
      </c>
      <c r="S23" s="86">
        <v>0</v>
      </c>
      <c r="T23" s="86">
        <v>0</v>
      </c>
      <c r="U23" s="86">
        <v>0</v>
      </c>
      <c r="V23" s="86">
        <v>0</v>
      </c>
      <c r="W23" s="86">
        <v>0</v>
      </c>
      <c r="X23" s="204">
        <v>1</v>
      </c>
    </row>
    <row r="28" spans="2:24" x14ac:dyDescent="0.3">
      <c r="B28" s="20" t="s">
        <v>45</v>
      </c>
      <c r="C28" s="21"/>
      <c r="D28" s="21"/>
    </row>
    <row r="29" spans="2:24" x14ac:dyDescent="0.3">
      <c r="B29" s="21" t="s">
        <v>106</v>
      </c>
      <c r="C29" s="21"/>
      <c r="D29" s="63">
        <f>'Primitive Factor Input'!D7</f>
        <v>0.02</v>
      </c>
    </row>
    <row r="30" spans="2:24" x14ac:dyDescent="0.3">
      <c r="B30" s="21" t="s">
        <v>86</v>
      </c>
      <c r="C30" s="21"/>
      <c r="D30" s="63">
        <f>'Primitive Factor Input'!D8</f>
        <v>0.04</v>
      </c>
    </row>
    <row r="31" spans="2:24" x14ac:dyDescent="0.3">
      <c r="B31" s="21" t="s">
        <v>85</v>
      </c>
      <c r="C31" s="21"/>
      <c r="D31" s="63">
        <f>'Primitive Factor Input'!D9</f>
        <v>0</v>
      </c>
    </row>
    <row r="32" spans="2:24" x14ac:dyDescent="0.3">
      <c r="B32" s="21" t="s">
        <v>49</v>
      </c>
      <c r="C32" s="21"/>
      <c r="D32" s="64">
        <f>'Primitive Factor Input'!D10</f>
        <v>0.75</v>
      </c>
    </row>
    <row r="34" spans="2:17" x14ac:dyDescent="0.3">
      <c r="B34" s="21"/>
      <c r="C34" s="21"/>
      <c r="D34" s="21"/>
      <c r="E34" s="21"/>
      <c r="F34" s="42" t="s">
        <v>58</v>
      </c>
      <c r="G34" s="42" t="s">
        <v>59</v>
      </c>
      <c r="H34" s="21"/>
      <c r="I34" s="21"/>
      <c r="J34" s="21"/>
      <c r="K34" s="21"/>
    </row>
    <row r="35" spans="2:17" x14ac:dyDescent="0.3">
      <c r="B35" s="21"/>
      <c r="C35" s="21"/>
      <c r="D35" s="21"/>
      <c r="E35" s="21"/>
      <c r="F35" s="42" t="s">
        <v>54</v>
      </c>
      <c r="G35" s="42" t="s">
        <v>54</v>
      </c>
      <c r="H35" s="21"/>
      <c r="I35" s="21"/>
      <c r="J35" s="42" t="s">
        <v>87</v>
      </c>
      <c r="K35" s="21"/>
    </row>
    <row r="36" spans="2:17" x14ac:dyDescent="0.3">
      <c r="B36" s="21"/>
      <c r="C36" s="21"/>
      <c r="D36" s="21"/>
      <c r="E36" s="42" t="s">
        <v>55</v>
      </c>
      <c r="F36" s="42" t="s">
        <v>55</v>
      </c>
      <c r="G36" s="42" t="s">
        <v>60</v>
      </c>
      <c r="H36" s="42"/>
      <c r="I36" s="42" t="s">
        <v>53</v>
      </c>
      <c r="J36" s="42" t="s">
        <v>24</v>
      </c>
      <c r="K36" s="21"/>
    </row>
    <row r="37" spans="2:17" x14ac:dyDescent="0.3">
      <c r="B37" s="20" t="s">
        <v>40</v>
      </c>
      <c r="C37" s="28" t="s">
        <v>41</v>
      </c>
      <c r="D37" s="21"/>
      <c r="E37" s="28" t="s">
        <v>56</v>
      </c>
      <c r="F37" s="28" t="s">
        <v>47</v>
      </c>
      <c r="G37" s="28" t="s">
        <v>47</v>
      </c>
      <c r="H37" s="28" t="s">
        <v>48</v>
      </c>
      <c r="I37" s="28" t="s">
        <v>52</v>
      </c>
      <c r="J37" s="28" t="s">
        <v>57</v>
      </c>
      <c r="K37" s="89" t="s">
        <v>62</v>
      </c>
    </row>
    <row r="38" spans="2:17" x14ac:dyDescent="0.3">
      <c r="B38" s="36" t="s">
        <v>16</v>
      </c>
      <c r="C38" s="22" cm="1">
        <f t="array" ref="C38">SQRT(MMULT(MMULT($E8:$X8,'Primitive Factor Input'!$I$80:$AB$99),TRANSPOSE($E8:$X8)))</f>
        <v>0.12939590427383135</v>
      </c>
      <c r="E38" s="1" t="s">
        <v>43</v>
      </c>
      <c r="F38" s="25" t="s">
        <v>43</v>
      </c>
      <c r="G38" s="60"/>
      <c r="H38" s="25">
        <f>'Primitive Factor Input'!D15</f>
        <v>1.2500000000000001E-2</v>
      </c>
      <c r="I38" s="87">
        <v>1</v>
      </c>
      <c r="J38" s="25">
        <f>$D$29+IF(F38="N/A",0,F38)+IF(H38="N/A",0,I38*H38)+IF(H38="N/A",0,$D$31*C8)+G38</f>
        <v>3.2500000000000001E-2</v>
      </c>
      <c r="K38" s="39" t="s">
        <v>61</v>
      </c>
      <c r="L38" s="39"/>
      <c r="M38" s="39"/>
      <c r="N38" s="39"/>
      <c r="O38" s="39"/>
      <c r="P38" s="39"/>
      <c r="Q38" s="39"/>
    </row>
    <row r="39" spans="2:17" x14ac:dyDescent="0.3">
      <c r="B39" s="37" t="s">
        <v>0</v>
      </c>
      <c r="C39" s="23" cm="1">
        <f t="array" ref="C39">SQRT(MMULT(MMULT($E9:$X9,'Primitive Factor Input'!$I$80:$AB$99),TRANSPOSE($E9:$X9)))</f>
        <v>0.18260184774713295</v>
      </c>
      <c r="E39" s="2" t="s">
        <v>43</v>
      </c>
      <c r="F39" s="26" t="s">
        <v>43</v>
      </c>
      <c r="G39" s="61"/>
      <c r="H39" s="26" t="s">
        <v>43</v>
      </c>
      <c r="I39" s="88" t="s">
        <v>43</v>
      </c>
      <c r="J39" s="26">
        <f>$D$29+IF(F39="N/A",0,F39)+IF(H39="N/A",0,I39*H39)+IF(H39="N/A",0,$D$31*C9)+G39</f>
        <v>0.02</v>
      </c>
      <c r="K39" s="40"/>
      <c r="L39" s="40"/>
      <c r="M39" s="40"/>
      <c r="N39" s="40"/>
      <c r="O39" s="40"/>
      <c r="P39" s="40"/>
      <c r="Q39" s="40"/>
    </row>
    <row r="40" spans="2:17" x14ac:dyDescent="0.3">
      <c r="B40" s="37" t="s">
        <v>1</v>
      </c>
      <c r="C40" s="23" cm="1">
        <f t="array" ref="C40">SQRT(MMULT(MMULT($E10:$X10,'Primitive Factor Input'!$I$80:$AB$99),TRANSPOSE($E10:$X10)))</f>
        <v>9.5054537006706311E-2</v>
      </c>
      <c r="E40" s="2" t="s">
        <v>43</v>
      </c>
      <c r="F40" s="26" t="s">
        <v>43</v>
      </c>
      <c r="G40" s="61"/>
      <c r="H40" s="26">
        <f>'Primitive Factor Input'!D17</f>
        <v>1.2233859699999999E-2</v>
      </c>
      <c r="I40" s="88">
        <f>$D$32</f>
        <v>0.75</v>
      </c>
      <c r="J40" s="26">
        <f>$D$29+IF(F40="N/A",0,F40)+IF(H40="N/A",0,I40*H40)+IF(H40="N/A",0,$D$31*C10)+G40</f>
        <v>2.9175394774999999E-2</v>
      </c>
      <c r="K40" s="40"/>
      <c r="L40" s="40"/>
      <c r="M40" s="40"/>
      <c r="N40" s="40"/>
      <c r="O40" s="40"/>
      <c r="P40" s="40"/>
      <c r="Q40" s="40"/>
    </row>
    <row r="41" spans="2:17" x14ac:dyDescent="0.3">
      <c r="B41" s="37" t="s">
        <v>2</v>
      </c>
      <c r="C41" s="23" cm="1">
        <f t="array" ref="C41">SQRT(MMULT(MMULT($E11:$X11,'Primitive Factor Input'!$I$80:$AB$99),TRANSPOSE($E11:$X11)))</f>
        <v>2.6564545533029758E-2</v>
      </c>
      <c r="E41" s="2" t="s">
        <v>43</v>
      </c>
      <c r="F41" s="26" t="s">
        <v>43</v>
      </c>
      <c r="G41" s="61"/>
      <c r="H41" s="26">
        <f>'Primitive Factor Input'!D18</f>
        <v>6.2254885000000001E-3</v>
      </c>
      <c r="I41" s="88">
        <f>$D$32</f>
        <v>0.75</v>
      </c>
      <c r="J41" s="26">
        <f>$D$29+IF(F41="N/A",0,F41)+IF(H41="N/A",0,I41*H41)+IF(H41="N/A",0,$D$31*C11)+G41</f>
        <v>2.4669116375000001E-2</v>
      </c>
      <c r="K41" s="40"/>
      <c r="L41" s="40"/>
      <c r="M41" s="40"/>
      <c r="N41" s="40"/>
      <c r="O41" s="40"/>
      <c r="P41" s="40"/>
      <c r="Q41" s="40"/>
    </row>
    <row r="42" spans="2:17" x14ac:dyDescent="0.3">
      <c r="B42" s="37" t="s">
        <v>3</v>
      </c>
      <c r="C42" s="23" cm="1">
        <f t="array" ref="C42">SQRT(MMULT(MMULT($E12:$X12,'Primitive Factor Input'!$I$80:$AB$99),TRANSPOSE($E12:$X12)))</f>
        <v>0.13486760276575524</v>
      </c>
      <c r="E42" s="2" t="s">
        <v>43</v>
      </c>
      <c r="F42" s="26" t="s">
        <v>43</v>
      </c>
      <c r="G42" s="61"/>
      <c r="H42" s="26" t="s">
        <v>43</v>
      </c>
      <c r="I42" s="88" t="s">
        <v>43</v>
      </c>
      <c r="J42" s="26">
        <f>$D$29+IF(F42="N/A",0,F42)+IF(H42="N/A",0,I42*H42)+IF(H42="N/A",0,$D$31*C12)+G42-J53</f>
        <v>0</v>
      </c>
      <c r="K42" s="40" t="s">
        <v>92</v>
      </c>
      <c r="L42" s="40"/>
      <c r="M42" s="40"/>
      <c r="N42" s="40"/>
      <c r="O42" s="40"/>
      <c r="P42" s="40"/>
      <c r="Q42" s="40"/>
    </row>
    <row r="43" spans="2:17" x14ac:dyDescent="0.3">
      <c r="B43" s="38" t="s">
        <v>4</v>
      </c>
      <c r="C43" s="24" cm="1">
        <f t="array" ref="C43">SQRT(MMULT(MMULT($E13:$X13,'Primitive Factor Input'!$I$80:$AB$99),TRANSPOSE($E13:$X13)))</f>
        <v>0.16745873474928574</v>
      </c>
      <c r="E43" s="45">
        <f>C43/$C$43*'Summarized Output'!Q8</f>
        <v>1</v>
      </c>
      <c r="F43" s="27">
        <f>E43*$D$30</f>
        <v>0.04</v>
      </c>
      <c r="G43" s="62"/>
      <c r="H43" s="24" t="s">
        <v>43</v>
      </c>
      <c r="I43" s="24" t="s">
        <v>43</v>
      </c>
      <c r="J43" s="27">
        <f>$D$29+IF(F43="N/A",0,F43)+IF(H43="N/A",0,I43*H43)+IF(H43="N/A",0,$D$31*C13)+G43</f>
        <v>0.06</v>
      </c>
      <c r="K43" s="41"/>
      <c r="L43" s="41"/>
      <c r="M43" s="41"/>
      <c r="N43" s="41"/>
      <c r="O43" s="41"/>
      <c r="P43" s="41"/>
      <c r="Q43" s="41"/>
    </row>
    <row r="44" spans="2:17" x14ac:dyDescent="0.3">
      <c r="B44" s="38" t="s">
        <v>5</v>
      </c>
      <c r="C44" s="24" cm="1">
        <f t="array" ref="C44">SQRT(MMULT(MMULT($E14:$X14,'Primitive Factor Input'!$I$80:$AB$99),TRANSPOSE($E14:$X14)))</f>
        <v>0.20140740249674266</v>
      </c>
      <c r="E44" s="45">
        <f>C44/$C$43*'Summarized Output'!Q9</f>
        <v>1.063835899888163</v>
      </c>
      <c r="F44" s="27">
        <f>E44*$D$30</f>
        <v>4.2553435995526516E-2</v>
      </c>
      <c r="G44" s="62"/>
      <c r="H44" s="24" t="s">
        <v>43</v>
      </c>
      <c r="I44" s="24" t="s">
        <v>43</v>
      </c>
      <c r="J44" s="27">
        <f>$D$29+IF(F44="N/A",0,F44)+IF(H44="N/A",0,I44*H44)+IF(H44="N/A",0,$D$31*C14)+G44</f>
        <v>6.2553435995526513E-2</v>
      </c>
      <c r="K44" s="41"/>
      <c r="L44" s="41"/>
      <c r="M44" s="41"/>
      <c r="N44" s="41"/>
      <c r="O44" s="41"/>
      <c r="P44" s="41"/>
      <c r="Q44" s="41"/>
    </row>
    <row r="45" spans="2:17" x14ac:dyDescent="0.3">
      <c r="B45" s="38" t="s">
        <v>6</v>
      </c>
      <c r="C45" s="24" cm="1">
        <f t="array" ref="C45">SQRT(MMULT(MMULT($E15:$X15,'Primitive Factor Input'!$I$80:$AB$99),TRANSPOSE($E15:$X15)))</f>
        <v>0.18856635093755458</v>
      </c>
      <c r="E45" s="54">
        <v>1</v>
      </c>
      <c r="F45" s="27">
        <f>E45*$D$30</f>
        <v>0.04</v>
      </c>
      <c r="G45" s="62"/>
      <c r="H45" s="24" t="s">
        <v>43</v>
      </c>
      <c r="I45" s="24" t="s">
        <v>43</v>
      </c>
      <c r="J45" s="27">
        <f>$D$29+IF(F45="N/A",0,F45)+IF(H45="N/A",0,I45*H45)+IF(H45="N/A",0,$D$31*C15)+G45</f>
        <v>0.06</v>
      </c>
      <c r="K45" s="41" t="s">
        <v>88</v>
      </c>
      <c r="L45" s="41"/>
      <c r="M45" s="41"/>
      <c r="N45" s="41"/>
      <c r="O45" s="41"/>
      <c r="P45" s="41"/>
      <c r="Q45" s="41"/>
    </row>
    <row r="46" spans="2:17" x14ac:dyDescent="0.3">
      <c r="B46" s="38" t="s">
        <v>7</v>
      </c>
      <c r="C46" s="24" cm="1">
        <f t="array" ref="C46">SQRT(MMULT(MMULT($E16:$X16,'Primitive Factor Input'!$I$80:$AB$99),TRANSPOSE($E16:$X16)))</f>
        <v>0.206620777763417</v>
      </c>
      <c r="E46" s="45">
        <f>C46/$C$43*'Summarized Output'!Q11</f>
        <v>0.89997242457934201</v>
      </c>
      <c r="F46" s="27">
        <f>E46*$D$30</f>
        <v>3.5998896983173684E-2</v>
      </c>
      <c r="G46" s="62">
        <v>1.4999999999999999E-2</v>
      </c>
      <c r="H46" s="24" t="s">
        <v>43</v>
      </c>
      <c r="I46" s="24" t="s">
        <v>43</v>
      </c>
      <c r="J46" s="27">
        <f>$D$29+IF(F46="N/A",0,F46)+IF(H46="N/A",0,I46*H46)+IF(H46="N/A",0,$D$31*C16)+G46</f>
        <v>7.0998896983173687E-2</v>
      </c>
      <c r="K46" s="41" t="s">
        <v>89</v>
      </c>
      <c r="L46" s="41"/>
      <c r="M46" s="41"/>
      <c r="N46" s="41"/>
      <c r="O46" s="41"/>
      <c r="P46" s="41"/>
      <c r="Q46" s="41"/>
    </row>
    <row r="47" spans="2:17" x14ac:dyDescent="0.3">
      <c r="B47" s="38" t="s">
        <v>8</v>
      </c>
      <c r="C47" s="24" cm="1">
        <f t="array" ref="C47">SQRT(MMULT(MMULT($E17:$X17,'Primitive Factor Input'!$I$80:$AB$99),TRANSPOSE($E17:$X17)))</f>
        <v>0.18135787928144773</v>
      </c>
      <c r="E47" s="45"/>
      <c r="F47" s="27">
        <f>F43*C57+F45*C58+F46*C59</f>
        <v>3.9521660132132382E-2</v>
      </c>
      <c r="G47" s="62"/>
      <c r="H47" s="24"/>
      <c r="I47" s="24"/>
      <c r="J47" s="27">
        <f>C57*J43+C58*J45+C59*J46</f>
        <v>6.1314940132132373E-2</v>
      </c>
      <c r="K47" s="41" t="s">
        <v>63</v>
      </c>
      <c r="L47" s="41"/>
      <c r="M47" s="41"/>
      <c r="N47" s="41"/>
      <c r="O47" s="41"/>
      <c r="P47" s="41"/>
      <c r="Q47" s="41"/>
    </row>
    <row r="48" spans="2:17" x14ac:dyDescent="0.3">
      <c r="B48" s="38" t="s">
        <v>9</v>
      </c>
      <c r="C48" s="24" cm="1">
        <f t="array" ref="C48">SQRT(MMULT(MMULT($E18:$X18,'Primitive Factor Input'!$I$80:$AB$99),TRANSPOSE($E18:$X18)))</f>
        <v>0.20140740249674266</v>
      </c>
      <c r="E48" s="45">
        <f>C48/$C$43*'Summarized Output'!Q13</f>
        <v>1.063835899888163</v>
      </c>
      <c r="F48" s="27">
        <f>E48*$D$30</f>
        <v>4.2553435995526516E-2</v>
      </c>
      <c r="G48" s="62"/>
      <c r="H48" s="24" t="s">
        <v>43</v>
      </c>
      <c r="I48" s="24" t="s">
        <v>43</v>
      </c>
      <c r="J48" s="27">
        <f t="shared" ref="J48:J53" si="1">$D$29+IF(F48="N/A",0,F48)+IF(H48="N/A",0,I48*H48)+IF(H48="N/A",0,$D$31*C18)+G48</f>
        <v>6.2553435995526513E-2</v>
      </c>
      <c r="K48" s="41"/>
      <c r="L48" s="41"/>
      <c r="M48" s="41"/>
      <c r="N48" s="41"/>
      <c r="O48" s="41"/>
      <c r="P48" s="41"/>
      <c r="Q48" s="41"/>
    </row>
    <row r="49" spans="2:17" x14ac:dyDescent="0.3">
      <c r="B49" s="38" t="s">
        <v>10</v>
      </c>
      <c r="C49" s="24" cm="1">
        <f t="array" ref="C49">SQRT(MMULT(MMULT($E19:$X19,'Primitive Factor Input'!$I$80:$AB$99),TRANSPOSE($E19:$X19)))</f>
        <v>0.18032677085918003</v>
      </c>
      <c r="E49" s="45">
        <f>C49/$C$43*'Summarized Output'!Q14</f>
        <v>0.79392483700443262</v>
      </c>
      <c r="F49" s="27">
        <f>E49*$D$30</f>
        <v>3.1756993480177305E-2</v>
      </c>
      <c r="G49" s="62"/>
      <c r="H49" s="24" t="s">
        <v>43</v>
      </c>
      <c r="I49" s="24" t="s">
        <v>43</v>
      </c>
      <c r="J49" s="27">
        <f t="shared" si="1"/>
        <v>5.1756993480177302E-2</v>
      </c>
      <c r="K49" s="41"/>
      <c r="L49" s="41"/>
      <c r="M49" s="41"/>
      <c r="N49" s="41"/>
      <c r="O49" s="41"/>
      <c r="P49" s="41"/>
      <c r="Q49" s="41"/>
    </row>
    <row r="50" spans="2:17" x14ac:dyDescent="0.3">
      <c r="B50" s="38" t="s">
        <v>11</v>
      </c>
      <c r="C50" s="24" cm="1">
        <f t="array" ref="C50">SQRT(MMULT(MMULT($E20:$X20,'Primitive Factor Input'!$I$80:$AB$99),TRANSPOSE($E20:$X20)))</f>
        <v>8.3709201670707736E-2</v>
      </c>
      <c r="E50" s="45">
        <f>C50/$C$43*'Summarized Output'!Q15</f>
        <v>0.39579839694761149</v>
      </c>
      <c r="F50" s="27">
        <f>E50*$D$30</f>
        <v>1.5831935877904459E-2</v>
      </c>
      <c r="G50" s="62"/>
      <c r="H50" s="24" t="s">
        <v>43</v>
      </c>
      <c r="I50" s="24" t="s">
        <v>43</v>
      </c>
      <c r="J50" s="27">
        <f t="shared" si="1"/>
        <v>3.583193587790446E-2</v>
      </c>
      <c r="K50" s="41"/>
      <c r="L50" s="41"/>
      <c r="M50" s="41"/>
      <c r="N50" s="41"/>
      <c r="O50" s="41"/>
      <c r="P50" s="41"/>
      <c r="Q50" s="41"/>
    </row>
    <row r="51" spans="2:17" x14ac:dyDescent="0.3">
      <c r="B51" s="38" t="s">
        <v>12</v>
      </c>
      <c r="C51" s="24" cm="1">
        <f t="array" ref="C51">SQRT(MMULT(MMULT($E21:$X21,'Primitive Factor Input'!$I$80:$AB$99),TRANSPOSE($E21:$X21)))</f>
        <v>5.3061384336615877E-2</v>
      </c>
      <c r="E51" s="45">
        <f>C51/$C$43*'Summarized Output'!Q16</f>
        <v>0.27150189109498546</v>
      </c>
      <c r="F51" s="27">
        <f>E51*$D$30</f>
        <v>1.0860075643799419E-2</v>
      </c>
      <c r="G51" s="62">
        <v>0.02</v>
      </c>
      <c r="H51" s="24" t="s">
        <v>43</v>
      </c>
      <c r="I51" s="24" t="s">
        <v>43</v>
      </c>
      <c r="J51" s="27">
        <f t="shared" si="1"/>
        <v>5.0860075643799421E-2</v>
      </c>
      <c r="K51" s="41" t="s">
        <v>64</v>
      </c>
      <c r="L51" s="41"/>
      <c r="M51" s="41"/>
      <c r="N51" s="41"/>
      <c r="O51" s="41"/>
      <c r="P51" s="41"/>
      <c r="Q51" s="41"/>
    </row>
    <row r="52" spans="2:17" x14ac:dyDescent="0.3">
      <c r="B52" s="38" t="s">
        <v>13</v>
      </c>
      <c r="C52" s="24" cm="1">
        <f t="array" ref="C52">SQRT(MMULT(MMULT($E22:$X22,'Primitive Factor Input'!$I$80:$AB$99),TRANSPOSE($E22:$X22)))</f>
        <v>0.2537994416650402</v>
      </c>
      <c r="E52" s="45">
        <f>C52/$C$43*'Summarized Output'!Q17</f>
        <v>0.82593214285988648</v>
      </c>
      <c r="F52" s="27">
        <f>E52*$D$30</f>
        <v>3.3037285714395459E-2</v>
      </c>
      <c r="G52" s="62"/>
      <c r="H52" s="24" t="s">
        <v>43</v>
      </c>
      <c r="I52" s="24" t="s">
        <v>43</v>
      </c>
      <c r="J52" s="27">
        <f t="shared" si="1"/>
        <v>5.3037285714395463E-2</v>
      </c>
      <c r="K52" s="41" t="s">
        <v>65</v>
      </c>
      <c r="L52" s="41"/>
      <c r="M52" s="41"/>
      <c r="N52" s="41"/>
      <c r="O52" s="41"/>
      <c r="P52" s="41"/>
      <c r="Q52" s="41"/>
    </row>
    <row r="53" spans="2:17" x14ac:dyDescent="0.3">
      <c r="B53" s="38" t="s">
        <v>14</v>
      </c>
      <c r="C53" s="24" cm="1">
        <f t="array" ref="C53">SQRT(MMULT(MMULT($E23:$X23,'Primitive Factor Input'!$I$80:$AB$99),TRANSPOSE($E23:$X23)))</f>
        <v>9.9999999999999995E-7</v>
      </c>
      <c r="E53" s="45" t="s">
        <v>43</v>
      </c>
      <c r="F53" s="27" t="s">
        <v>43</v>
      </c>
      <c r="G53" s="62"/>
      <c r="H53" s="24" t="s">
        <v>43</v>
      </c>
      <c r="I53" s="24" t="s">
        <v>43</v>
      </c>
      <c r="J53" s="27">
        <f t="shared" si="1"/>
        <v>0.02</v>
      </c>
      <c r="K53" s="41"/>
      <c r="L53" s="41"/>
      <c r="M53" s="41"/>
      <c r="N53" s="41"/>
      <c r="O53" s="41"/>
      <c r="P53" s="41"/>
      <c r="Q53" s="41"/>
    </row>
    <row r="56" spans="2:17" x14ac:dyDescent="0.3">
      <c r="B56" s="20" t="s">
        <v>129</v>
      </c>
    </row>
    <row r="57" spans="2:17" x14ac:dyDescent="0.3">
      <c r="B57" t="s">
        <v>130</v>
      </c>
      <c r="C57" s="35">
        <v>0.61520600000000003</v>
      </c>
    </row>
    <row r="58" spans="2:17" x14ac:dyDescent="0.3">
      <c r="B58" t="s">
        <v>6</v>
      </c>
      <c r="C58" s="35">
        <v>0.26524199999999998</v>
      </c>
    </row>
    <row r="59" spans="2:17" x14ac:dyDescent="0.3">
      <c r="B59" t="s">
        <v>7</v>
      </c>
      <c r="C59" s="35">
        <v>0.11955200000000001</v>
      </c>
    </row>
  </sheetData>
  <mergeCells count="5">
    <mergeCell ref="E3:X3"/>
    <mergeCell ref="G4:J4"/>
    <mergeCell ref="N4:W4"/>
    <mergeCell ref="E4:F4"/>
    <mergeCell ref="K4:M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A18"/>
  <sheetViews>
    <sheetView showGridLines="0" tabSelected="1" topLeftCell="C1" workbookViewId="0">
      <selection activeCell="I2" sqref="I2:J18"/>
    </sheetView>
  </sheetViews>
  <sheetFormatPr defaultRowHeight="14.4" x14ac:dyDescent="0.3"/>
  <cols>
    <col min="2" max="2" width="14" customWidth="1"/>
    <col min="3" max="3" width="24.5546875" bestFit="1" customWidth="1"/>
    <col min="4" max="4" width="4.6640625" customWidth="1"/>
    <col min="5" max="5" width="12.88671875" customWidth="1"/>
    <col min="6" max="6" width="18.6640625" customWidth="1"/>
    <col min="7" max="7" width="17.109375" customWidth="1"/>
    <col min="8" max="8" width="4.6640625" customWidth="1"/>
    <col min="9" max="10" width="7" bestFit="1" customWidth="1"/>
    <col min="11" max="11" width="4.5546875" customWidth="1"/>
    <col min="12" max="22" width="5.109375" bestFit="1" customWidth="1"/>
    <col min="23" max="23" width="4.5546875" bestFit="1" customWidth="1"/>
    <col min="24" max="26" width="5.109375" bestFit="1" customWidth="1"/>
    <col min="27" max="27" width="4.5546875" bestFit="1" customWidth="1"/>
  </cols>
  <sheetData>
    <row r="1" spans="2:27" x14ac:dyDescent="0.3">
      <c r="F1">
        <f t="array" ref="F1">SUM(MMULT(F3:F18,TRANSPOSE(F3:F18))*MMULT(J3:J18,TRANSPOSE(J3:J18))*L3:AA18)^0.5</f>
        <v>0.13809252869673211</v>
      </c>
      <c r="L1" s="223" t="s">
        <v>29</v>
      </c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</row>
    <row r="2" spans="2:27" x14ac:dyDescent="0.3">
      <c r="B2" t="s">
        <v>157</v>
      </c>
      <c r="C2" s="21" t="s">
        <v>40</v>
      </c>
      <c r="E2" s="219" t="s">
        <v>158</v>
      </c>
      <c r="F2" s="220" t="s">
        <v>159</v>
      </c>
      <c r="G2" s="219" t="s">
        <v>154</v>
      </c>
      <c r="I2" s="42" t="s">
        <v>24</v>
      </c>
      <c r="J2" s="42" t="s">
        <v>41</v>
      </c>
      <c r="L2" s="221" t="s">
        <v>66</v>
      </c>
      <c r="M2" s="221" t="s">
        <v>73</v>
      </c>
      <c r="N2" s="221" t="s">
        <v>69</v>
      </c>
      <c r="O2" s="221" t="s">
        <v>75</v>
      </c>
      <c r="P2" s="221" t="s">
        <v>74</v>
      </c>
      <c r="Q2" s="221" t="s">
        <v>76</v>
      </c>
      <c r="R2" s="221" t="s">
        <v>77</v>
      </c>
      <c r="S2" s="221" t="s">
        <v>78</v>
      </c>
      <c r="T2" s="221" t="s">
        <v>70</v>
      </c>
      <c r="U2" s="221" t="s">
        <v>79</v>
      </c>
      <c r="V2" s="221" t="s">
        <v>80</v>
      </c>
      <c r="W2" s="221" t="s">
        <v>81</v>
      </c>
      <c r="X2" s="221" t="s">
        <v>82</v>
      </c>
      <c r="Y2" s="221" t="s">
        <v>67</v>
      </c>
      <c r="Z2" s="221" t="s">
        <v>71</v>
      </c>
      <c r="AA2" s="221" t="s">
        <v>68</v>
      </c>
    </row>
    <row r="3" spans="2:27" x14ac:dyDescent="0.3">
      <c r="B3" s="46" t="s">
        <v>66</v>
      </c>
      <c r="C3" s="36" t="s">
        <v>16</v>
      </c>
      <c r="E3" s="22">
        <f>'Control for FSV'!C28</f>
        <v>-1</v>
      </c>
      <c r="F3" s="22">
        <f>E3*'Factor Loadings'!B23</f>
        <v>-1</v>
      </c>
      <c r="G3" s="22">
        <f>'Factor Loadings'!B8</f>
        <v>1.02</v>
      </c>
      <c r="I3" s="22">
        <f>'Int step - Component Weights'!J38</f>
        <v>3.2500000000000001E-2</v>
      </c>
      <c r="J3" s="22">
        <f>'Int step - Component Weights'!C38</f>
        <v>0.12939590427383135</v>
      </c>
      <c r="L3" s="43">
        <f t="array" ref="L3:AA18">MMULT(MMULT('Int step - Component Weights'!E8:X23,'Primitive Factor Input'!I80:AB99),TRANSPOSE('Int step - Component Weights'!E8:X23))/MMULT('Int step - Component Weights'!C38:C53,TRANSPOSE('Int step - Component Weights'!C38:C53))</f>
        <v>1</v>
      </c>
      <c r="M3" s="209">
        <v>0.90305220936855046</v>
      </c>
      <c r="N3" s="209">
        <v>0.97772567446297154</v>
      </c>
      <c r="O3" s="209">
        <v>0.85470472848977996</v>
      </c>
      <c r="P3" s="209">
        <v>0.89887058745869319</v>
      </c>
      <c r="Q3" s="209">
        <v>-2.610789884255689E-2</v>
      </c>
      <c r="R3" s="209">
        <v>-0.10957898124137076</v>
      </c>
      <c r="S3" s="209">
        <v>-4.7325439527917706E-2</v>
      </c>
      <c r="T3" s="209">
        <v>1.6354698825586575E-3</v>
      </c>
      <c r="U3" s="209">
        <v>-2.4431867693789345E-2</v>
      </c>
      <c r="V3" s="209">
        <v>-0.10957898124137076</v>
      </c>
      <c r="W3" s="209">
        <v>0.30914464723375423</v>
      </c>
      <c r="X3" s="209">
        <v>0.19946529567327262</v>
      </c>
      <c r="Y3" s="209">
        <v>4.2735348236898042E-2</v>
      </c>
      <c r="Z3" s="209">
        <v>-0.17797380200899643</v>
      </c>
      <c r="AA3" s="209">
        <v>0</v>
      </c>
    </row>
    <row r="4" spans="2:27" x14ac:dyDescent="0.3">
      <c r="B4" s="46" t="s">
        <v>73</v>
      </c>
      <c r="C4" s="37" t="s">
        <v>0</v>
      </c>
      <c r="E4" s="23">
        <f>'Control for FSV'!C13</f>
        <v>0.14000000000000001</v>
      </c>
      <c r="F4" s="23">
        <f>E4*'Factor Loadings'!B8</f>
        <v>0.14280000000000001</v>
      </c>
      <c r="G4" s="23">
        <f>'Factor Loadings'!B9</f>
        <v>1.02</v>
      </c>
      <c r="I4" s="23">
        <f>'Int step - Component Weights'!J39</f>
        <v>0.02</v>
      </c>
      <c r="J4" s="23">
        <f>'Int step - Component Weights'!C39</f>
        <v>0.18260184774713295</v>
      </c>
      <c r="L4" s="210">
        <v>0.90305220936855046</v>
      </c>
      <c r="M4" s="44">
        <v>1.0000000000000002</v>
      </c>
      <c r="N4" s="210">
        <v>0.82831892264679852</v>
      </c>
      <c r="O4" s="210">
        <v>0.72837147756969323</v>
      </c>
      <c r="P4" s="210">
        <v>0.99911784020937477</v>
      </c>
      <c r="Q4" s="210">
        <v>-0.32351287917325594</v>
      </c>
      <c r="R4" s="210">
        <v>-0.41315037694604578</v>
      </c>
      <c r="S4" s="210">
        <v>-0.36025513168063861</v>
      </c>
      <c r="T4" s="210">
        <v>-0.29865945326430809</v>
      </c>
      <c r="U4" s="210">
        <v>-0.34807566388405237</v>
      </c>
      <c r="V4" s="210">
        <v>-0.41315037694604578</v>
      </c>
      <c r="W4" s="210">
        <v>2.8032283844567404E-2</v>
      </c>
      <c r="X4" s="210">
        <v>-0.18234928199095315</v>
      </c>
      <c r="Y4" s="210">
        <v>-0.28156438156692476</v>
      </c>
      <c r="Z4" s="210">
        <v>-0.44929008252390795</v>
      </c>
      <c r="AA4" s="210">
        <v>0</v>
      </c>
    </row>
    <row r="5" spans="2:27" x14ac:dyDescent="0.3">
      <c r="B5" s="46" t="s">
        <v>69</v>
      </c>
      <c r="C5" s="37" t="s">
        <v>1</v>
      </c>
      <c r="E5" s="23">
        <f>'Control for FSV'!C14</f>
        <v>0.14000000000000001</v>
      </c>
      <c r="F5" s="23">
        <f>E5*'Factor Loadings'!B9</f>
        <v>0.14280000000000001</v>
      </c>
      <c r="G5" s="23">
        <f>'Factor Loadings'!B10</f>
        <v>1.02</v>
      </c>
      <c r="I5" s="23">
        <f>'Int step - Component Weights'!J40</f>
        <v>2.9175394774999999E-2</v>
      </c>
      <c r="J5" s="23">
        <f>'Int step - Component Weights'!C40</f>
        <v>9.5054537006706311E-2</v>
      </c>
      <c r="L5" s="210">
        <v>0.97772567446297143</v>
      </c>
      <c r="M5" s="210">
        <v>0.82831892264679863</v>
      </c>
      <c r="N5" s="44">
        <v>1</v>
      </c>
      <c r="O5" s="210">
        <v>0.88115085163216234</v>
      </c>
      <c r="P5" s="210">
        <v>0.82873202829533688</v>
      </c>
      <c r="Q5" s="210">
        <v>9.6806814650214526E-2</v>
      </c>
      <c r="R5" s="210">
        <v>1.0557626615579315E-2</v>
      </c>
      <c r="S5" s="210">
        <v>8.0950651567972251E-2</v>
      </c>
      <c r="T5" s="210">
        <v>0.14695292956014547</v>
      </c>
      <c r="U5" s="210">
        <v>0.11130729975127737</v>
      </c>
      <c r="V5" s="210">
        <v>1.0557626615579315E-2</v>
      </c>
      <c r="W5" s="210">
        <v>0.40021317907254789</v>
      </c>
      <c r="X5" s="210">
        <v>0.33654644046571913</v>
      </c>
      <c r="Y5" s="210">
        <v>0.1711845234094273</v>
      </c>
      <c r="Z5" s="210">
        <v>-8.676550879314035E-2</v>
      </c>
      <c r="AA5" s="210">
        <v>0</v>
      </c>
    </row>
    <row r="6" spans="2:27" x14ac:dyDescent="0.3">
      <c r="B6" s="46" t="s">
        <v>75</v>
      </c>
      <c r="C6" s="37" t="s">
        <v>2</v>
      </c>
      <c r="E6" s="23">
        <f>'Control for FSV'!C15</f>
        <v>0</v>
      </c>
      <c r="F6" s="23">
        <f>E6*'Factor Loadings'!B10</f>
        <v>0</v>
      </c>
      <c r="G6" s="23">
        <f>'Factor Loadings'!B11</f>
        <v>1.02</v>
      </c>
      <c r="I6" s="23">
        <f>'Int step - Component Weights'!J41</f>
        <v>2.4669116375000001E-2</v>
      </c>
      <c r="J6" s="23">
        <f>'Int step - Component Weights'!C41</f>
        <v>2.6564545533029758E-2</v>
      </c>
      <c r="L6" s="210">
        <v>0.85470472848977985</v>
      </c>
      <c r="M6" s="210">
        <v>0.728371477569693</v>
      </c>
      <c r="N6" s="210">
        <v>0.88115085163216211</v>
      </c>
      <c r="O6" s="44">
        <v>1</v>
      </c>
      <c r="P6" s="210">
        <v>0.7451628875377807</v>
      </c>
      <c r="Q6" s="210">
        <v>5.3358417988131263E-2</v>
      </c>
      <c r="R6" s="210">
        <v>-2.1762940824218802E-2</v>
      </c>
      <c r="S6" s="210">
        <v>6.0703541214087275E-2</v>
      </c>
      <c r="T6" s="210">
        <v>0.14056242815282968</v>
      </c>
      <c r="U6" s="210">
        <v>8.0302647231619395E-2</v>
      </c>
      <c r="V6" s="210">
        <v>-2.1762940824218802E-2</v>
      </c>
      <c r="W6" s="210">
        <v>0.36114193769508945</v>
      </c>
      <c r="X6" s="210">
        <v>0.31298772077072373</v>
      </c>
      <c r="Y6" s="210">
        <v>0.13117458283455521</v>
      </c>
      <c r="Z6" s="210">
        <v>-8.6793914083264326E-2</v>
      </c>
      <c r="AA6" s="210">
        <v>0</v>
      </c>
    </row>
    <row r="7" spans="2:27" x14ac:dyDescent="0.3">
      <c r="B7" s="46" t="s">
        <v>74</v>
      </c>
      <c r="C7" s="37" t="s">
        <v>3</v>
      </c>
      <c r="E7" s="23">
        <f>'Control for FSV'!C16</f>
        <v>0</v>
      </c>
      <c r="F7" s="23">
        <f>E7*'Factor Loadings'!B11</f>
        <v>0</v>
      </c>
      <c r="G7" s="23">
        <f>'Factor Loadings'!B12</f>
        <v>1.02</v>
      </c>
      <c r="I7" s="23">
        <f>'Int step - Component Weights'!J42</f>
        <v>0</v>
      </c>
      <c r="J7" s="23">
        <f>'Int step - Component Weights'!C42</f>
        <v>0.13486760276575524</v>
      </c>
      <c r="L7" s="210">
        <v>0.89887058745869319</v>
      </c>
      <c r="M7" s="210">
        <v>0.99911784020937477</v>
      </c>
      <c r="N7" s="210">
        <v>0.82873202829533688</v>
      </c>
      <c r="O7" s="210">
        <v>0.7451628875377807</v>
      </c>
      <c r="P7" s="44">
        <v>0.99999999999999978</v>
      </c>
      <c r="Q7" s="210">
        <v>-0.32403987834315678</v>
      </c>
      <c r="R7" s="210">
        <v>-0.41479234473771237</v>
      </c>
      <c r="S7" s="210">
        <v>-0.35822738502017915</v>
      </c>
      <c r="T7" s="210">
        <v>-0.2948705249507701</v>
      </c>
      <c r="U7" s="210">
        <v>-0.34700849855278876</v>
      </c>
      <c r="V7" s="210">
        <v>-0.41479234473771237</v>
      </c>
      <c r="W7" s="210">
        <v>2.7234874888821758E-2</v>
      </c>
      <c r="X7" s="210">
        <v>-0.18262826722981038</v>
      </c>
      <c r="Y7" s="210">
        <v>-0.28443527118656947</v>
      </c>
      <c r="Z7" s="210">
        <v>-0.44790385572871283</v>
      </c>
      <c r="AA7" s="210">
        <v>0</v>
      </c>
    </row>
    <row r="8" spans="2:27" x14ac:dyDescent="0.3">
      <c r="B8" s="46" t="s">
        <v>76</v>
      </c>
      <c r="C8" s="38" t="s">
        <v>4</v>
      </c>
      <c r="E8" s="24">
        <f>'Control for FSV'!C17</f>
        <v>0</v>
      </c>
      <c r="F8" s="24">
        <f>E8*'Factor Loadings'!B12</f>
        <v>0</v>
      </c>
      <c r="G8" s="24">
        <f>'Factor Loadings'!B13</f>
        <v>1.02</v>
      </c>
      <c r="I8" s="24">
        <f>'Int step - Component Weights'!J43</f>
        <v>0.06</v>
      </c>
      <c r="J8" s="24">
        <f>'Int step - Component Weights'!C43</f>
        <v>0.16745873474928574</v>
      </c>
      <c r="L8" s="211">
        <v>-2.610789884255689E-2</v>
      </c>
      <c r="M8" s="211">
        <v>-0.32351287917325594</v>
      </c>
      <c r="N8" s="211">
        <v>9.6806814650214526E-2</v>
      </c>
      <c r="O8" s="211">
        <v>5.3358417988131263E-2</v>
      </c>
      <c r="P8" s="211">
        <v>-0.32403987834315678</v>
      </c>
      <c r="Q8" s="45">
        <v>1</v>
      </c>
      <c r="R8" s="211">
        <v>0.88451869974848985</v>
      </c>
      <c r="S8" s="211">
        <v>0.86823759307453396</v>
      </c>
      <c r="T8" s="211">
        <v>0.72939539363202943</v>
      </c>
      <c r="U8" s="211">
        <v>0.96732574331503252</v>
      </c>
      <c r="V8" s="211">
        <v>0.88451869974848985</v>
      </c>
      <c r="W8" s="211">
        <v>0.73727072279588279</v>
      </c>
      <c r="X8" s="211">
        <v>0.79178749104993351</v>
      </c>
      <c r="Y8" s="211">
        <v>0.85684464763258184</v>
      </c>
      <c r="Z8" s="211">
        <v>0.54495609101702158</v>
      </c>
      <c r="AA8" s="211">
        <v>0</v>
      </c>
    </row>
    <row r="9" spans="2:27" x14ac:dyDescent="0.3">
      <c r="B9" s="46" t="s">
        <v>77</v>
      </c>
      <c r="C9" s="38" t="s">
        <v>5</v>
      </c>
      <c r="E9" s="24">
        <f>'Control for FSV'!C18</f>
        <v>0</v>
      </c>
      <c r="F9" s="24">
        <f>E9*'Factor Loadings'!B13</f>
        <v>0</v>
      </c>
      <c r="G9" s="24">
        <f>'Factor Loadings'!B14</f>
        <v>1.02</v>
      </c>
      <c r="I9" s="24">
        <f>'Int step - Component Weights'!J44</f>
        <v>6.2553435995526513E-2</v>
      </c>
      <c r="J9" s="24">
        <f>'Int step - Component Weights'!C44</f>
        <v>0.20140740249674266</v>
      </c>
      <c r="L9" s="211">
        <v>-0.10957898124137076</v>
      </c>
      <c r="M9" s="211">
        <v>-0.41315037694604578</v>
      </c>
      <c r="N9" s="211">
        <v>1.0557626615579315E-2</v>
      </c>
      <c r="O9" s="211">
        <v>-2.1762940824218802E-2</v>
      </c>
      <c r="P9" s="211">
        <v>-0.41479234473771237</v>
      </c>
      <c r="Q9" s="211">
        <v>0.88451869974848985</v>
      </c>
      <c r="R9" s="45">
        <v>1</v>
      </c>
      <c r="S9" s="211">
        <v>0.79485365038960576</v>
      </c>
      <c r="T9" s="211">
        <v>0.7117918302501004</v>
      </c>
      <c r="U9" s="211">
        <v>0.87853175540758488</v>
      </c>
      <c r="V9" s="211">
        <v>1</v>
      </c>
      <c r="W9" s="211">
        <v>0.68093838344326796</v>
      </c>
      <c r="X9" s="211">
        <v>0.76831557343673451</v>
      </c>
      <c r="Y9" s="211">
        <v>0.84122704870802456</v>
      </c>
      <c r="Z9" s="211">
        <v>0.60267974741864672</v>
      </c>
      <c r="AA9" s="211">
        <v>0</v>
      </c>
    </row>
    <row r="10" spans="2:27" x14ac:dyDescent="0.3">
      <c r="B10" s="46" t="s">
        <v>78</v>
      </c>
      <c r="C10" s="38" t="s">
        <v>6</v>
      </c>
      <c r="E10" s="24">
        <f>'Control for FSV'!C19</f>
        <v>0</v>
      </c>
      <c r="F10" s="24">
        <f>E10*'Factor Loadings'!B14</f>
        <v>0</v>
      </c>
      <c r="G10" s="24">
        <f>'Factor Loadings'!B15</f>
        <v>1.02</v>
      </c>
      <c r="I10" s="24">
        <f>'Int step - Component Weights'!J45</f>
        <v>0.06</v>
      </c>
      <c r="J10" s="24">
        <f>'Int step - Component Weights'!C45</f>
        <v>0.18856635093755458</v>
      </c>
      <c r="L10" s="211">
        <v>-4.7325439527917706E-2</v>
      </c>
      <c r="M10" s="211">
        <v>-0.36025513168063861</v>
      </c>
      <c r="N10" s="211">
        <v>8.0950651567972251E-2</v>
      </c>
      <c r="O10" s="211">
        <v>6.0703541214087275E-2</v>
      </c>
      <c r="P10" s="211">
        <v>-0.35822738502017915</v>
      </c>
      <c r="Q10" s="211">
        <v>0.86823759307453396</v>
      </c>
      <c r="R10" s="211">
        <v>0.79485365038960576</v>
      </c>
      <c r="S10" s="45">
        <v>1.0000000000000002</v>
      </c>
      <c r="T10" s="211">
        <v>0.81726394225001209</v>
      </c>
      <c r="U10" s="211">
        <v>0.95581372982827972</v>
      </c>
      <c r="V10" s="211">
        <v>0.79485365038960576</v>
      </c>
      <c r="W10" s="211">
        <v>0.65643018016876642</v>
      </c>
      <c r="X10" s="211">
        <v>0.77606393614213254</v>
      </c>
      <c r="Y10" s="211">
        <v>0.8396811686257234</v>
      </c>
      <c r="Z10" s="211">
        <v>0.62212438298565398</v>
      </c>
      <c r="AA10" s="211">
        <v>0</v>
      </c>
    </row>
    <row r="11" spans="2:27" x14ac:dyDescent="0.3">
      <c r="B11" s="46" t="s">
        <v>70</v>
      </c>
      <c r="C11" s="38" t="s">
        <v>7</v>
      </c>
      <c r="E11" s="24">
        <f>'Control for FSV'!C20</f>
        <v>0</v>
      </c>
      <c r="F11" s="24">
        <f>E11*'Factor Loadings'!B15</f>
        <v>0</v>
      </c>
      <c r="G11" s="24">
        <f>'Factor Loadings'!B16</f>
        <v>1.02</v>
      </c>
      <c r="I11" s="24">
        <f>'Int step - Component Weights'!J46</f>
        <v>7.0998896983173687E-2</v>
      </c>
      <c r="J11" s="24">
        <f>'Int step - Component Weights'!C46</f>
        <v>0.206620777763417</v>
      </c>
      <c r="L11" s="211">
        <v>1.6354698825586575E-3</v>
      </c>
      <c r="M11" s="211">
        <v>-0.29865945326430809</v>
      </c>
      <c r="N11" s="211">
        <v>0.14695292956014547</v>
      </c>
      <c r="O11" s="211">
        <v>0.14056242815282968</v>
      </c>
      <c r="P11" s="211">
        <v>-0.2948705249507701</v>
      </c>
      <c r="Q11" s="211">
        <v>0.72939539363202943</v>
      </c>
      <c r="R11" s="211">
        <v>0.7117918302501004</v>
      </c>
      <c r="S11" s="211">
        <v>0.81726394225001209</v>
      </c>
      <c r="T11" s="45">
        <v>1</v>
      </c>
      <c r="U11" s="211">
        <v>0.84441130442285073</v>
      </c>
      <c r="V11" s="211">
        <v>0.7117918302501004</v>
      </c>
      <c r="W11" s="211">
        <v>0.56881108702364047</v>
      </c>
      <c r="X11" s="211">
        <v>0.75381544821085977</v>
      </c>
      <c r="Y11" s="211">
        <v>0.76822747677068148</v>
      </c>
      <c r="Z11" s="211">
        <v>0.55839839136518055</v>
      </c>
      <c r="AA11" s="211">
        <v>0</v>
      </c>
    </row>
    <row r="12" spans="2:27" x14ac:dyDescent="0.3">
      <c r="B12" s="46" t="s">
        <v>79</v>
      </c>
      <c r="C12" s="38" t="s">
        <v>8</v>
      </c>
      <c r="E12" s="24">
        <f>'Control for FSV'!C21</f>
        <v>0.43</v>
      </c>
      <c r="F12" s="24">
        <f>E12*'Factor Loadings'!B16</f>
        <v>0.43859999999999999</v>
      </c>
      <c r="G12" s="24">
        <f>'Factor Loadings'!B17</f>
        <v>1.02</v>
      </c>
      <c r="I12" s="24">
        <f>'Int step - Component Weights'!J47</f>
        <v>6.1314940132132373E-2</v>
      </c>
      <c r="J12" s="24">
        <f>'Int step - Component Weights'!C47</f>
        <v>0.18135787928144773</v>
      </c>
      <c r="L12" s="211">
        <v>-2.4431867693789345E-2</v>
      </c>
      <c r="M12" s="211">
        <v>-0.34807566388405237</v>
      </c>
      <c r="N12" s="211">
        <v>0.11130729975127737</v>
      </c>
      <c r="O12" s="211">
        <v>8.0302647231619395E-2</v>
      </c>
      <c r="P12" s="211">
        <v>-0.34700849855278876</v>
      </c>
      <c r="Q12" s="211">
        <v>0.96732574331503252</v>
      </c>
      <c r="R12" s="211">
        <v>0.87853175540758488</v>
      </c>
      <c r="S12" s="211">
        <v>0.95581372982827972</v>
      </c>
      <c r="T12" s="211">
        <v>0.84441130442285073</v>
      </c>
      <c r="U12" s="45">
        <v>0.99999999999999978</v>
      </c>
      <c r="V12" s="211">
        <v>0.87853175540758488</v>
      </c>
      <c r="W12" s="211">
        <v>0.72568127768941793</v>
      </c>
      <c r="X12" s="211">
        <v>0.83136894829653563</v>
      </c>
      <c r="Y12" s="211">
        <v>0.89089946276193788</v>
      </c>
      <c r="Z12" s="211">
        <v>0.61156180217050193</v>
      </c>
      <c r="AA12" s="211">
        <v>0</v>
      </c>
    </row>
    <row r="13" spans="2:27" x14ac:dyDescent="0.3">
      <c r="B13" s="46" t="s">
        <v>80</v>
      </c>
      <c r="C13" s="38" t="s">
        <v>9</v>
      </c>
      <c r="E13" s="24">
        <f>'Control for FSV'!C22</f>
        <v>0.08</v>
      </c>
      <c r="F13" s="24">
        <f>E13*'Factor Loadings'!B17</f>
        <v>8.1600000000000006E-2</v>
      </c>
      <c r="G13" s="24">
        <f>'Factor Loadings'!B18</f>
        <v>1.02</v>
      </c>
      <c r="I13" s="24">
        <f>'Int step - Component Weights'!J48</f>
        <v>6.2553435995526513E-2</v>
      </c>
      <c r="J13" s="24">
        <f>'Int step - Component Weights'!C48</f>
        <v>0.20140740249674266</v>
      </c>
      <c r="L13" s="211">
        <v>-0.10957898124137076</v>
      </c>
      <c r="M13" s="211">
        <v>-0.41315037694604578</v>
      </c>
      <c r="N13" s="211">
        <v>1.0557626615579315E-2</v>
      </c>
      <c r="O13" s="211">
        <v>-2.1762940824218802E-2</v>
      </c>
      <c r="P13" s="211">
        <v>-0.41479234473771237</v>
      </c>
      <c r="Q13" s="211">
        <v>0.88451869974848985</v>
      </c>
      <c r="R13" s="211">
        <v>1</v>
      </c>
      <c r="S13" s="211">
        <v>0.79485365038960576</v>
      </c>
      <c r="T13" s="211">
        <v>0.7117918302501004</v>
      </c>
      <c r="U13" s="211">
        <v>0.87853175540758488</v>
      </c>
      <c r="V13" s="45">
        <v>1</v>
      </c>
      <c r="W13" s="211">
        <v>0.68093838344326796</v>
      </c>
      <c r="X13" s="211">
        <v>0.76831557343673451</v>
      </c>
      <c r="Y13" s="211">
        <v>0.84122704870802456</v>
      </c>
      <c r="Z13" s="211">
        <v>0.60267974741864672</v>
      </c>
      <c r="AA13" s="211">
        <v>0</v>
      </c>
    </row>
    <row r="14" spans="2:27" x14ac:dyDescent="0.3">
      <c r="B14" s="46" t="s">
        <v>81</v>
      </c>
      <c r="C14" s="38" t="s">
        <v>10</v>
      </c>
      <c r="E14" s="24">
        <f>'Control for FSV'!C23</f>
        <v>0.05</v>
      </c>
      <c r="F14" s="24">
        <f>E14*'Factor Loadings'!B18</f>
        <v>5.1000000000000004E-2</v>
      </c>
      <c r="G14" s="24">
        <f>'Factor Loadings'!B19</f>
        <v>1.02</v>
      </c>
      <c r="I14" s="24">
        <f>'Int step - Component Weights'!J49</f>
        <v>5.1756993480177302E-2</v>
      </c>
      <c r="J14" s="24">
        <f>'Int step - Component Weights'!C49</f>
        <v>0.18032677085918003</v>
      </c>
      <c r="L14" s="211">
        <v>0.30914464723375423</v>
      </c>
      <c r="M14" s="211">
        <v>2.8032283844567404E-2</v>
      </c>
      <c r="N14" s="211">
        <v>0.40021317907254789</v>
      </c>
      <c r="O14" s="211">
        <v>0.36114193769508945</v>
      </c>
      <c r="P14" s="211">
        <v>2.7234874888821758E-2</v>
      </c>
      <c r="Q14" s="211">
        <v>0.73727072279588279</v>
      </c>
      <c r="R14" s="211">
        <v>0.68093838344326796</v>
      </c>
      <c r="S14" s="211">
        <v>0.65643018016876642</v>
      </c>
      <c r="T14" s="211">
        <v>0.56881108702364047</v>
      </c>
      <c r="U14" s="211">
        <v>0.72568127768941793</v>
      </c>
      <c r="V14" s="211">
        <v>0.68093838344326796</v>
      </c>
      <c r="W14" s="45">
        <v>1</v>
      </c>
      <c r="X14" s="211">
        <v>0.72177693720786773</v>
      </c>
      <c r="Y14" s="211">
        <v>0.65360264904246423</v>
      </c>
      <c r="Z14" s="211">
        <v>0.39272382279113949</v>
      </c>
      <c r="AA14" s="211">
        <v>0</v>
      </c>
    </row>
    <row r="15" spans="2:27" x14ac:dyDescent="0.3">
      <c r="B15" s="46" t="s">
        <v>82</v>
      </c>
      <c r="C15" s="38" t="s">
        <v>11</v>
      </c>
      <c r="E15" s="24">
        <f>'Control for FSV'!C24</f>
        <v>0.05</v>
      </c>
      <c r="F15" s="24">
        <f>E15*'Factor Loadings'!B19</f>
        <v>5.1000000000000004E-2</v>
      </c>
      <c r="G15" s="24">
        <f>'Factor Loadings'!B20</f>
        <v>1.02</v>
      </c>
      <c r="I15" s="24">
        <f>'Int step - Component Weights'!J50</f>
        <v>3.583193587790446E-2</v>
      </c>
      <c r="J15" s="24">
        <f>'Int step - Component Weights'!C50</f>
        <v>8.3709201670707736E-2</v>
      </c>
      <c r="L15" s="211">
        <v>0.19946529567327262</v>
      </c>
      <c r="M15" s="211">
        <v>-0.18234928199095315</v>
      </c>
      <c r="N15" s="211">
        <v>0.33654644046571913</v>
      </c>
      <c r="O15" s="211">
        <v>0.31298772077072373</v>
      </c>
      <c r="P15" s="211">
        <v>-0.18262826722981038</v>
      </c>
      <c r="Q15" s="211">
        <v>0.79178749104993351</v>
      </c>
      <c r="R15" s="211">
        <v>0.76831557343673451</v>
      </c>
      <c r="S15" s="211">
        <v>0.77606393614213254</v>
      </c>
      <c r="T15" s="211">
        <v>0.75381544821085977</v>
      </c>
      <c r="U15" s="211">
        <v>0.83136894829653563</v>
      </c>
      <c r="V15" s="211">
        <v>0.76831557343673451</v>
      </c>
      <c r="W15" s="211">
        <v>0.72177693720786773</v>
      </c>
      <c r="X15" s="45">
        <v>1</v>
      </c>
      <c r="Y15" s="211">
        <v>0.82092681924692923</v>
      </c>
      <c r="Z15" s="211">
        <v>0.65568547181845882</v>
      </c>
      <c r="AA15" s="211">
        <v>0</v>
      </c>
    </row>
    <row r="16" spans="2:27" x14ac:dyDescent="0.3">
      <c r="B16" s="46" t="s">
        <v>67</v>
      </c>
      <c r="C16" s="38" t="s">
        <v>12</v>
      </c>
      <c r="E16" s="24">
        <f>'Control for FSV'!C25</f>
        <v>0.09</v>
      </c>
      <c r="F16" s="24">
        <f>E16*'Factor Loadings'!B20</f>
        <v>9.1799999999999993E-2</v>
      </c>
      <c r="G16" s="24">
        <f>'Factor Loadings'!B21</f>
        <v>1.02</v>
      </c>
      <c r="I16" s="24">
        <f>'Int step - Component Weights'!J51</f>
        <v>5.0860075643799421E-2</v>
      </c>
      <c r="J16" s="24">
        <f>'Int step - Component Weights'!C51</f>
        <v>5.3061384336615877E-2</v>
      </c>
      <c r="L16" s="211">
        <v>4.2735348236898042E-2</v>
      </c>
      <c r="M16" s="211">
        <v>-0.28156438156692476</v>
      </c>
      <c r="N16" s="211">
        <v>0.1711845234094273</v>
      </c>
      <c r="O16" s="211">
        <v>0.13117458283455521</v>
      </c>
      <c r="P16" s="211">
        <v>-0.28443527118656947</v>
      </c>
      <c r="Q16" s="211">
        <v>0.85684464763258184</v>
      </c>
      <c r="R16" s="211">
        <v>0.84122704870802456</v>
      </c>
      <c r="S16" s="211">
        <v>0.8396811686257234</v>
      </c>
      <c r="T16" s="211">
        <v>0.76822747677068148</v>
      </c>
      <c r="U16" s="211">
        <v>0.89089946276193788</v>
      </c>
      <c r="V16" s="211">
        <v>0.84122704870802456</v>
      </c>
      <c r="W16" s="211">
        <v>0.65360264904246423</v>
      </c>
      <c r="X16" s="211">
        <v>0.82092681924692923</v>
      </c>
      <c r="Y16" s="45">
        <v>1</v>
      </c>
      <c r="Z16" s="211">
        <v>0.63845486818164299</v>
      </c>
      <c r="AA16" s="211">
        <v>0</v>
      </c>
    </row>
    <row r="17" spans="2:27" x14ac:dyDescent="0.3">
      <c r="B17" s="46" t="s">
        <v>71</v>
      </c>
      <c r="C17" s="38" t="s">
        <v>13</v>
      </c>
      <c r="E17" s="24">
        <f>'Control for FSV'!C26</f>
        <v>0</v>
      </c>
      <c r="F17" s="24">
        <f>E17*'Factor Loadings'!B21</f>
        <v>0</v>
      </c>
      <c r="G17" s="24">
        <f>'Factor Loadings'!B22</f>
        <v>1.02</v>
      </c>
      <c r="I17" s="24">
        <f>'Int step - Component Weights'!J52</f>
        <v>5.3037285714395463E-2</v>
      </c>
      <c r="J17" s="24">
        <f>'Int step - Component Weights'!C52</f>
        <v>0.2537994416650402</v>
      </c>
      <c r="L17" s="211">
        <v>-0.17797380200899643</v>
      </c>
      <c r="M17" s="211">
        <v>-0.44929008252390795</v>
      </c>
      <c r="N17" s="211">
        <v>-8.676550879314035E-2</v>
      </c>
      <c r="O17" s="211">
        <v>-8.6793914083264326E-2</v>
      </c>
      <c r="P17" s="211">
        <v>-0.44790385572871283</v>
      </c>
      <c r="Q17" s="211">
        <v>0.54495609101702158</v>
      </c>
      <c r="R17" s="211">
        <v>0.60267974741864672</v>
      </c>
      <c r="S17" s="211">
        <v>0.62212438298565398</v>
      </c>
      <c r="T17" s="211">
        <v>0.55839839136518055</v>
      </c>
      <c r="U17" s="211">
        <v>0.61156180217050193</v>
      </c>
      <c r="V17" s="211">
        <v>0.60267974741864672</v>
      </c>
      <c r="W17" s="211">
        <v>0.39272382279113949</v>
      </c>
      <c r="X17" s="211">
        <v>0.65568547181845882</v>
      </c>
      <c r="Y17" s="211">
        <v>0.63845486818164299</v>
      </c>
      <c r="Z17" s="45">
        <v>1.0000000000000002</v>
      </c>
      <c r="AA17" s="211">
        <v>0</v>
      </c>
    </row>
    <row r="18" spans="2:27" x14ac:dyDescent="0.3">
      <c r="B18" s="46" t="s">
        <v>68</v>
      </c>
      <c r="C18" s="38" t="s">
        <v>14</v>
      </c>
      <c r="E18" s="24">
        <f>'Control for FSV'!C27</f>
        <v>0.02</v>
      </c>
      <c r="F18" s="24">
        <f>E18*'Factor Loadings'!B22</f>
        <v>2.0400000000000001E-2</v>
      </c>
      <c r="G18" s="24">
        <f>'Factor Loadings'!B23</f>
        <v>1</v>
      </c>
      <c r="I18" s="24">
        <f>'Int step - Component Weights'!J53</f>
        <v>0.02</v>
      </c>
      <c r="J18" s="24">
        <f>'Int step - Component Weights'!C53</f>
        <v>9.9999999999999995E-7</v>
      </c>
      <c r="L18" s="211">
        <v>0</v>
      </c>
      <c r="M18" s="211">
        <v>0</v>
      </c>
      <c r="N18" s="211">
        <v>0</v>
      </c>
      <c r="O18" s="211">
        <v>0</v>
      </c>
      <c r="P18" s="211">
        <v>0</v>
      </c>
      <c r="Q18" s="211">
        <v>0</v>
      </c>
      <c r="R18" s="211">
        <v>0</v>
      </c>
      <c r="S18" s="211">
        <v>0</v>
      </c>
      <c r="T18" s="211">
        <v>0</v>
      </c>
      <c r="U18" s="211">
        <v>0</v>
      </c>
      <c r="V18" s="211">
        <v>0</v>
      </c>
      <c r="W18" s="211">
        <v>0</v>
      </c>
      <c r="X18" s="211">
        <v>0</v>
      </c>
      <c r="Y18" s="211">
        <v>0</v>
      </c>
      <c r="Z18" s="211">
        <v>0</v>
      </c>
      <c r="AA18" s="45">
        <v>1</v>
      </c>
    </row>
  </sheetData>
  <mergeCells count="1">
    <mergeCell ref="L1:AA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8"/>
  <sheetViews>
    <sheetView workbookViewId="0">
      <selection activeCell="B3" sqref="B3"/>
    </sheetView>
  </sheetViews>
  <sheetFormatPr defaultColWidth="9.109375" defaultRowHeight="13.2" x14ac:dyDescent="0.25"/>
  <cols>
    <col min="1" max="1" width="25.109375" style="112" bestFit="1" customWidth="1"/>
    <col min="2" max="2" width="24.6640625" style="112" bestFit="1" customWidth="1"/>
    <col min="3" max="3" width="9.109375" style="112"/>
    <col min="4" max="4" width="12.44140625" style="112" bestFit="1" customWidth="1"/>
    <col min="5" max="5" width="10.5546875" style="112" bestFit="1" customWidth="1"/>
    <col min="6" max="7" width="9.109375" style="112"/>
    <col min="8" max="11" width="11" style="112" bestFit="1" customWidth="1"/>
    <col min="12" max="12" width="9.33203125" style="112" bestFit="1" customWidth="1"/>
    <col min="13" max="16384" width="9.109375" style="112"/>
  </cols>
  <sheetData>
    <row r="1" spans="1:14" x14ac:dyDescent="0.25">
      <c r="N1" s="113"/>
    </row>
    <row r="2" spans="1:14" x14ac:dyDescent="0.25">
      <c r="A2" s="114" t="s">
        <v>137</v>
      </c>
      <c r="B2" s="115">
        <v>44408</v>
      </c>
    </row>
    <row r="3" spans="1:14" x14ac:dyDescent="0.25">
      <c r="A3" s="114" t="s">
        <v>138</v>
      </c>
      <c r="B3" s="222">
        <f t="array" ref="B3">SQRT(SUM(MMULT(TRANSPOSE($C$13:$C$28*'Factor Loadings'!B8:B23),'Factor Loadings'!E8:X23)*TRANSPOSE(MMULT(TRANSPOSE($C$13:$C$28*'Factor Loadings'!B8:B23),'Factor Loadings'!E8:X23))*'Primitive Factor Input'!I80:AB99))</f>
        <v>0.13809252869673214</v>
      </c>
    </row>
    <row r="4" spans="1:14" x14ac:dyDescent="0.25">
      <c r="A4" s="114" t="s">
        <v>139</v>
      </c>
      <c r="B4" s="116">
        <v>1.02</v>
      </c>
    </row>
    <row r="5" spans="1:14" x14ac:dyDescent="0.25">
      <c r="A5" s="114" t="s">
        <v>140</v>
      </c>
      <c r="B5" s="117">
        <f>SUMPRODUCT(C13:C16,D13:D16)</f>
        <v>5.7280017199999982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</row>
    <row r="6" spans="1:14" x14ac:dyDescent="0.25">
      <c r="A6" s="114" t="s">
        <v>141</v>
      </c>
      <c r="B6" s="117">
        <f>D28</f>
        <v>20.292029322892667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</row>
    <row r="7" spans="1:14" x14ac:dyDescent="0.25">
      <c r="A7" s="114" t="s">
        <v>142</v>
      </c>
      <c r="B7" s="119">
        <f>B5*Funded_Status/B6</f>
        <v>0.28792397553893984</v>
      </c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11" spans="1:14" ht="14.4" x14ac:dyDescent="0.3">
      <c r="A11" s="120"/>
      <c r="B11" s="241" t="s">
        <v>143</v>
      </c>
      <c r="C11" s="241" t="s">
        <v>144</v>
      </c>
      <c r="D11" s="121"/>
      <c r="E11" s="122" t="s">
        <v>17</v>
      </c>
      <c r="F11" s="122" t="s">
        <v>19</v>
      </c>
      <c r="G11" s="122" t="s">
        <v>145</v>
      </c>
      <c r="H11" s="122" t="s">
        <v>146</v>
      </c>
      <c r="I11"/>
      <c r="J11"/>
    </row>
    <row r="12" spans="1:14" ht="14.4" x14ac:dyDescent="0.3">
      <c r="A12" s="123"/>
      <c r="B12" s="241"/>
      <c r="C12" s="241"/>
      <c r="D12" s="122" t="s">
        <v>147</v>
      </c>
      <c r="E12" s="122" t="s">
        <v>41</v>
      </c>
      <c r="F12" s="122" t="s">
        <v>41</v>
      </c>
      <c r="G12" s="122" t="s">
        <v>41</v>
      </c>
      <c r="H12" s="122" t="s">
        <v>24</v>
      </c>
      <c r="I12"/>
      <c r="J12"/>
    </row>
    <row r="13" spans="1:14" ht="15" customHeight="1" x14ac:dyDescent="0.3">
      <c r="A13" s="242" t="s">
        <v>148</v>
      </c>
      <c r="B13" s="124" t="s">
        <v>0</v>
      </c>
      <c r="C13" s="125">
        <v>0.14000000000000001</v>
      </c>
      <c r="D13" s="126">
        <f>'Primitive Factor Input'!$C$16</f>
        <v>25.46306899999999</v>
      </c>
      <c r="E13" s="127">
        <f>'Primitive Factor Input'!$F$59*10000</f>
        <v>71.712427024068873</v>
      </c>
      <c r="F13" s="127">
        <v>0</v>
      </c>
      <c r="G13" s="128" t="s">
        <v>43</v>
      </c>
      <c r="H13" s="129">
        <f>'Int step - Component Weights'!$J39</f>
        <v>0.02</v>
      </c>
      <c r="I13"/>
      <c r="J13"/>
    </row>
    <row r="14" spans="1:14" ht="14.4" x14ac:dyDescent="0.3">
      <c r="A14" s="243"/>
      <c r="B14" s="124" t="s">
        <v>1</v>
      </c>
      <c r="C14" s="125">
        <v>0.14000000000000001</v>
      </c>
      <c r="D14" s="126">
        <f>'Primitive Factor Input'!$C$17</f>
        <v>15.451228999999993</v>
      </c>
      <c r="E14" s="127">
        <f>'Primitive Factor Input'!$F$60*10000</f>
        <v>68.084621732249644</v>
      </c>
      <c r="F14" s="127">
        <f>'Primitive Factor Input'!$F$64*10000</f>
        <v>38.547834976033464</v>
      </c>
      <c r="G14" s="128" t="s">
        <v>43</v>
      </c>
      <c r="H14" s="129">
        <f>'Int step - Component Weights'!$J40</f>
        <v>2.9175394774999999E-2</v>
      </c>
      <c r="I14"/>
      <c r="J14"/>
    </row>
    <row r="15" spans="1:14" ht="14.4" x14ac:dyDescent="0.3">
      <c r="A15" s="244"/>
      <c r="B15" s="124" t="s">
        <v>2</v>
      </c>
      <c r="C15" s="125"/>
      <c r="D15" s="126">
        <f>'Primitive Factor Input'!$C$18</f>
        <v>4.5725780000000009</v>
      </c>
      <c r="E15" s="127">
        <f>'Primitive Factor Input'!$F$61*10000</f>
        <v>60.462438512280201</v>
      </c>
      <c r="F15" s="127">
        <f>'Primitive Factor Input'!$F$61*10000</f>
        <v>60.462438512280201</v>
      </c>
      <c r="G15" s="128" t="s">
        <v>43</v>
      </c>
      <c r="H15" s="129">
        <f>'Int step - Component Weights'!$J41</f>
        <v>2.4669116375000001E-2</v>
      </c>
      <c r="I15"/>
      <c r="J15"/>
    </row>
    <row r="16" spans="1:14" ht="14.4" x14ac:dyDescent="0.3">
      <c r="A16" s="130" t="s">
        <v>149</v>
      </c>
      <c r="B16" s="131" t="s">
        <v>3</v>
      </c>
      <c r="C16" s="125"/>
      <c r="D16" s="132">
        <f>'Primitive Factor Input'!$C$19</f>
        <v>19.400993</v>
      </c>
      <c r="E16" s="133">
        <f>'Primitive Factor Input'!$F$62*10000</f>
        <v>69.51582466204448</v>
      </c>
      <c r="F16" s="133">
        <v>0</v>
      </c>
      <c r="G16" s="134" t="s">
        <v>43</v>
      </c>
      <c r="H16" s="135">
        <f>'Int step - Component Weights'!$J42</f>
        <v>0</v>
      </c>
      <c r="I16"/>
      <c r="J16"/>
    </row>
    <row r="17" spans="1:12" ht="14.4" x14ac:dyDescent="0.3">
      <c r="A17" s="242" t="s">
        <v>150</v>
      </c>
      <c r="B17" s="136" t="s">
        <v>4</v>
      </c>
      <c r="C17" s="125"/>
      <c r="D17" s="137" t="s">
        <v>43</v>
      </c>
      <c r="E17" s="137" t="s">
        <v>43</v>
      </c>
      <c r="F17" s="137" t="s">
        <v>43</v>
      </c>
      <c r="G17" s="138">
        <f>'Primitive Factor Input'!$F66</f>
        <v>0.16745873474928574</v>
      </c>
      <c r="H17" s="138">
        <f>'Int step - Component Weights'!$J43</f>
        <v>0.06</v>
      </c>
      <c r="I17"/>
      <c r="J17"/>
    </row>
    <row r="18" spans="1:12" ht="14.4" x14ac:dyDescent="0.3">
      <c r="A18" s="243"/>
      <c r="B18" s="136" t="s">
        <v>5</v>
      </c>
      <c r="C18" s="125"/>
      <c r="D18" s="137" t="s">
        <v>43</v>
      </c>
      <c r="E18" s="137" t="s">
        <v>43</v>
      </c>
      <c r="F18" s="137" t="s">
        <v>43</v>
      </c>
      <c r="G18" s="138">
        <f>'Primitive Factor Input'!$F67</f>
        <v>0.20140740249674263</v>
      </c>
      <c r="H18" s="138">
        <f>'Int step - Component Weights'!$J44</f>
        <v>6.2553435995526513E-2</v>
      </c>
      <c r="I18"/>
      <c r="J18"/>
    </row>
    <row r="19" spans="1:12" ht="14.4" x14ac:dyDescent="0.3">
      <c r="A19" s="243"/>
      <c r="B19" s="136" t="s">
        <v>6</v>
      </c>
      <c r="C19" s="125"/>
      <c r="D19" s="137" t="s">
        <v>43</v>
      </c>
      <c r="E19" s="137" t="s">
        <v>43</v>
      </c>
      <c r="F19" s="137" t="s">
        <v>43</v>
      </c>
      <c r="G19" s="138">
        <f>'Primitive Factor Input'!$F68</f>
        <v>0.18856635093755461</v>
      </c>
      <c r="H19" s="138">
        <f>'Int step - Component Weights'!$J45</f>
        <v>0.06</v>
      </c>
      <c r="I19"/>
      <c r="J19"/>
    </row>
    <row r="20" spans="1:12" ht="14.4" x14ac:dyDescent="0.3">
      <c r="A20" s="243"/>
      <c r="B20" s="136" t="s">
        <v>7</v>
      </c>
      <c r="C20" s="125"/>
      <c r="D20" s="137" t="s">
        <v>43</v>
      </c>
      <c r="E20" s="137" t="s">
        <v>43</v>
      </c>
      <c r="F20" s="137" t="s">
        <v>43</v>
      </c>
      <c r="G20" s="138">
        <f>'Primitive Factor Input'!$F69</f>
        <v>0.20662077776341703</v>
      </c>
      <c r="H20" s="138">
        <f>'Int step - Component Weights'!$J46</f>
        <v>7.0998896983173687E-2</v>
      </c>
      <c r="I20"/>
      <c r="J20"/>
    </row>
    <row r="21" spans="1:12" ht="14.4" x14ac:dyDescent="0.3">
      <c r="A21" s="243"/>
      <c r="B21" s="136" t="s">
        <v>8</v>
      </c>
      <c r="C21" s="125">
        <v>0.43</v>
      </c>
      <c r="D21" s="137" t="s">
        <v>43</v>
      </c>
      <c r="E21" s="137" t="s">
        <v>43</v>
      </c>
      <c r="F21" s="137" t="s">
        <v>43</v>
      </c>
      <c r="G21" s="138">
        <f>'Primitive Factor Input'!$F70</f>
        <v>0.1813578792814477</v>
      </c>
      <c r="H21" s="138">
        <f>'Int step - Component Weights'!$J47</f>
        <v>6.1314940132132373E-2</v>
      </c>
      <c r="I21"/>
      <c r="J21"/>
    </row>
    <row r="22" spans="1:12" ht="14.4" x14ac:dyDescent="0.3">
      <c r="A22" s="243"/>
      <c r="B22" s="136" t="s">
        <v>9</v>
      </c>
      <c r="C22" s="125">
        <v>0.08</v>
      </c>
      <c r="D22" s="137" t="s">
        <v>43</v>
      </c>
      <c r="E22" s="137" t="s">
        <v>43</v>
      </c>
      <c r="F22" s="137" t="s">
        <v>43</v>
      </c>
      <c r="G22" s="138">
        <f>'Primitive Factor Input'!$F71</f>
        <v>0.20140740249674263</v>
      </c>
      <c r="H22" s="138">
        <f>'Int step - Component Weights'!$J48</f>
        <v>6.2553435995526513E-2</v>
      </c>
      <c r="I22"/>
      <c r="J22"/>
    </row>
    <row r="23" spans="1:12" ht="12.75" customHeight="1" x14ac:dyDescent="0.3">
      <c r="A23" s="243"/>
      <c r="B23" s="136" t="s">
        <v>10</v>
      </c>
      <c r="C23" s="125">
        <v>0.05</v>
      </c>
      <c r="D23" s="137" t="s">
        <v>43</v>
      </c>
      <c r="E23" s="137" t="s">
        <v>43</v>
      </c>
      <c r="F23" s="137" t="s">
        <v>43</v>
      </c>
      <c r="G23" s="138">
        <f>'Primitive Factor Input'!$F72</f>
        <v>0.18032677085918003</v>
      </c>
      <c r="H23" s="138">
        <f>'Int step - Component Weights'!$J49</f>
        <v>5.1756993480177302E-2</v>
      </c>
      <c r="I23"/>
      <c r="J23"/>
    </row>
    <row r="24" spans="1:12" ht="14.4" x14ac:dyDescent="0.3">
      <c r="A24" s="243"/>
      <c r="B24" s="136" t="s">
        <v>11</v>
      </c>
      <c r="C24" s="125">
        <v>0.05</v>
      </c>
      <c r="D24" s="137" t="s">
        <v>43</v>
      </c>
      <c r="E24" s="137" t="s">
        <v>43</v>
      </c>
      <c r="F24" s="137" t="s">
        <v>43</v>
      </c>
      <c r="G24" s="138">
        <f>'Primitive Factor Input'!$F73</f>
        <v>8.3709201670707736E-2</v>
      </c>
      <c r="H24" s="138">
        <f>'Int step - Component Weights'!$J50</f>
        <v>3.583193587790446E-2</v>
      </c>
      <c r="I24"/>
      <c r="J24"/>
    </row>
    <row r="25" spans="1:12" ht="14.4" x14ac:dyDescent="0.3">
      <c r="A25" s="243"/>
      <c r="B25" s="136" t="s">
        <v>12</v>
      </c>
      <c r="C25" s="125">
        <v>0.09</v>
      </c>
      <c r="D25" s="137" t="s">
        <v>43</v>
      </c>
      <c r="E25" s="137" t="s">
        <v>43</v>
      </c>
      <c r="F25" s="137" t="s">
        <v>43</v>
      </c>
      <c r="G25" s="138">
        <f>'Primitive Factor Input'!$F74</f>
        <v>5.3061384336615877E-2</v>
      </c>
      <c r="H25" s="138">
        <f>'Int step - Component Weights'!$J51</f>
        <v>5.0860075643799421E-2</v>
      </c>
      <c r="I25"/>
      <c r="J25"/>
    </row>
    <row r="26" spans="1:12" ht="14.4" x14ac:dyDescent="0.3">
      <c r="A26" s="244"/>
      <c r="B26" s="136" t="s">
        <v>13</v>
      </c>
      <c r="C26" s="125"/>
      <c r="D26" s="137" t="s">
        <v>43</v>
      </c>
      <c r="E26" s="137" t="s">
        <v>43</v>
      </c>
      <c r="F26" s="137" t="s">
        <v>43</v>
      </c>
      <c r="G26" s="138">
        <f>'Primitive Factor Input'!$F75</f>
        <v>0.2537994416650402</v>
      </c>
      <c r="H26" s="138">
        <f>'Int step - Component Weights'!$J52</f>
        <v>5.3037285714395463E-2</v>
      </c>
      <c r="I26"/>
      <c r="J26"/>
    </row>
    <row r="27" spans="1:12" ht="14.4" x14ac:dyDescent="0.3">
      <c r="A27" s="130" t="s">
        <v>14</v>
      </c>
      <c r="B27" s="131" t="s">
        <v>14</v>
      </c>
      <c r="C27" s="125">
        <v>0.02</v>
      </c>
      <c r="D27" s="139" t="s">
        <v>43</v>
      </c>
      <c r="E27" s="139" t="s">
        <v>43</v>
      </c>
      <c r="F27" s="139" t="s">
        <v>43</v>
      </c>
      <c r="G27" s="140">
        <v>0</v>
      </c>
      <c r="H27" s="140">
        <f>'Int step - Component Weights'!$J53</f>
        <v>0.02</v>
      </c>
      <c r="I27"/>
      <c r="J27"/>
    </row>
    <row r="28" spans="1:12" ht="14.4" x14ac:dyDescent="0.3">
      <c r="A28" s="141" t="s">
        <v>16</v>
      </c>
      <c r="B28" s="142" t="s">
        <v>15</v>
      </c>
      <c r="C28" s="143">
        <v>-1</v>
      </c>
      <c r="D28" s="144">
        <f>'Primitive Factor Input'!$C$15</f>
        <v>20.292029322892667</v>
      </c>
      <c r="E28" s="145">
        <f>'Primitive Factor Input'!$F$57*10000</f>
        <v>69.838693014654311</v>
      </c>
      <c r="F28" s="145">
        <f>'Primitive Factor Input'!$F$58*10000</f>
        <v>30.348234287568442</v>
      </c>
      <c r="G28" s="146"/>
      <c r="H28" s="147">
        <f>'Int step - Component Weights'!$J$38</f>
        <v>3.2500000000000001E-2</v>
      </c>
      <c r="I28"/>
      <c r="J28"/>
    </row>
    <row r="30" spans="1:12" x14ac:dyDescent="0.25">
      <c r="B30" s="142" t="s">
        <v>151</v>
      </c>
      <c r="C30" s="148">
        <f>SUM(C13:C27)-C16</f>
        <v>1</v>
      </c>
      <c r="H30" s="218">
        <f>SUMPRODUCT(C13:C27,H13:H27)</f>
        <v>4.7611107680805072E-2</v>
      </c>
    </row>
    <row r="32" spans="1:12" x14ac:dyDescent="0.25">
      <c r="A32" s="245"/>
      <c r="B32" s="245"/>
      <c r="C32" s="245"/>
      <c r="D32" s="245"/>
      <c r="E32" s="245"/>
      <c r="F32" s="245"/>
      <c r="G32" s="245"/>
      <c r="H32" s="245"/>
      <c r="I32" s="245"/>
      <c r="J32" s="245"/>
      <c r="K32" s="245"/>
      <c r="L32" s="245"/>
    </row>
    <row r="33" spans="1:12" x14ac:dyDescent="0.25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</row>
    <row r="34" spans="1:12" x14ac:dyDescent="0.25">
      <c r="A34" s="149"/>
      <c r="B34" s="149"/>
      <c r="C34" s="149"/>
      <c r="D34" s="149"/>
      <c r="E34" s="149"/>
      <c r="F34" s="149"/>
      <c r="G34" s="149"/>
      <c r="H34" s="149"/>
      <c r="I34" s="149"/>
      <c r="J34" s="149"/>
      <c r="K34" s="149"/>
      <c r="L34" s="149"/>
    </row>
    <row r="35" spans="1:12" x14ac:dyDescent="0.25">
      <c r="A35" s="149"/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</row>
    <row r="36" spans="1:12" x14ac:dyDescent="0.25">
      <c r="A36" s="149"/>
      <c r="B36" s="149"/>
      <c r="C36" s="149"/>
      <c r="D36" s="149"/>
      <c r="E36" s="149"/>
      <c r="F36" s="149"/>
      <c r="G36" s="149"/>
      <c r="H36" s="149"/>
      <c r="I36" s="149"/>
      <c r="J36" s="149"/>
      <c r="K36" s="149"/>
      <c r="L36" s="149"/>
    </row>
    <row r="37" spans="1:12" x14ac:dyDescent="0.25">
      <c r="A37" s="149"/>
      <c r="B37" s="149"/>
      <c r="C37" s="149"/>
      <c r="D37" s="149"/>
      <c r="E37" s="149"/>
      <c r="F37" s="149"/>
      <c r="G37" s="149"/>
      <c r="H37" s="149"/>
      <c r="I37" s="149"/>
      <c r="J37" s="149"/>
      <c r="K37" s="149"/>
      <c r="L37" s="149"/>
    </row>
    <row r="38" spans="1:12" x14ac:dyDescent="0.25">
      <c r="A38" s="149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</row>
  </sheetData>
  <mergeCells count="5">
    <mergeCell ref="B11:B12"/>
    <mergeCell ref="C11:C12"/>
    <mergeCell ref="A13:A15"/>
    <mergeCell ref="A17:A26"/>
    <mergeCell ref="A32:L32"/>
  </mergeCells>
  <conditionalFormatting sqref="C13:C27">
    <cfRule type="expression" dxfId="0" priority="1">
      <formula>OR(C13&lt;#REF!-0.0005,C13&gt;#REF!+0.0005)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X25"/>
  <sheetViews>
    <sheetView workbookViewId="0">
      <selection activeCell="G43" sqref="G43"/>
    </sheetView>
  </sheetViews>
  <sheetFormatPr defaultColWidth="9.109375" defaultRowHeight="13.8" x14ac:dyDescent="0.25"/>
  <cols>
    <col min="1" max="1" width="3.5546875" style="150" customWidth="1"/>
    <col min="2" max="2" width="13.44140625" style="150" customWidth="1"/>
    <col min="3" max="3" width="14.109375" style="150" customWidth="1"/>
    <col min="4" max="4" width="31.6640625" style="150" bestFit="1" customWidth="1"/>
    <col min="5" max="6" width="9.109375" style="150"/>
    <col min="7" max="7" width="15.6640625" style="150" customWidth="1"/>
    <col min="8" max="10" width="18.6640625" style="150" customWidth="1"/>
    <col min="11" max="11" width="13.33203125" style="150" customWidth="1"/>
    <col min="12" max="13" width="17.6640625" style="150" customWidth="1"/>
    <col min="14" max="19" width="13.44140625" style="150" customWidth="1"/>
    <col min="20" max="20" width="15" style="150" customWidth="1"/>
    <col min="21" max="21" width="16.109375" style="150" customWidth="1"/>
    <col min="22" max="23" width="13.44140625" style="150" customWidth="1"/>
    <col min="24" max="24" width="13.5546875" style="150" customWidth="1"/>
    <col min="25" max="16384" width="9.109375" style="150"/>
  </cols>
  <sheetData>
    <row r="2" spans="2:24" ht="14.4" thickBot="1" x14ac:dyDescent="0.3"/>
    <row r="3" spans="2:24" x14ac:dyDescent="0.25">
      <c r="B3" s="246" t="s">
        <v>152</v>
      </c>
      <c r="C3" s="248" t="s">
        <v>153</v>
      </c>
      <c r="D3" s="250" t="s">
        <v>154</v>
      </c>
      <c r="E3" s="252" t="s">
        <v>15</v>
      </c>
      <c r="F3" s="237"/>
      <c r="G3" s="230" t="s">
        <v>20</v>
      </c>
      <c r="H3" s="231"/>
      <c r="I3" s="231"/>
      <c r="J3" s="232"/>
      <c r="K3" s="238" t="s">
        <v>21</v>
      </c>
      <c r="L3" s="239"/>
      <c r="M3" s="240"/>
      <c r="N3" s="233" t="s">
        <v>22</v>
      </c>
      <c r="O3" s="234"/>
      <c r="P3" s="234"/>
      <c r="Q3" s="234"/>
      <c r="R3" s="234"/>
      <c r="S3" s="234"/>
      <c r="T3" s="234"/>
      <c r="U3" s="234"/>
      <c r="V3" s="234"/>
      <c r="W3" s="235"/>
      <c r="X3" s="5" t="s">
        <v>156</v>
      </c>
    </row>
    <row r="4" spans="2:24" ht="15" customHeight="1" x14ac:dyDescent="0.25">
      <c r="B4" s="247"/>
      <c r="C4" s="249"/>
      <c r="D4" s="251"/>
      <c r="E4" s="151"/>
      <c r="F4" s="152"/>
      <c r="G4" s="153"/>
      <c r="H4" s="153"/>
      <c r="I4" s="153"/>
      <c r="J4" s="154"/>
      <c r="K4" s="155"/>
      <c r="L4" s="155"/>
      <c r="M4" s="155"/>
      <c r="N4" s="156"/>
      <c r="O4" s="157"/>
      <c r="P4" s="157"/>
      <c r="Q4" s="157"/>
      <c r="R4" s="157"/>
      <c r="S4" s="157"/>
      <c r="T4" s="157"/>
      <c r="U4" s="157"/>
      <c r="V4" s="157"/>
      <c r="W4" s="158"/>
      <c r="X4" s="159"/>
    </row>
    <row r="5" spans="2:24" ht="41.4" x14ac:dyDescent="0.25">
      <c r="B5" s="247"/>
      <c r="C5" s="249"/>
      <c r="D5" s="251"/>
      <c r="E5" s="151" t="s">
        <v>16</v>
      </c>
      <c r="F5" s="6" t="s">
        <v>16</v>
      </c>
      <c r="G5" s="160" t="str">
        <f t="array" ref="G5:J5">TRANSPOSE(D8:D11)</f>
        <v>15+ STRIPS</v>
      </c>
      <c r="H5" s="160" t="str">
        <v>Long Corporate</v>
      </c>
      <c r="I5" s="160" t="str">
        <v>Int Corporate</v>
      </c>
      <c r="J5" s="8" t="str">
        <v>Ultra 30-Year UST Futures</v>
      </c>
      <c r="K5" s="161" t="str">
        <f t="array" ref="K5:M5">TRANSPOSE(D8:D10)</f>
        <v>15+ STRIPS</v>
      </c>
      <c r="L5" s="161" t="str">
        <v>Long Corporate</v>
      </c>
      <c r="M5" s="161" t="str">
        <v>Int Corporate</v>
      </c>
      <c r="N5" s="10" t="str">
        <f t="array" ref="N5:X5">TRANSPOSE(D12:D22)</f>
        <v xml:space="preserve">S&amp;P 500 </v>
      </c>
      <c r="O5" s="162" t="str">
        <v xml:space="preserve">Russell 2000 </v>
      </c>
      <c r="P5" s="162" t="str">
        <v>MSCI EAFE</v>
      </c>
      <c r="Q5" s="162" t="str">
        <v>MSCI Emerging Markets</v>
      </c>
      <c r="R5" s="162" t="str">
        <v>MSCI ACWI</v>
      </c>
      <c r="S5" s="162" t="str">
        <v>Private Equity</v>
      </c>
      <c r="T5" s="162" t="str">
        <v>Dow Jones REIT</v>
      </c>
      <c r="U5" s="162" t="str">
        <v>Barclays HY</v>
      </c>
      <c r="V5" s="162" t="str">
        <v>Global HF</v>
      </c>
      <c r="W5" s="12" t="str">
        <v>GS Commodity</v>
      </c>
      <c r="X5" s="13" t="str">
        <v>Cash</v>
      </c>
    </row>
    <row r="6" spans="2:24" x14ac:dyDescent="0.25">
      <c r="B6" s="247"/>
      <c r="C6" s="249"/>
      <c r="D6" s="251"/>
      <c r="E6" s="151" t="s">
        <v>17</v>
      </c>
      <c r="F6" s="6" t="s">
        <v>19</v>
      </c>
      <c r="G6" s="160" t="s">
        <v>17</v>
      </c>
      <c r="H6" s="160" t="s">
        <v>17</v>
      </c>
      <c r="I6" s="160" t="s">
        <v>17</v>
      </c>
      <c r="J6" s="8" t="s">
        <v>17</v>
      </c>
      <c r="K6" s="161" t="s">
        <v>19</v>
      </c>
      <c r="L6" s="161" t="s">
        <v>19</v>
      </c>
      <c r="M6" s="161" t="s">
        <v>155</v>
      </c>
      <c r="N6" s="14" t="s">
        <v>23</v>
      </c>
      <c r="O6" s="163" t="s">
        <v>23</v>
      </c>
      <c r="P6" s="163" t="s">
        <v>23</v>
      </c>
      <c r="Q6" s="163" t="s">
        <v>23</v>
      </c>
      <c r="R6" s="163" t="s">
        <v>23</v>
      </c>
      <c r="S6" s="163" t="s">
        <v>23</v>
      </c>
      <c r="T6" s="163" t="s">
        <v>23</v>
      </c>
      <c r="U6" s="163" t="s">
        <v>23</v>
      </c>
      <c r="V6" s="163" t="s">
        <v>23</v>
      </c>
      <c r="W6" s="16" t="s">
        <v>23</v>
      </c>
      <c r="X6" s="17" t="s">
        <v>23</v>
      </c>
    </row>
    <row r="7" spans="2:24" x14ac:dyDescent="0.25">
      <c r="B7" s="247"/>
      <c r="C7" s="249"/>
      <c r="D7" s="251"/>
      <c r="E7" s="164" t="s">
        <v>18</v>
      </c>
      <c r="F7" s="165" t="s">
        <v>18</v>
      </c>
      <c r="G7" s="166" t="s">
        <v>18</v>
      </c>
      <c r="H7" s="166" t="s">
        <v>18</v>
      </c>
      <c r="I7" s="167" t="s">
        <v>18</v>
      </c>
      <c r="J7" s="168" t="s">
        <v>18</v>
      </c>
      <c r="K7" s="169" t="s">
        <v>18</v>
      </c>
      <c r="L7" s="169" t="s">
        <v>18</v>
      </c>
      <c r="M7" s="169" t="s">
        <v>18</v>
      </c>
      <c r="N7" s="170" t="s">
        <v>24</v>
      </c>
      <c r="O7" s="171" t="s">
        <v>24</v>
      </c>
      <c r="P7" s="171" t="s">
        <v>24</v>
      </c>
      <c r="Q7" s="171" t="s">
        <v>24</v>
      </c>
      <c r="R7" s="171" t="s">
        <v>24</v>
      </c>
      <c r="S7" s="171" t="s">
        <v>24</v>
      </c>
      <c r="T7" s="171" t="s">
        <v>24</v>
      </c>
      <c r="U7" s="171" t="s">
        <v>24</v>
      </c>
      <c r="V7" s="171" t="s">
        <v>24</v>
      </c>
      <c r="W7" s="172" t="s">
        <v>24</v>
      </c>
      <c r="X7" s="173" t="s">
        <v>24</v>
      </c>
    </row>
    <row r="8" spans="2:24" x14ac:dyDescent="0.25">
      <c r="B8" s="174">
        <f t="shared" ref="B8:B22" si="0">Funded_Status</f>
        <v>1.02</v>
      </c>
      <c r="C8" s="175">
        <f>'Control for FSV'!D13</f>
        <v>25.46306899999999</v>
      </c>
      <c r="D8" s="176" t="str">
        <f>[1]Control!B13</f>
        <v>15+ STRIPS</v>
      </c>
      <c r="E8" s="177">
        <v>0</v>
      </c>
      <c r="F8" s="178">
        <v>0</v>
      </c>
      <c r="G8" s="214">
        <f>C8</f>
        <v>25.46306899999999</v>
      </c>
      <c r="H8" s="177">
        <v>0</v>
      </c>
      <c r="I8" s="177">
        <v>0</v>
      </c>
      <c r="J8" s="178">
        <v>0</v>
      </c>
      <c r="K8" s="214">
        <f>G8</f>
        <v>25.46306899999999</v>
      </c>
      <c r="L8" s="177">
        <f t="shared" ref="L8:M11" si="1">H8</f>
        <v>0</v>
      </c>
      <c r="M8" s="177">
        <f t="shared" si="1"/>
        <v>0</v>
      </c>
      <c r="N8" s="179">
        <v>0</v>
      </c>
      <c r="O8" s="177">
        <v>0</v>
      </c>
      <c r="P8" s="177">
        <v>0</v>
      </c>
      <c r="Q8" s="177">
        <v>0</v>
      </c>
      <c r="R8" s="177">
        <v>0</v>
      </c>
      <c r="S8" s="177">
        <v>0</v>
      </c>
      <c r="T8" s="177">
        <v>0</v>
      </c>
      <c r="U8" s="177">
        <v>0</v>
      </c>
      <c r="V8" s="177">
        <v>0</v>
      </c>
      <c r="W8" s="178">
        <v>0</v>
      </c>
      <c r="X8" s="180">
        <v>0</v>
      </c>
    </row>
    <row r="9" spans="2:24" x14ac:dyDescent="0.25">
      <c r="B9" s="181">
        <f t="shared" si="0"/>
        <v>1.02</v>
      </c>
      <c r="C9" s="182">
        <f>'Control for FSV'!D14</f>
        <v>15.451228999999993</v>
      </c>
      <c r="D9" s="183" t="str">
        <f>[1]Control!B14</f>
        <v>Long Corporate</v>
      </c>
      <c r="E9" s="184">
        <v>0</v>
      </c>
      <c r="F9" s="152">
        <v>0</v>
      </c>
      <c r="G9" s="184">
        <v>0</v>
      </c>
      <c r="H9" s="215">
        <f>C9</f>
        <v>15.451228999999993</v>
      </c>
      <c r="I9" s="185">
        <v>0</v>
      </c>
      <c r="J9" s="185">
        <v>0</v>
      </c>
      <c r="K9" s="184">
        <f t="shared" ref="K9:K11" si="2">G9</f>
        <v>0</v>
      </c>
      <c r="L9" s="215">
        <f t="shared" si="1"/>
        <v>15.451228999999993</v>
      </c>
      <c r="M9" s="185">
        <f t="shared" si="1"/>
        <v>0</v>
      </c>
      <c r="N9" s="184">
        <v>0</v>
      </c>
      <c r="O9" s="186">
        <v>0</v>
      </c>
      <c r="P9" s="186">
        <v>0</v>
      </c>
      <c r="Q9" s="186">
        <v>0</v>
      </c>
      <c r="R9" s="186">
        <v>0</v>
      </c>
      <c r="S9" s="186">
        <v>0</v>
      </c>
      <c r="T9" s="186">
        <v>0</v>
      </c>
      <c r="U9" s="186">
        <v>0</v>
      </c>
      <c r="V9" s="186">
        <v>0</v>
      </c>
      <c r="W9" s="152">
        <v>0</v>
      </c>
      <c r="X9" s="187">
        <v>0</v>
      </c>
    </row>
    <row r="10" spans="2:24" x14ac:dyDescent="0.25">
      <c r="B10" s="181">
        <f t="shared" si="0"/>
        <v>1.02</v>
      </c>
      <c r="C10" s="182">
        <f>'Control for FSV'!D15</f>
        <v>4.5725780000000009</v>
      </c>
      <c r="D10" s="150" t="str">
        <f>[1]Control!B15</f>
        <v>Int Corporate</v>
      </c>
      <c r="E10" s="184">
        <v>0</v>
      </c>
      <c r="F10" s="152">
        <v>0</v>
      </c>
      <c r="G10" s="184">
        <v>0</v>
      </c>
      <c r="H10" s="185">
        <v>0</v>
      </c>
      <c r="I10" s="215">
        <f>C10</f>
        <v>4.5725780000000009</v>
      </c>
      <c r="J10" s="185">
        <v>0</v>
      </c>
      <c r="K10" s="184">
        <f t="shared" si="2"/>
        <v>0</v>
      </c>
      <c r="L10" s="185">
        <f t="shared" si="1"/>
        <v>0</v>
      </c>
      <c r="M10" s="215">
        <f t="shared" si="1"/>
        <v>4.5725780000000009</v>
      </c>
      <c r="N10" s="184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52">
        <v>0</v>
      </c>
      <c r="X10" s="187">
        <v>0</v>
      </c>
    </row>
    <row r="11" spans="2:24" x14ac:dyDescent="0.25">
      <c r="B11" s="181">
        <f t="shared" si="0"/>
        <v>1.02</v>
      </c>
      <c r="C11" s="182">
        <f>'Control for FSV'!D16</f>
        <v>19.400993</v>
      </c>
      <c r="D11" s="188" t="str">
        <f>[1]Control!B16</f>
        <v>Ultra 30-Year UST Futures</v>
      </c>
      <c r="E11" s="184">
        <v>0</v>
      </c>
      <c r="F11" s="152">
        <v>0</v>
      </c>
      <c r="G11" s="184">
        <v>0</v>
      </c>
      <c r="H11" s="185">
        <v>0</v>
      </c>
      <c r="I11" s="185">
        <v>0</v>
      </c>
      <c r="J11" s="215">
        <f>C11</f>
        <v>19.400993</v>
      </c>
      <c r="K11" s="184">
        <f t="shared" si="2"/>
        <v>0</v>
      </c>
      <c r="L11" s="185">
        <f t="shared" si="1"/>
        <v>0</v>
      </c>
      <c r="M11" s="185">
        <f t="shared" si="1"/>
        <v>0</v>
      </c>
      <c r="N11" s="184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52">
        <v>0</v>
      </c>
      <c r="X11" s="187">
        <v>0</v>
      </c>
    </row>
    <row r="12" spans="2:24" x14ac:dyDescent="0.25">
      <c r="B12" s="174">
        <f t="shared" si="0"/>
        <v>1.02</v>
      </c>
      <c r="C12" s="189">
        <v>1</v>
      </c>
      <c r="D12" s="190" t="str">
        <f>[1]Control!B17</f>
        <v xml:space="preserve">S&amp;P 500 </v>
      </c>
      <c r="E12" s="179">
        <v>0</v>
      </c>
      <c r="F12" s="178">
        <v>0</v>
      </c>
      <c r="G12" s="179">
        <v>0</v>
      </c>
      <c r="H12" s="177">
        <v>0</v>
      </c>
      <c r="I12" s="177">
        <v>0</v>
      </c>
      <c r="J12" s="177">
        <v>0</v>
      </c>
      <c r="K12" s="179">
        <v>0</v>
      </c>
      <c r="L12" s="177">
        <v>0</v>
      </c>
      <c r="M12" s="177">
        <v>0</v>
      </c>
      <c r="N12" s="216">
        <v>1</v>
      </c>
      <c r="O12" s="177">
        <v>0</v>
      </c>
      <c r="P12" s="177">
        <v>0</v>
      </c>
      <c r="Q12" s="177">
        <v>0</v>
      </c>
      <c r="R12" s="177">
        <v>0</v>
      </c>
      <c r="S12" s="177">
        <v>0</v>
      </c>
      <c r="T12" s="177">
        <v>0</v>
      </c>
      <c r="U12" s="177">
        <v>0</v>
      </c>
      <c r="V12" s="177">
        <v>0</v>
      </c>
      <c r="W12" s="178">
        <v>0</v>
      </c>
      <c r="X12" s="180">
        <v>0</v>
      </c>
    </row>
    <row r="13" spans="2:24" x14ac:dyDescent="0.25">
      <c r="B13" s="181">
        <f t="shared" si="0"/>
        <v>1.02</v>
      </c>
      <c r="C13" s="191">
        <v>1</v>
      </c>
      <c r="D13" s="150" t="str">
        <f>[1]Control!B18</f>
        <v xml:space="preserve">Russell 2000 </v>
      </c>
      <c r="E13" s="184">
        <v>0</v>
      </c>
      <c r="F13" s="152">
        <v>0</v>
      </c>
      <c r="G13" s="184">
        <v>0</v>
      </c>
      <c r="H13" s="186">
        <v>0</v>
      </c>
      <c r="I13" s="186">
        <v>0</v>
      </c>
      <c r="J13" s="186">
        <v>0</v>
      </c>
      <c r="K13" s="184">
        <v>0</v>
      </c>
      <c r="L13" s="186">
        <v>0</v>
      </c>
      <c r="M13" s="186">
        <v>0</v>
      </c>
      <c r="N13" s="184">
        <v>0</v>
      </c>
      <c r="O13" s="151">
        <v>1</v>
      </c>
      <c r="P13" s="186">
        <v>0</v>
      </c>
      <c r="Q13" s="186">
        <v>0</v>
      </c>
      <c r="R13" s="186">
        <v>0</v>
      </c>
      <c r="S13" s="186">
        <v>0</v>
      </c>
      <c r="T13" s="186">
        <v>0</v>
      </c>
      <c r="U13" s="186">
        <v>0</v>
      </c>
      <c r="V13" s="186">
        <v>0</v>
      </c>
      <c r="W13" s="152">
        <v>0</v>
      </c>
      <c r="X13" s="187">
        <v>0</v>
      </c>
    </row>
    <row r="14" spans="2:24" x14ac:dyDescent="0.25">
      <c r="B14" s="181">
        <f t="shared" si="0"/>
        <v>1.02</v>
      </c>
      <c r="C14" s="191">
        <v>1</v>
      </c>
      <c r="D14" s="150" t="str">
        <f>[1]Control!B19</f>
        <v>MSCI EAFE</v>
      </c>
      <c r="E14" s="184">
        <v>0</v>
      </c>
      <c r="F14" s="152">
        <v>0</v>
      </c>
      <c r="G14" s="184">
        <v>0</v>
      </c>
      <c r="H14" s="186">
        <v>0</v>
      </c>
      <c r="I14" s="186">
        <v>0</v>
      </c>
      <c r="J14" s="186">
        <v>0</v>
      </c>
      <c r="K14" s="184">
        <v>0</v>
      </c>
      <c r="L14" s="186">
        <v>0</v>
      </c>
      <c r="M14" s="186">
        <v>0</v>
      </c>
      <c r="N14" s="184">
        <v>0</v>
      </c>
      <c r="O14" s="186">
        <v>0</v>
      </c>
      <c r="P14" s="151">
        <v>1</v>
      </c>
      <c r="Q14" s="186">
        <v>0</v>
      </c>
      <c r="R14" s="186">
        <v>0</v>
      </c>
      <c r="S14" s="186">
        <v>0</v>
      </c>
      <c r="T14" s="186">
        <v>0</v>
      </c>
      <c r="U14" s="186">
        <v>0</v>
      </c>
      <c r="V14" s="186">
        <v>0</v>
      </c>
      <c r="W14" s="152">
        <v>0</v>
      </c>
      <c r="X14" s="187">
        <v>0</v>
      </c>
    </row>
    <row r="15" spans="2:24" x14ac:dyDescent="0.25">
      <c r="B15" s="181">
        <f t="shared" si="0"/>
        <v>1.02</v>
      </c>
      <c r="C15" s="191">
        <v>1</v>
      </c>
      <c r="D15" s="150" t="str">
        <f>[1]Control!B20</f>
        <v>MSCI Emerging Markets</v>
      </c>
      <c r="E15" s="184">
        <v>0</v>
      </c>
      <c r="F15" s="152">
        <v>0</v>
      </c>
      <c r="G15" s="184">
        <v>0</v>
      </c>
      <c r="H15" s="186">
        <v>0</v>
      </c>
      <c r="I15" s="186">
        <v>0</v>
      </c>
      <c r="J15" s="186">
        <v>0</v>
      </c>
      <c r="K15" s="184">
        <v>0</v>
      </c>
      <c r="L15" s="186">
        <v>0</v>
      </c>
      <c r="M15" s="186">
        <v>0</v>
      </c>
      <c r="N15" s="184">
        <v>0</v>
      </c>
      <c r="O15" s="186">
        <v>0</v>
      </c>
      <c r="P15" s="186">
        <v>0</v>
      </c>
      <c r="Q15" s="151">
        <v>1</v>
      </c>
      <c r="R15" s="186">
        <v>0</v>
      </c>
      <c r="S15" s="186">
        <v>0</v>
      </c>
      <c r="T15" s="186">
        <v>0</v>
      </c>
      <c r="U15" s="186">
        <v>0</v>
      </c>
      <c r="V15" s="186">
        <v>0</v>
      </c>
      <c r="W15" s="152">
        <v>0</v>
      </c>
      <c r="X15" s="187">
        <v>0</v>
      </c>
    </row>
    <row r="16" spans="2:24" x14ac:dyDescent="0.25">
      <c r="B16" s="181">
        <f t="shared" si="0"/>
        <v>1.02</v>
      </c>
      <c r="C16" s="191">
        <v>1</v>
      </c>
      <c r="D16" s="150" t="str">
        <f>[1]Control!B21</f>
        <v>MSCI ACWI</v>
      </c>
      <c r="E16" s="184">
        <v>0</v>
      </c>
      <c r="F16" s="152">
        <v>0</v>
      </c>
      <c r="G16" s="184">
        <v>0</v>
      </c>
      <c r="H16" s="186">
        <v>0</v>
      </c>
      <c r="I16" s="186">
        <v>0</v>
      </c>
      <c r="J16" s="186">
        <v>0</v>
      </c>
      <c r="K16" s="184">
        <v>0</v>
      </c>
      <c r="L16" s="186">
        <v>0</v>
      </c>
      <c r="M16" s="186">
        <v>0</v>
      </c>
      <c r="N16" s="184">
        <v>0</v>
      </c>
      <c r="O16" s="186">
        <v>0</v>
      </c>
      <c r="P16" s="186">
        <v>0</v>
      </c>
      <c r="Q16" s="186">
        <v>0</v>
      </c>
      <c r="R16" s="151">
        <v>1</v>
      </c>
      <c r="S16" s="186">
        <v>0</v>
      </c>
      <c r="T16" s="186">
        <v>0</v>
      </c>
      <c r="U16" s="186">
        <v>0</v>
      </c>
      <c r="V16" s="186">
        <v>0</v>
      </c>
      <c r="W16" s="152">
        <v>0</v>
      </c>
      <c r="X16" s="187">
        <v>0</v>
      </c>
    </row>
    <row r="17" spans="2:24" x14ac:dyDescent="0.25">
      <c r="B17" s="181">
        <f t="shared" si="0"/>
        <v>1.02</v>
      </c>
      <c r="C17" s="191">
        <v>1</v>
      </c>
      <c r="D17" s="150" t="str">
        <f>[1]Control!B22</f>
        <v>Private Equity</v>
      </c>
      <c r="E17" s="184">
        <v>0</v>
      </c>
      <c r="F17" s="152">
        <v>0</v>
      </c>
      <c r="G17" s="184">
        <v>0</v>
      </c>
      <c r="H17" s="186">
        <v>0</v>
      </c>
      <c r="I17" s="186">
        <v>0</v>
      </c>
      <c r="J17" s="186">
        <v>0</v>
      </c>
      <c r="K17" s="184">
        <v>0</v>
      </c>
      <c r="L17" s="186">
        <v>0</v>
      </c>
      <c r="M17" s="186">
        <v>0</v>
      </c>
      <c r="N17" s="184">
        <v>0</v>
      </c>
      <c r="O17" s="186">
        <v>0</v>
      </c>
      <c r="P17" s="186">
        <v>0</v>
      </c>
      <c r="Q17" s="186">
        <v>0</v>
      </c>
      <c r="R17" s="186">
        <v>0</v>
      </c>
      <c r="S17" s="151">
        <v>1</v>
      </c>
      <c r="T17" s="186">
        <v>0</v>
      </c>
      <c r="U17" s="186">
        <v>0</v>
      </c>
      <c r="V17" s="186">
        <v>0</v>
      </c>
      <c r="W17" s="152">
        <v>0</v>
      </c>
      <c r="X17" s="187">
        <v>0</v>
      </c>
    </row>
    <row r="18" spans="2:24" x14ac:dyDescent="0.25">
      <c r="B18" s="181">
        <f t="shared" si="0"/>
        <v>1.02</v>
      </c>
      <c r="C18" s="191">
        <v>1</v>
      </c>
      <c r="D18" s="183" t="str">
        <f>[1]Control!B23</f>
        <v>Dow Jones REIT</v>
      </c>
      <c r="E18" s="184">
        <v>0</v>
      </c>
      <c r="F18" s="152">
        <v>0</v>
      </c>
      <c r="G18" s="184">
        <v>0</v>
      </c>
      <c r="H18" s="186">
        <v>0</v>
      </c>
      <c r="I18" s="186">
        <v>0</v>
      </c>
      <c r="J18" s="186">
        <v>0</v>
      </c>
      <c r="K18" s="184">
        <v>0</v>
      </c>
      <c r="L18" s="186">
        <v>0</v>
      </c>
      <c r="M18" s="186">
        <v>0</v>
      </c>
      <c r="N18" s="184">
        <v>0</v>
      </c>
      <c r="O18" s="186">
        <v>0</v>
      </c>
      <c r="P18" s="186">
        <v>0</v>
      </c>
      <c r="Q18" s="186">
        <v>0</v>
      </c>
      <c r="R18" s="186">
        <v>0</v>
      </c>
      <c r="S18" s="186">
        <v>0</v>
      </c>
      <c r="T18" s="151">
        <v>1</v>
      </c>
      <c r="U18" s="186">
        <v>0</v>
      </c>
      <c r="V18" s="186">
        <v>0</v>
      </c>
      <c r="W18" s="152">
        <v>0</v>
      </c>
      <c r="X18" s="187">
        <v>0</v>
      </c>
    </row>
    <row r="19" spans="2:24" x14ac:dyDescent="0.25">
      <c r="B19" s="181">
        <f t="shared" si="0"/>
        <v>1.02</v>
      </c>
      <c r="C19" s="191">
        <v>1</v>
      </c>
      <c r="D19" s="183" t="str">
        <f>[1]Control!B24</f>
        <v>Barclays HY</v>
      </c>
      <c r="E19" s="184">
        <v>0</v>
      </c>
      <c r="F19" s="152">
        <v>0</v>
      </c>
      <c r="G19" s="184">
        <v>0</v>
      </c>
      <c r="H19" s="186">
        <v>0</v>
      </c>
      <c r="I19" s="186">
        <v>0</v>
      </c>
      <c r="J19" s="186">
        <v>0</v>
      </c>
      <c r="K19" s="184">
        <v>0</v>
      </c>
      <c r="L19" s="186">
        <v>0</v>
      </c>
      <c r="M19" s="186">
        <v>0</v>
      </c>
      <c r="N19" s="184">
        <v>0</v>
      </c>
      <c r="O19" s="186">
        <v>0</v>
      </c>
      <c r="P19" s="186">
        <v>0</v>
      </c>
      <c r="Q19" s="186">
        <v>0</v>
      </c>
      <c r="R19" s="186">
        <v>0</v>
      </c>
      <c r="S19" s="186">
        <v>0</v>
      </c>
      <c r="T19" s="186">
        <v>0</v>
      </c>
      <c r="U19" s="151">
        <v>1</v>
      </c>
      <c r="V19" s="186">
        <v>0</v>
      </c>
      <c r="W19" s="152">
        <v>0</v>
      </c>
      <c r="X19" s="187">
        <v>0</v>
      </c>
    </row>
    <row r="20" spans="2:24" x14ac:dyDescent="0.25">
      <c r="B20" s="181">
        <f t="shared" si="0"/>
        <v>1.02</v>
      </c>
      <c r="C20" s="191">
        <v>1</v>
      </c>
      <c r="D20" s="183" t="str">
        <f>[1]Control!B25</f>
        <v>Global HF</v>
      </c>
      <c r="E20" s="184">
        <v>0</v>
      </c>
      <c r="F20" s="152">
        <v>0</v>
      </c>
      <c r="G20" s="184">
        <v>0</v>
      </c>
      <c r="H20" s="186">
        <v>0</v>
      </c>
      <c r="I20" s="186">
        <v>0</v>
      </c>
      <c r="J20" s="186">
        <v>0</v>
      </c>
      <c r="K20" s="184">
        <v>0</v>
      </c>
      <c r="L20" s="186">
        <v>0</v>
      </c>
      <c r="M20" s="186">
        <v>0</v>
      </c>
      <c r="N20" s="184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51">
        <v>1</v>
      </c>
      <c r="W20" s="152">
        <v>0</v>
      </c>
      <c r="X20" s="187">
        <v>0</v>
      </c>
    </row>
    <row r="21" spans="2:24" x14ac:dyDescent="0.25">
      <c r="B21" s="181">
        <f t="shared" si="0"/>
        <v>1.02</v>
      </c>
      <c r="C21" s="191">
        <v>1</v>
      </c>
      <c r="D21" s="183" t="str">
        <f>[1]Control!B26</f>
        <v>GS Commodity</v>
      </c>
      <c r="E21" s="184">
        <v>0</v>
      </c>
      <c r="F21" s="152">
        <v>0</v>
      </c>
      <c r="G21" s="184">
        <v>0</v>
      </c>
      <c r="H21" s="186">
        <v>0</v>
      </c>
      <c r="I21" s="186">
        <v>0</v>
      </c>
      <c r="J21" s="186">
        <v>0</v>
      </c>
      <c r="K21" s="184">
        <v>0</v>
      </c>
      <c r="L21" s="186">
        <v>0</v>
      </c>
      <c r="M21" s="186">
        <v>0</v>
      </c>
      <c r="N21" s="184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6">
        <v>1</v>
      </c>
      <c r="X21" s="187">
        <v>0</v>
      </c>
    </row>
    <row r="22" spans="2:24" x14ac:dyDescent="0.25">
      <c r="B22" s="181">
        <f t="shared" si="0"/>
        <v>1.02</v>
      </c>
      <c r="C22" s="191">
        <v>1</v>
      </c>
      <c r="D22" s="183" t="str">
        <f>[1]Control!B27</f>
        <v>Cash</v>
      </c>
      <c r="E22" s="184">
        <v>0</v>
      </c>
      <c r="F22" s="152">
        <v>0</v>
      </c>
      <c r="G22" s="184">
        <v>0</v>
      </c>
      <c r="H22" s="186">
        <v>0</v>
      </c>
      <c r="I22" s="186">
        <v>0</v>
      </c>
      <c r="J22" s="186">
        <v>0</v>
      </c>
      <c r="K22" s="184">
        <v>0</v>
      </c>
      <c r="L22" s="186">
        <v>0</v>
      </c>
      <c r="M22" s="186">
        <v>0</v>
      </c>
      <c r="N22" s="184">
        <v>0</v>
      </c>
      <c r="O22" s="186">
        <v>0</v>
      </c>
      <c r="P22" s="186">
        <v>0</v>
      </c>
      <c r="Q22" s="186">
        <v>0</v>
      </c>
      <c r="R22" s="186">
        <v>0</v>
      </c>
      <c r="S22" s="186">
        <v>0</v>
      </c>
      <c r="T22" s="186">
        <v>0</v>
      </c>
      <c r="U22" s="186">
        <v>0</v>
      </c>
      <c r="V22" s="186">
        <v>0</v>
      </c>
      <c r="W22" s="152">
        <v>0</v>
      </c>
      <c r="X22" s="217">
        <v>1</v>
      </c>
    </row>
    <row r="23" spans="2:24" ht="14.4" thickBot="1" x14ac:dyDescent="0.3">
      <c r="B23" s="192">
        <v>1</v>
      </c>
      <c r="C23" s="193">
        <f>'Control for FSV'!D28</f>
        <v>20.292029322892667</v>
      </c>
      <c r="D23" s="194" t="s">
        <v>15</v>
      </c>
      <c r="E23" s="212">
        <f t="array" ref="E23:F23">Liability_OAD</f>
        <v>20.292029322892667</v>
      </c>
      <c r="F23" s="213">
        <v>20.292029322892667</v>
      </c>
      <c r="G23" s="195">
        <v>0</v>
      </c>
      <c r="H23" s="196">
        <v>0</v>
      </c>
      <c r="I23" s="196">
        <v>0</v>
      </c>
      <c r="J23" s="196">
        <v>0</v>
      </c>
      <c r="K23" s="195">
        <v>0</v>
      </c>
      <c r="L23" s="196">
        <v>0</v>
      </c>
      <c r="M23" s="196">
        <v>0</v>
      </c>
      <c r="N23" s="195">
        <v>0</v>
      </c>
      <c r="O23" s="196">
        <v>0</v>
      </c>
      <c r="P23" s="196">
        <v>0</v>
      </c>
      <c r="Q23" s="196">
        <v>0</v>
      </c>
      <c r="R23" s="196">
        <v>0</v>
      </c>
      <c r="S23" s="196">
        <v>0</v>
      </c>
      <c r="T23" s="196">
        <v>0</v>
      </c>
      <c r="U23" s="196">
        <v>0</v>
      </c>
      <c r="V23" s="196">
        <v>0</v>
      </c>
      <c r="W23" s="197">
        <v>0</v>
      </c>
      <c r="X23" s="198">
        <v>0</v>
      </c>
    </row>
    <row r="25" spans="2:24" x14ac:dyDescent="0.25">
      <c r="B25" s="199"/>
      <c r="C25" s="199"/>
      <c r="D25" s="199"/>
    </row>
  </sheetData>
  <mergeCells count="7">
    <mergeCell ref="B3:B7"/>
    <mergeCell ref="C3:C7"/>
    <mergeCell ref="D3:D7"/>
    <mergeCell ref="K3:M3"/>
    <mergeCell ref="N3:W3"/>
    <mergeCell ref="E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Primitive Factor Input</vt:lpstr>
      <vt:lpstr>Int step - Component Weights</vt:lpstr>
      <vt:lpstr>Summarized Output</vt:lpstr>
      <vt:lpstr>Control for FSV</vt:lpstr>
      <vt:lpstr>Factor Loadings</vt:lpstr>
      <vt:lpstr>Funded_Status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Scholz</dc:creator>
  <cp:lastModifiedBy>Forjoe Powis (NVG9HXP)</cp:lastModifiedBy>
  <dcterms:created xsi:type="dcterms:W3CDTF">2021-08-30T20:34:41Z</dcterms:created>
  <dcterms:modified xsi:type="dcterms:W3CDTF">2022-07-18T03:07:01Z</dcterms:modified>
</cp:coreProperties>
</file>