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D0B524F3-17F7-4CA8-B46A-C92D98B6E175}" xr6:coauthVersionLast="47" xr6:coauthVersionMax="47" xr10:uidLastSave="{00000000-0000-0000-0000-000000000000}"/>
  <bookViews>
    <workbookView xWindow="19090" yWindow="-110" windowWidth="38620" windowHeight="21220" firstSheet="5" activeTab="9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network_vds" sheetId="22" state="hidden" r:id="rId5"/>
    <sheet name="dashboard" sheetId="1" r:id="rId6"/>
    <sheet name="quickview" sheetId="29" state="hidden" r:id="rId7"/>
    <sheet name="search" sheetId="27" state="hidden" r:id="rId8"/>
    <sheet name="fileoverview" sheetId="31" r:id="rId9"/>
    <sheet name="diff" sheetId="19" r:id="rId10"/>
    <sheet name="keywords" sheetId="30" state="hidden" r:id="rId11"/>
    <sheet name="Notes" sheetId="17" r:id="rId12"/>
    <sheet name="template" sheetId="16" state="hidden" r:id="rId13"/>
  </sheets>
  <definedNames>
    <definedName name="ExternalData_1" localSheetId="5" hidden="1">dashboard!$R$4:$W$5</definedName>
    <definedName name="ExternalData_1" localSheetId="8" hidden="1">fileoverview!$A$1:$E$9</definedName>
    <definedName name="ExternalData_1" localSheetId="3" hidden="1">hosts!$A$1:$M$29</definedName>
    <definedName name="ExternalData_2" localSheetId="2" hidden="1">files!$A$1:$F$9</definedName>
    <definedName name="ExternalData_2" localSheetId="7" hidden="1">search!$A$1:$D$9</definedName>
    <definedName name="ExternalData_3" localSheetId="2" hidden="1">files!$H$1:$M$9</definedName>
    <definedName name="ExternalData_3" localSheetId="6" hidden="1">quickview!$A$1:$C$9</definedName>
    <definedName name="ExternalData_4" localSheetId="9" hidden="1">diff!$N$2:$O$4</definedName>
    <definedName name="ExternalData_5" localSheetId="4" hidden="1">network_vds!$A$1:$M$54</definedName>
    <definedName name="ExternalData_6" localSheetId="1" hidden="1">global!$A$1:$AJ$9</definedName>
    <definedName name="ExternalData_8" localSheetId="0" hidden="1">networks!$A$1:$F$9</definedName>
    <definedName name="File1" localSheetId="9">diff!$E$1</definedName>
    <definedName name="File1" localSheetId="10">keywords!#REF!</definedName>
    <definedName name="File2">diff!$I$1</definedName>
    <definedName name="File3">diff!$L$1</definedName>
    <definedName name="searchterm">search!$A$15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7" l="1"/>
  <c r="B3" i="27"/>
  <c r="B4" i="27"/>
  <c r="B5" i="27"/>
  <c r="B6" i="27"/>
  <c r="B7" i="27"/>
  <c r="B8" i="27"/>
  <c r="B9" i="27"/>
  <c r="N2" i="4"/>
  <c r="N3" i="4"/>
  <c r="N4" i="4"/>
  <c r="N5" i="4"/>
  <c r="N6" i="4"/>
  <c r="N7" i="4"/>
  <c r="N8" i="4"/>
  <c r="N9" i="4"/>
  <c r="C5" i="19" a="1"/>
  <c r="C5" i="19" s="1"/>
  <c r="A5" i="19" s="1"/>
  <c r="A6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C37" i="1"/>
  <c r="A2" i="30"/>
  <c r="E2" i="30" s="1"/>
  <c r="A3" i="1" s="1"/>
  <c r="B49" i="30"/>
  <c r="B39" i="30"/>
  <c r="B33" i="30"/>
  <c r="B30" i="30"/>
  <c r="A30" i="30"/>
  <c r="E30" i="30" s="1"/>
  <c r="B19" i="30"/>
  <c r="B10" i="30"/>
  <c r="B3" i="30"/>
  <c r="C3" i="19" s="1"/>
  <c r="E15" i="30"/>
  <c r="E16" i="30"/>
  <c r="E17" i="30"/>
  <c r="E18" i="30"/>
  <c r="A39" i="30"/>
  <c r="E39" i="30" s="1"/>
  <c r="A3" i="30"/>
  <c r="E3" i="30" s="1"/>
  <c r="E11" i="30"/>
  <c r="A10" i="30"/>
  <c r="E10" i="30" s="1"/>
  <c r="A49" i="30"/>
  <c r="E49" i="30" s="1"/>
  <c r="E31" i="30"/>
  <c r="A32" i="30"/>
  <c r="E32" i="30" s="1"/>
  <c r="E24" i="30"/>
  <c r="E26" i="30"/>
  <c r="E29" i="30"/>
  <c r="E27" i="30"/>
  <c r="A19" i="30"/>
  <c r="E19" i="30" s="1"/>
  <c r="A33" i="30"/>
  <c r="E33" i="30" s="1"/>
  <c r="E8" i="30"/>
  <c r="E9" i="30"/>
  <c r="E54" i="30"/>
  <c r="E53" i="30"/>
  <c r="E56" i="30"/>
  <c r="E55" i="30"/>
  <c r="E52" i="30"/>
  <c r="E50" i="30"/>
  <c r="E51" i="30"/>
  <c r="E59" i="30"/>
  <c r="E58" i="30"/>
  <c r="E57" i="30"/>
  <c r="E14" i="30"/>
  <c r="E13" i="30"/>
  <c r="E12" i="30"/>
  <c r="E25" i="30"/>
  <c r="E21" i="30"/>
  <c r="E45" i="30"/>
  <c r="E44" i="30"/>
  <c r="E48" i="30"/>
  <c r="E47" i="30"/>
  <c r="E46" i="30"/>
  <c r="E40" i="30"/>
  <c r="E37" i="30"/>
  <c r="E36" i="30"/>
  <c r="E35" i="30"/>
  <c r="E34" i="30"/>
  <c r="E28" i="30"/>
  <c r="E6" i="30"/>
  <c r="E5" i="30"/>
  <c r="E4" i="30"/>
  <c r="A38" i="30"/>
  <c r="E38" i="30" s="1"/>
  <c r="A43" i="30"/>
  <c r="E43" i="30" s="1"/>
  <c r="A42" i="30"/>
  <c r="E42" i="30" s="1"/>
  <c r="A41" i="30"/>
  <c r="E41" i="30" s="1"/>
  <c r="A23" i="30"/>
  <c r="E23" i="30" s="1"/>
  <c r="A20" i="30"/>
  <c r="E20" i="30" s="1"/>
  <c r="A22" i="30"/>
  <c r="E22" i="30" s="1"/>
  <c r="A7" i="30"/>
  <c r="E7" i="30" s="1"/>
  <c r="K47" i="19"/>
  <c r="H47" i="19"/>
  <c r="E47" i="19"/>
  <c r="B8" i="1"/>
  <c r="B7" i="1"/>
  <c r="B11" i="1"/>
  <c r="B9" i="1"/>
  <c r="B6" i="1"/>
  <c r="B34" i="1"/>
  <c r="B33" i="1"/>
  <c r="B32" i="1"/>
  <c r="B31" i="1"/>
  <c r="B30" i="1"/>
  <c r="C20" i="1"/>
  <c r="L28" i="19"/>
  <c r="I28" i="19"/>
  <c r="F28" i="19"/>
  <c r="F26" i="19"/>
  <c r="F27" i="19"/>
  <c r="A3" i="19" l="1"/>
  <c r="L8" i="19"/>
  <c r="F8" i="19"/>
  <c r="I8" i="19"/>
  <c r="B39" i="1" a="1"/>
  <c r="B39" i="1" s="1"/>
  <c r="K60" i="19"/>
  <c r="H60" i="19"/>
  <c r="E60" i="19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E5" i="1" a="1"/>
  <c r="O8" i="1" s="1" a="1"/>
  <c r="O8" i="1" s="1"/>
  <c r="L7" i="19"/>
  <c r="I7" i="19"/>
  <c r="F7" i="19"/>
  <c r="L44" i="19"/>
  <c r="K44" i="19" s="1"/>
  <c r="L43" i="19"/>
  <c r="K43" i="19" s="1"/>
  <c r="L42" i="19"/>
  <c r="K42" i="19" s="1"/>
  <c r="L41" i="19"/>
  <c r="K41" i="19" s="1"/>
  <c r="L40" i="19"/>
  <c r="K40" i="19" s="1"/>
  <c r="L39" i="19"/>
  <c r="K39" i="19" s="1"/>
  <c r="L38" i="19"/>
  <c r="K38" i="19" s="1"/>
  <c r="L36" i="19"/>
  <c r="L35" i="19"/>
  <c r="L34" i="19"/>
  <c r="L33" i="19"/>
  <c r="L31" i="19"/>
  <c r="L30" i="19"/>
  <c r="L27" i="19"/>
  <c r="L26" i="19"/>
  <c r="L25" i="19"/>
  <c r="L24" i="19"/>
  <c r="L21" i="19"/>
  <c r="L22" i="19" s="1"/>
  <c r="L19" i="19"/>
  <c r="L18" i="19"/>
  <c r="L17" i="19"/>
  <c r="L16" i="19"/>
  <c r="L15" i="19"/>
  <c r="L14" i="19"/>
  <c r="L13" i="19"/>
  <c r="L11" i="19"/>
  <c r="L10" i="19"/>
  <c r="L6" i="19"/>
  <c r="L5" i="19"/>
  <c r="I44" i="19"/>
  <c r="H44" i="19" s="1"/>
  <c r="I43" i="19"/>
  <c r="H43" i="19" s="1"/>
  <c r="I42" i="19"/>
  <c r="H42" i="19" s="1"/>
  <c r="I41" i="19"/>
  <c r="H41" i="19" s="1"/>
  <c r="I40" i="19"/>
  <c r="H40" i="19" s="1"/>
  <c r="I39" i="19"/>
  <c r="H39" i="19" s="1"/>
  <c r="I38" i="19"/>
  <c r="H38" i="19" s="1"/>
  <c r="I36" i="19"/>
  <c r="I35" i="19"/>
  <c r="I34" i="19"/>
  <c r="I33" i="19"/>
  <c r="I31" i="19"/>
  <c r="I30" i="19"/>
  <c r="I27" i="19"/>
  <c r="I26" i="19"/>
  <c r="I25" i="19"/>
  <c r="I24" i="19"/>
  <c r="I21" i="19"/>
  <c r="I22" i="19" s="1"/>
  <c r="I19" i="19"/>
  <c r="I18" i="19"/>
  <c r="I17" i="19"/>
  <c r="I16" i="19"/>
  <c r="I15" i="19"/>
  <c r="I14" i="19"/>
  <c r="I13" i="19"/>
  <c r="I11" i="19"/>
  <c r="I10" i="19"/>
  <c r="I6" i="19"/>
  <c r="I5" i="19"/>
  <c r="F44" i="19"/>
  <c r="E44" i="19" s="1"/>
  <c r="F43" i="19"/>
  <c r="E43" i="19" s="1"/>
  <c r="F42" i="19"/>
  <c r="E42" i="19" s="1"/>
  <c r="F41" i="19"/>
  <c r="E41" i="19" s="1"/>
  <c r="F40" i="19"/>
  <c r="E40" i="19" s="1"/>
  <c r="F39" i="19"/>
  <c r="E39" i="19" s="1"/>
  <c r="F38" i="19"/>
  <c r="E38" i="19" s="1"/>
  <c r="F36" i="19"/>
  <c r="F35" i="19"/>
  <c r="F34" i="19"/>
  <c r="F33" i="19"/>
  <c r="F31" i="19"/>
  <c r="F30" i="19"/>
  <c r="F25" i="19"/>
  <c r="F24" i="19"/>
  <c r="F21" i="19"/>
  <c r="F22" i="19" s="1"/>
  <c r="F19" i="19"/>
  <c r="F18" i="19"/>
  <c r="F17" i="19"/>
  <c r="F16" i="19"/>
  <c r="F15" i="19"/>
  <c r="F14" i="19"/>
  <c r="F13" i="19"/>
  <c r="F11" i="19"/>
  <c r="F6" i="19"/>
  <c r="F10" i="19"/>
  <c r="F5" i="19"/>
  <c r="C8" i="1"/>
  <c r="J2" i="1"/>
  <c r="G1" i="1"/>
  <c r="G2" i="1"/>
  <c r="J1" i="1"/>
  <c r="C5" i="1"/>
  <c r="B10" i="19" l="1"/>
  <c r="B7" i="19"/>
  <c r="B11" i="19"/>
  <c r="B12" i="19"/>
  <c r="B8" i="19"/>
  <c r="B9" i="19"/>
  <c r="B6" i="19"/>
  <c r="N10" i="1" a="1"/>
  <c r="N10" i="1" s="1"/>
  <c r="L10" i="1" a="1"/>
  <c r="L10" i="1" s="1"/>
  <c r="J10" i="1" a="1"/>
  <c r="J10" i="1" s="1"/>
  <c r="H10" i="1" a="1"/>
  <c r="H10" i="1" s="1"/>
  <c r="I10" i="1" a="1"/>
  <c r="I10" i="1" s="1"/>
  <c r="K10" i="1" a="1"/>
  <c r="K10" i="1" s="1"/>
  <c r="M10" i="1" a="1"/>
  <c r="M10" i="1" s="1"/>
  <c r="O10" i="1" a="1"/>
  <c r="O10" i="1" s="1"/>
  <c r="H9" i="1" a="1"/>
  <c r="H9" i="1" s="1"/>
  <c r="I9" i="1" a="1"/>
  <c r="I9" i="1" s="1"/>
  <c r="N8" i="1" a="1"/>
  <c r="N8" i="1" s="1"/>
  <c r="H6" i="1" a="1"/>
  <c r="H6" i="1" s="1"/>
  <c r="I8" i="1" a="1"/>
  <c r="I8" i="1" s="1"/>
  <c r="J8" i="1" a="1"/>
  <c r="J8" i="1" s="1"/>
  <c r="K9" i="1" a="1"/>
  <c r="K9" i="1" s="1"/>
  <c r="L9" i="1" a="1"/>
  <c r="L9" i="1" s="1"/>
  <c r="M8" i="1" a="1"/>
  <c r="M8" i="1" s="1"/>
  <c r="H8" i="1" a="1"/>
  <c r="H8" i="1" s="1"/>
  <c r="M9" i="1" a="1"/>
  <c r="M9" i="1" s="1"/>
  <c r="K8" i="1" a="1"/>
  <c r="K8" i="1" s="1"/>
  <c r="L8" i="1" a="1"/>
  <c r="L8" i="1" s="1"/>
  <c r="M7" i="1" a="1"/>
  <c r="M7" i="1" s="1"/>
  <c r="N9" i="1" a="1"/>
  <c r="N9" i="1" s="1"/>
  <c r="J9" i="1" a="1"/>
  <c r="J9" i="1" s="1"/>
  <c r="O9" i="1" a="1"/>
  <c r="O9" i="1" s="1"/>
  <c r="O6" i="1" a="1"/>
  <c r="O6" i="1" s="1"/>
  <c r="L6" i="1" a="1"/>
  <c r="L6" i="1" s="1"/>
  <c r="J6" i="1" a="1"/>
  <c r="J6" i="1" s="1"/>
  <c r="H7" i="1" a="1"/>
  <c r="H7" i="1" s="1"/>
  <c r="O7" i="1" a="1"/>
  <c r="O7" i="1" s="1"/>
  <c r="L7" i="1" a="1"/>
  <c r="L7" i="1" s="1"/>
  <c r="J7" i="1" a="1"/>
  <c r="J7" i="1" s="1"/>
  <c r="N6" i="1" a="1"/>
  <c r="N6" i="1" s="1"/>
  <c r="N7" i="1" a="1"/>
  <c r="N7" i="1" s="1"/>
  <c r="K6" i="1" a="1"/>
  <c r="K6" i="1" s="1"/>
  <c r="I6" i="1" a="1"/>
  <c r="I6" i="1" s="1"/>
  <c r="M6" i="1" a="1"/>
  <c r="M6" i="1" s="1"/>
  <c r="I7" i="1" a="1"/>
  <c r="I7" i="1" s="1"/>
  <c r="K7" i="1" a="1"/>
  <c r="K7" i="1" s="1"/>
  <c r="F8" i="1" a="1"/>
  <c r="F8" i="1" s="1"/>
  <c r="G10" i="1" a="1"/>
  <c r="G10" i="1" s="1"/>
  <c r="F9" i="1" a="1"/>
  <c r="F9" i="1" s="1"/>
  <c r="F10" i="1" a="1"/>
  <c r="F10" i="1" s="1"/>
  <c r="G9" i="1" a="1"/>
  <c r="G9" i="1" s="1"/>
  <c r="G8" i="1" a="1"/>
  <c r="G8" i="1" s="1"/>
  <c r="E5" i="1"/>
  <c r="F6" i="1" a="1"/>
  <c r="F6" i="1" s="1"/>
  <c r="F7" i="1" a="1"/>
  <c r="F7" i="1" s="1"/>
  <c r="G7" i="1" a="1"/>
  <c r="G7" i="1" s="1"/>
  <c r="G6" i="1" a="1"/>
  <c r="G6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O46" i="1" a="1"/>
  <c r="O46" i="1" s="1"/>
  <c r="M47" i="1" a="1"/>
  <c r="M47" i="1" s="1"/>
  <c r="K48" i="1" a="1"/>
  <c r="K48" i="1" s="1"/>
  <c r="I49" i="1" a="1"/>
  <c r="I49" i="1" s="1"/>
  <c r="K60" i="1" a="1"/>
  <c r="K60" i="1" s="1"/>
  <c r="I61" i="1" a="1"/>
  <c r="I61" i="1" s="1"/>
  <c r="M63" i="1" a="1"/>
  <c r="M63" i="1" s="1"/>
  <c r="I69" i="1" a="1"/>
  <c r="I69" i="1" s="1"/>
  <c r="M71" i="1" a="1"/>
  <c r="M71" i="1" s="1"/>
  <c r="G78" i="1" a="1"/>
  <c r="G78" i="1" s="1"/>
  <c r="J30" i="1" a="1"/>
  <c r="J30" i="1" s="1"/>
  <c r="H31" i="1" a="1"/>
  <c r="H31" i="1" s="1"/>
  <c r="P31" i="1" a="1"/>
  <c r="P31" i="1" s="1"/>
  <c r="N34" i="1" a="1"/>
  <c r="N34" i="1" s="1"/>
  <c r="L35" i="1" a="1"/>
  <c r="L35" i="1" s="1"/>
  <c r="J37" i="1" a="1"/>
  <c r="J37" i="1" s="1"/>
  <c r="H38" i="1" a="1"/>
  <c r="H38" i="1" s="1"/>
  <c r="P38" i="1" a="1"/>
  <c r="P38" i="1" s="1"/>
  <c r="N39" i="1" a="1"/>
  <c r="N39" i="1" s="1"/>
  <c r="L40" i="1" a="1"/>
  <c r="L40" i="1" s="1"/>
  <c r="J41" i="1" a="1"/>
  <c r="J41" i="1" s="1"/>
  <c r="H42" i="1" a="1"/>
  <c r="H42" i="1" s="1"/>
  <c r="P42" i="1" a="1"/>
  <c r="P42" i="1" s="1"/>
  <c r="N43" i="1" a="1"/>
  <c r="N43" i="1" s="1"/>
  <c r="L44" i="1" a="1"/>
  <c r="L44" i="1" s="1"/>
  <c r="J45" i="1" a="1"/>
  <c r="J45" i="1" s="1"/>
  <c r="H46" i="1" a="1"/>
  <c r="H46" i="1" s="1"/>
  <c r="P46" i="1" a="1"/>
  <c r="P46" i="1" s="1"/>
  <c r="N47" i="1" a="1"/>
  <c r="N47" i="1" s="1"/>
  <c r="L48" i="1" a="1"/>
  <c r="L48" i="1" s="1"/>
  <c r="J49" i="1" a="1"/>
  <c r="J49" i="1" s="1"/>
  <c r="L60" i="1" a="1"/>
  <c r="L60" i="1" s="1"/>
  <c r="J61" i="1" a="1"/>
  <c r="J61" i="1" s="1"/>
  <c r="H62" i="1" a="1"/>
  <c r="H62" i="1" s="1"/>
  <c r="P62" i="1" a="1"/>
  <c r="P62" i="1" s="1"/>
  <c r="N63" i="1" a="1"/>
  <c r="N63" i="1" s="1"/>
  <c r="L64" i="1" a="1"/>
  <c r="L64" i="1" s="1"/>
  <c r="J65" i="1" a="1"/>
  <c r="J65" i="1" s="1"/>
  <c r="H66" i="1" a="1"/>
  <c r="H66" i="1" s="1"/>
  <c r="P66" i="1" a="1"/>
  <c r="P66" i="1" s="1"/>
  <c r="N67" i="1" a="1"/>
  <c r="N67" i="1" s="1"/>
  <c r="L68" i="1" a="1"/>
  <c r="L68" i="1" s="1"/>
  <c r="J69" i="1" a="1"/>
  <c r="J69" i="1" s="1"/>
  <c r="H70" i="1" a="1"/>
  <c r="H70" i="1" s="1"/>
  <c r="P70" i="1" a="1"/>
  <c r="P70" i="1" s="1"/>
  <c r="N71" i="1" a="1"/>
  <c r="N71" i="1" s="1"/>
  <c r="L72" i="1" a="1"/>
  <c r="L72" i="1" s="1"/>
  <c r="J73" i="1" a="1"/>
  <c r="J73" i="1" s="1"/>
  <c r="H74" i="1" a="1"/>
  <c r="H74" i="1" s="1"/>
  <c r="P74" i="1" a="1"/>
  <c r="P74" i="1" s="1"/>
  <c r="N75" i="1" a="1"/>
  <c r="N75" i="1" s="1"/>
  <c r="L76" i="1" a="1"/>
  <c r="L76" i="1" s="1"/>
  <c r="J77" i="1" a="1"/>
  <c r="J77" i="1" s="1"/>
  <c r="H78" i="1" a="1"/>
  <c r="H78" i="1" s="1"/>
  <c r="P78" i="1" a="1"/>
  <c r="P78" i="1" s="1"/>
  <c r="N79" i="1" a="1"/>
  <c r="N79" i="1" s="1"/>
  <c r="C31" i="1"/>
  <c r="C19" i="1"/>
  <c r="C7" i="1"/>
  <c r="O76" i="1" a="1"/>
  <c r="O76" i="1" s="1"/>
  <c r="I79" i="1" a="1"/>
  <c r="I79" i="1" s="1"/>
  <c r="C11" i="1"/>
  <c r="N65" i="1" a="1"/>
  <c r="N65" i="1" s="1"/>
  <c r="L70" i="1" a="1"/>
  <c r="L70" i="1" s="1"/>
  <c r="P72" i="1" a="1"/>
  <c r="P72" i="1" s="1"/>
  <c r="J75" i="1" a="1"/>
  <c r="J75" i="1" s="1"/>
  <c r="L78" i="1" a="1"/>
  <c r="L78" i="1" s="1"/>
  <c r="C23" i="1"/>
  <c r="K64" i="1" a="1"/>
  <c r="K64" i="1" s="1"/>
  <c r="K72" i="1" a="1"/>
  <c r="K72" i="1" s="1"/>
  <c r="M79" i="1" a="1"/>
  <c r="M79" i="1" s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30" i="1"/>
  <c r="C18" i="1"/>
  <c r="F24" i="1" a="1"/>
  <c r="G25" i="1" s="1" a="1"/>
  <c r="G25" i="1" s="1"/>
  <c r="I77" i="1" a="1"/>
  <c r="I77" i="1" s="1"/>
  <c r="C26" i="1"/>
  <c r="L30" i="1" a="1"/>
  <c r="L30" i="1" s="1"/>
  <c r="J31" i="1" a="1"/>
  <c r="J31" i="1" s="1"/>
  <c r="H34" i="1" a="1"/>
  <c r="H34" i="1" s="1"/>
  <c r="P34" i="1" a="1"/>
  <c r="P34" i="1" s="1"/>
  <c r="N35" i="1" a="1"/>
  <c r="N35" i="1" s="1"/>
  <c r="L37" i="1" a="1"/>
  <c r="L37" i="1" s="1"/>
  <c r="J38" i="1" a="1"/>
  <c r="J38" i="1" s="1"/>
  <c r="H39" i="1" a="1"/>
  <c r="H39" i="1" s="1"/>
  <c r="P39" i="1" a="1"/>
  <c r="P39" i="1" s="1"/>
  <c r="N40" i="1" a="1"/>
  <c r="N40" i="1" s="1"/>
  <c r="L41" i="1" a="1"/>
  <c r="L41" i="1" s="1"/>
  <c r="J42" i="1" a="1"/>
  <c r="J42" i="1" s="1"/>
  <c r="H43" i="1" a="1"/>
  <c r="H43" i="1" s="1"/>
  <c r="P43" i="1" a="1"/>
  <c r="P43" i="1" s="1"/>
  <c r="N44" i="1" a="1"/>
  <c r="N44" i="1" s="1"/>
  <c r="L45" i="1" a="1"/>
  <c r="L45" i="1" s="1"/>
  <c r="J46" i="1" a="1"/>
  <c r="J46" i="1" s="1"/>
  <c r="H47" i="1" a="1"/>
  <c r="H47" i="1" s="1"/>
  <c r="P47" i="1" a="1"/>
  <c r="P47" i="1" s="1"/>
  <c r="N48" i="1" a="1"/>
  <c r="N48" i="1" s="1"/>
  <c r="L49" i="1" a="1"/>
  <c r="L49" i="1" s="1"/>
  <c r="N60" i="1" a="1"/>
  <c r="N60" i="1" s="1"/>
  <c r="L61" i="1" a="1"/>
  <c r="L61" i="1" s="1"/>
  <c r="J62" i="1" a="1"/>
  <c r="J62" i="1" s="1"/>
  <c r="H63" i="1" a="1"/>
  <c r="H63" i="1" s="1"/>
  <c r="P63" i="1" a="1"/>
  <c r="P63" i="1" s="1"/>
  <c r="N64" i="1" a="1"/>
  <c r="N64" i="1" s="1"/>
  <c r="L65" i="1" a="1"/>
  <c r="L65" i="1" s="1"/>
  <c r="J66" i="1" a="1"/>
  <c r="J66" i="1" s="1"/>
  <c r="H67" i="1" a="1"/>
  <c r="H67" i="1" s="1"/>
  <c r="P67" i="1" a="1"/>
  <c r="P67" i="1" s="1"/>
  <c r="N68" i="1" a="1"/>
  <c r="N68" i="1" s="1"/>
  <c r="L69" i="1" a="1"/>
  <c r="L69" i="1" s="1"/>
  <c r="J70" i="1" a="1"/>
  <c r="J70" i="1" s="1"/>
  <c r="H71" i="1" a="1"/>
  <c r="H71" i="1" s="1"/>
  <c r="P71" i="1" a="1"/>
  <c r="P71" i="1" s="1"/>
  <c r="N72" i="1" a="1"/>
  <c r="N72" i="1" s="1"/>
  <c r="L73" i="1" a="1"/>
  <c r="L73" i="1" s="1"/>
  <c r="J74" i="1" a="1"/>
  <c r="J74" i="1" s="1"/>
  <c r="H75" i="1" a="1"/>
  <c r="H75" i="1" s="1"/>
  <c r="P75" i="1" a="1"/>
  <c r="P75" i="1" s="1"/>
  <c r="N76" i="1" a="1"/>
  <c r="N76" i="1" s="1"/>
  <c r="L77" i="1" a="1"/>
  <c r="L77" i="1" s="1"/>
  <c r="J78" i="1" a="1"/>
  <c r="J78" i="1" s="1"/>
  <c r="H79" i="1" a="1"/>
  <c r="H79" i="1" s="1"/>
  <c r="P79" i="1" a="1"/>
  <c r="P79" i="1" s="1"/>
  <c r="C10" i="1"/>
  <c r="C13" i="1"/>
  <c r="C14" i="1" s="1"/>
  <c r="C16" i="1"/>
  <c r="I75" i="1" a="1"/>
  <c r="I75" i="1" s="1"/>
  <c r="K78" i="1" a="1"/>
  <c r="K78" i="1" s="1"/>
  <c r="L66" i="1" a="1"/>
  <c r="L66" i="1" s="1"/>
  <c r="H72" i="1" a="1"/>
  <c r="H72" i="1" s="1"/>
  <c r="P76" i="1" a="1"/>
  <c r="P76" i="1" s="1"/>
  <c r="C6" i="1"/>
  <c r="M67" i="1" a="1"/>
  <c r="M67" i="1" s="1"/>
  <c r="O74" i="1" a="1"/>
  <c r="O74" i="1" s="1"/>
  <c r="C25" i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M65" i="1" a="1"/>
  <c r="M65" i="1" s="1"/>
  <c r="K66" i="1" a="1"/>
  <c r="K66" i="1" s="1"/>
  <c r="I67" i="1" a="1"/>
  <c r="I67" i="1" s="1"/>
  <c r="G68" i="1" a="1"/>
  <c r="G68" i="1" s="1"/>
  <c r="O68" i="1" a="1"/>
  <c r="O68" i="1" s="1"/>
  <c r="M69" i="1" a="1"/>
  <c r="M69" i="1" s="1"/>
  <c r="K70" i="1" a="1"/>
  <c r="K70" i="1" s="1"/>
  <c r="I71" i="1" a="1"/>
  <c r="I71" i="1" s="1"/>
  <c r="G72" i="1" a="1"/>
  <c r="G72" i="1" s="1"/>
  <c r="O72" i="1" a="1"/>
  <c r="O72" i="1" s="1"/>
  <c r="M73" i="1" a="1"/>
  <c r="M73" i="1" s="1"/>
  <c r="K74" i="1" a="1"/>
  <c r="K74" i="1" s="1"/>
  <c r="G76" i="1" a="1"/>
  <c r="G76" i="1" s="1"/>
  <c r="M77" i="1" a="1"/>
  <c r="M77" i="1" s="1"/>
  <c r="C17" i="1"/>
  <c r="H68" i="1" a="1"/>
  <c r="H68" i="1" s="1"/>
  <c r="L74" i="1" a="1"/>
  <c r="L74" i="1" s="1"/>
  <c r="N77" i="1" a="1"/>
  <c r="N77" i="1" s="1"/>
  <c r="G66" i="1" a="1"/>
  <c r="G66" i="1" s="1"/>
  <c r="G74" i="1" a="1"/>
  <c r="G74" i="1" s="1"/>
  <c r="N30" i="1" a="1"/>
  <c r="N30" i="1" s="1"/>
  <c r="L31" i="1" a="1"/>
  <c r="L31" i="1" s="1"/>
  <c r="J34" i="1" a="1"/>
  <c r="J34" i="1" s="1"/>
  <c r="H35" i="1" a="1"/>
  <c r="H35" i="1" s="1"/>
  <c r="P35" i="1" a="1"/>
  <c r="P35" i="1" s="1"/>
  <c r="N37" i="1" a="1"/>
  <c r="N37" i="1" s="1"/>
  <c r="L38" i="1" a="1"/>
  <c r="L38" i="1" s="1"/>
  <c r="J39" i="1" a="1"/>
  <c r="J39" i="1" s="1"/>
  <c r="H40" i="1" a="1"/>
  <c r="H40" i="1" s="1"/>
  <c r="P40" i="1" a="1"/>
  <c r="P40" i="1" s="1"/>
  <c r="N41" i="1" a="1"/>
  <c r="N41" i="1" s="1"/>
  <c r="L42" i="1" a="1"/>
  <c r="L42" i="1" s="1"/>
  <c r="J43" i="1" a="1"/>
  <c r="J43" i="1" s="1"/>
  <c r="H44" i="1" a="1"/>
  <c r="H44" i="1" s="1"/>
  <c r="P44" i="1" a="1"/>
  <c r="P44" i="1" s="1"/>
  <c r="N45" i="1" a="1"/>
  <c r="N45" i="1" s="1"/>
  <c r="L46" i="1" a="1"/>
  <c r="L46" i="1" s="1"/>
  <c r="J47" i="1" a="1"/>
  <c r="J47" i="1" s="1"/>
  <c r="H48" i="1" a="1"/>
  <c r="H48" i="1" s="1"/>
  <c r="P48" i="1" a="1"/>
  <c r="P48" i="1" s="1"/>
  <c r="N49" i="1" a="1"/>
  <c r="N49" i="1" s="1"/>
  <c r="H60" i="1" a="1"/>
  <c r="H60" i="1" s="1"/>
  <c r="P60" i="1" a="1"/>
  <c r="P60" i="1" s="1"/>
  <c r="N61" i="1" a="1"/>
  <c r="N61" i="1" s="1"/>
  <c r="L62" i="1" a="1"/>
  <c r="L62" i="1" s="1"/>
  <c r="J63" i="1" a="1"/>
  <c r="J63" i="1" s="1"/>
  <c r="H64" i="1" a="1"/>
  <c r="H64" i="1" s="1"/>
  <c r="P64" i="1" a="1"/>
  <c r="P64" i="1" s="1"/>
  <c r="J67" i="1" a="1"/>
  <c r="J67" i="1" s="1"/>
  <c r="P68" i="1" a="1"/>
  <c r="P68" i="1" s="1"/>
  <c r="N69" i="1" a="1"/>
  <c r="N69" i="1" s="1"/>
  <c r="J71" i="1" a="1"/>
  <c r="J71" i="1" s="1"/>
  <c r="N73" i="1" a="1"/>
  <c r="N73" i="1" s="1"/>
  <c r="H76" i="1" a="1"/>
  <c r="H76" i="1" s="1"/>
  <c r="J79" i="1" a="1"/>
  <c r="J79" i="1" s="1"/>
  <c r="K68" i="1" a="1"/>
  <c r="K68" i="1" s="1"/>
  <c r="K76" i="1" a="1"/>
  <c r="K76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4" i="1"/>
  <c r="C28" i="1"/>
  <c r="C22" i="1"/>
  <c r="C9" i="1"/>
  <c r="C27" i="1"/>
  <c r="G46" i="1" a="1"/>
  <c r="G46" i="1" s="1"/>
  <c r="G62" i="1" a="1"/>
  <c r="G62" i="1" s="1"/>
  <c r="I65" i="1" a="1"/>
  <c r="I65" i="1" s="1"/>
  <c r="G70" i="1" a="1"/>
  <c r="G70" i="1" s="1"/>
  <c r="M75" i="1" a="1"/>
  <c r="M75" i="1" s="1"/>
  <c r="H30" i="1" a="1"/>
  <c r="H30" i="1" s="1"/>
  <c r="P30" i="1" a="1"/>
  <c r="P30" i="1" s="1"/>
  <c r="N31" i="1" a="1"/>
  <c r="N31" i="1" s="1"/>
  <c r="L34" i="1" a="1"/>
  <c r="L34" i="1" s="1"/>
  <c r="J35" i="1" a="1"/>
  <c r="J35" i="1" s="1"/>
  <c r="H37" i="1" a="1"/>
  <c r="H37" i="1" s="1"/>
  <c r="P37" i="1" a="1"/>
  <c r="P37" i="1" s="1"/>
  <c r="N38" i="1" a="1"/>
  <c r="N38" i="1" s="1"/>
  <c r="L39" i="1" a="1"/>
  <c r="L39" i="1" s="1"/>
  <c r="J40" i="1" a="1"/>
  <c r="J40" i="1" s="1"/>
  <c r="H41" i="1" a="1"/>
  <c r="H41" i="1" s="1"/>
  <c r="P41" i="1" a="1"/>
  <c r="P41" i="1" s="1"/>
  <c r="N42" i="1" a="1"/>
  <c r="N42" i="1" s="1"/>
  <c r="L43" i="1" a="1"/>
  <c r="L43" i="1" s="1"/>
  <c r="J44" i="1" a="1"/>
  <c r="J44" i="1" s="1"/>
  <c r="H45" i="1" a="1"/>
  <c r="H45" i="1" s="1"/>
  <c r="P45" i="1" a="1"/>
  <c r="P45" i="1" s="1"/>
  <c r="N46" i="1" a="1"/>
  <c r="N46" i="1" s="1"/>
  <c r="L47" i="1" a="1"/>
  <c r="L47" i="1" s="1"/>
  <c r="J48" i="1" a="1"/>
  <c r="J48" i="1" s="1"/>
  <c r="H49" i="1" a="1"/>
  <c r="H49" i="1" s="1"/>
  <c r="P49" i="1" a="1"/>
  <c r="P49" i="1" s="1"/>
  <c r="J60" i="1" a="1"/>
  <c r="J60" i="1" s="1"/>
  <c r="H61" i="1" a="1"/>
  <c r="H61" i="1" s="1"/>
  <c r="P61" i="1" a="1"/>
  <c r="P61" i="1" s="1"/>
  <c r="N62" i="1" a="1"/>
  <c r="N62" i="1" s="1"/>
  <c r="L63" i="1" a="1"/>
  <c r="L63" i="1" s="1"/>
  <c r="J64" i="1" a="1"/>
  <c r="J64" i="1" s="1"/>
  <c r="H65" i="1" a="1"/>
  <c r="H65" i="1" s="1"/>
  <c r="P65" i="1" a="1"/>
  <c r="P65" i="1" s="1"/>
  <c r="N66" i="1" a="1"/>
  <c r="N66" i="1" s="1"/>
  <c r="L67" i="1" a="1"/>
  <c r="L67" i="1" s="1"/>
  <c r="J68" i="1" a="1"/>
  <c r="J68" i="1" s="1"/>
  <c r="H69" i="1" a="1"/>
  <c r="H69" i="1" s="1"/>
  <c r="P69" i="1" a="1"/>
  <c r="P69" i="1" s="1"/>
  <c r="N70" i="1" a="1"/>
  <c r="N70" i="1" s="1"/>
  <c r="L71" i="1" a="1"/>
  <c r="L71" i="1" s="1"/>
  <c r="J72" i="1" a="1"/>
  <c r="J72" i="1" s="1"/>
  <c r="H73" i="1" a="1"/>
  <c r="H73" i="1" s="1"/>
  <c r="P73" i="1" a="1"/>
  <c r="P73" i="1" s="1"/>
  <c r="N74" i="1" a="1"/>
  <c r="N74" i="1" s="1"/>
  <c r="L75" i="1" a="1"/>
  <c r="L75" i="1" s="1"/>
  <c r="J76" i="1" a="1"/>
  <c r="J76" i="1" s="1"/>
  <c r="H77" i="1" a="1"/>
  <c r="H77" i="1" s="1"/>
  <c r="P77" i="1" a="1"/>
  <c r="P77" i="1" s="1"/>
  <c r="N78" i="1" a="1"/>
  <c r="N78" i="1" s="1"/>
  <c r="L79" i="1" a="1"/>
  <c r="L79" i="1" s="1"/>
  <c r="C33" i="1"/>
  <c r="I45" i="1" a="1"/>
  <c r="I45" i="1" s="1"/>
  <c r="O62" i="1" a="1"/>
  <c r="O62" i="1" s="1"/>
  <c r="O66" i="1" a="1"/>
  <c r="O66" i="1" s="1"/>
  <c r="O70" i="1" a="1"/>
  <c r="O70" i="1" s="1"/>
  <c r="I73" i="1" a="1"/>
  <c r="I73" i="1" s="1"/>
  <c r="O78" i="1" a="1"/>
  <c r="O78" i="1" s="1"/>
  <c r="C32" i="1"/>
  <c r="M5" i="1" l="1" a="1"/>
  <c r="M5" i="1" s="1"/>
  <c r="L5" i="1" a="1"/>
  <c r="L5" i="1" s="1"/>
  <c r="K5" i="1" a="1"/>
  <c r="K5" i="1" s="1"/>
  <c r="J5" i="1" a="1"/>
  <c r="J5" i="1" s="1"/>
  <c r="O5" i="1" a="1"/>
  <c r="O5" i="1" s="1"/>
  <c r="I5" i="1" a="1"/>
  <c r="I5" i="1" s="1"/>
  <c r="H5" i="1" a="1"/>
  <c r="H5" i="1" s="1"/>
  <c r="N5" i="1" a="1"/>
  <c r="N5" i="1" s="1"/>
  <c r="F5" i="1" a="1"/>
  <c r="F5" i="1" s="1"/>
  <c r="G5" i="1" a="1"/>
  <c r="G5" i="1" s="1"/>
  <c r="O25" i="1" a="1"/>
  <c r="O25" i="1" s="1"/>
  <c r="I25" i="1" a="1"/>
  <c r="I25" i="1" s="1"/>
  <c r="P25" i="1" a="1"/>
  <c r="P25" i="1" s="1"/>
  <c r="J25" i="1" a="1"/>
  <c r="J25" i="1" s="1"/>
  <c r="K25" i="1" a="1"/>
  <c r="K25" i="1" s="1"/>
  <c r="N25" i="1" a="1"/>
  <c r="N25" i="1" s="1"/>
  <c r="L25" i="1" a="1"/>
  <c r="L25" i="1" s="1"/>
  <c r="M25" i="1" a="1"/>
  <c r="M25" i="1" s="1"/>
  <c r="H25" i="1" a="1"/>
  <c r="H25" i="1" s="1"/>
  <c r="J26" i="1" a="1"/>
  <c r="J26" i="1" s="1"/>
  <c r="M26" i="1" a="1"/>
  <c r="M26" i="1" s="1"/>
  <c r="G26" i="1" a="1"/>
  <c r="G26" i="1" s="1"/>
  <c r="I26" i="1" a="1"/>
  <c r="I26" i="1" s="1"/>
  <c r="N26" i="1" a="1"/>
  <c r="N26" i="1" s="1"/>
  <c r="P26" i="1" a="1"/>
  <c r="P26" i="1" s="1"/>
  <c r="K26" i="1" a="1"/>
  <c r="K26" i="1" s="1"/>
  <c r="H26" i="1" a="1"/>
  <c r="H26" i="1" s="1"/>
  <c r="L26" i="1" a="1"/>
  <c r="L26" i="1" s="1"/>
  <c r="O26" i="1" a="1"/>
  <c r="O26" i="1" s="1"/>
  <c r="J27" i="1" a="1"/>
  <c r="J27" i="1" s="1"/>
  <c r="G27" i="1" a="1"/>
  <c r="G27" i="1" s="1"/>
  <c r="K27" i="1" a="1"/>
  <c r="K27" i="1" s="1"/>
  <c r="M27" i="1" a="1"/>
  <c r="M27" i="1" s="1"/>
  <c r="O27" i="1" a="1"/>
  <c r="O27" i="1" s="1"/>
  <c r="P27" i="1" a="1"/>
  <c r="P27" i="1" s="1"/>
  <c r="L27" i="1" a="1"/>
  <c r="L27" i="1" s="1"/>
  <c r="N27" i="1" a="1"/>
  <c r="N27" i="1" s="1"/>
  <c r="H27" i="1" a="1"/>
  <c r="H27" i="1" s="1"/>
  <c r="I27" i="1" a="1"/>
  <c r="I27" i="1" s="1"/>
  <c r="M29" i="1" a="1"/>
  <c r="M29" i="1" s="1"/>
  <c r="H29" i="1" a="1"/>
  <c r="H29" i="1" s="1"/>
  <c r="N28" i="1" a="1"/>
  <c r="N28" i="1" s="1"/>
  <c r="H28" i="1" a="1"/>
  <c r="H28" i="1" s="1"/>
  <c r="P29" i="1" a="1"/>
  <c r="P29" i="1" s="1"/>
  <c r="L29" i="1" a="1"/>
  <c r="L29" i="1" s="1"/>
  <c r="N29" i="1" a="1"/>
  <c r="N29" i="1" s="1"/>
  <c r="I29" i="1" a="1"/>
  <c r="I29" i="1" s="1"/>
  <c r="I28" i="1" a="1"/>
  <c r="I28" i="1" s="1"/>
  <c r="L28" i="1" a="1"/>
  <c r="L28" i="1" s="1"/>
  <c r="G29" i="1" a="1"/>
  <c r="G29" i="1" s="1"/>
  <c r="J29" i="1" a="1"/>
  <c r="J29" i="1" s="1"/>
  <c r="G28" i="1" a="1"/>
  <c r="G28" i="1" s="1"/>
  <c r="O29" i="1" a="1"/>
  <c r="O29" i="1" s="1"/>
  <c r="M28" i="1" a="1"/>
  <c r="M28" i="1" s="1"/>
  <c r="P28" i="1" a="1"/>
  <c r="P28" i="1" s="1"/>
  <c r="K28" i="1" a="1"/>
  <c r="K28" i="1" s="1"/>
  <c r="O28" i="1" a="1"/>
  <c r="O28" i="1" s="1"/>
  <c r="J28" i="1" a="1"/>
  <c r="J28" i="1" s="1"/>
  <c r="K29" i="1" a="1"/>
  <c r="K29" i="1" s="1"/>
  <c r="F24" i="1"/>
  <c r="K24" i="1" l="1" a="1"/>
  <c r="K24" i="1" s="1"/>
  <c r="P24" i="1" a="1"/>
  <c r="P24" i="1" s="1"/>
  <c r="I24" i="1" a="1"/>
  <c r="I24" i="1" s="1"/>
  <c r="J24" i="1" a="1"/>
  <c r="J24" i="1" s="1"/>
  <c r="M24" i="1" a="1"/>
  <c r="M24" i="1" s="1"/>
  <c r="N24" i="1" a="1"/>
  <c r="N24" i="1" s="1"/>
  <c r="O24" i="1" a="1"/>
  <c r="O24" i="1" s="1"/>
  <c r="G24" i="1" a="1"/>
  <c r="G24" i="1" s="1"/>
  <c r="H24" i="1" a="1"/>
  <c r="H24" i="1" s="1"/>
  <c r="L24" i="1" a="1"/>
  <c r="L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2" xr16:uid="{18E0CEDD-DDE4-47CE-BBB9-2651E91F6B0F}" keepAlive="1" name="Query - fileoverview" description="Connection to the 'fileoverview' query in the workbook." type="5" refreshedVersion="7" background="1" saveData="1">
    <dbPr connection="Provider=Microsoft.Mashup.OleDb.1;Data Source=$Workbook$;Location=fileoverview;Extended Properties=&quot;&quot;" command="SELECT * FROM [fileoverview]"/>
  </connection>
  <connection id="3" xr16:uid="{B639352D-9F80-49F3-96E8-79EF1FB4600F}" keepAlive="1" name="Query - global" description="Connection to the 'global' query in the workbook." type="5" refreshedVersion="7" background="1" saveData="1">
    <dbPr connection="Provider=Microsoft.Mashup.OleDb.1;Data Source=$Workbook$;Location=global;Extended Properties=&quot;&quot;" command="SELECT * FROM [global]"/>
  </connection>
  <connection id="4" xr16:uid="{7DE83BC9-76A3-4B5E-A33D-87C70DC32C7A}" keepAlive="1" name="Query - host_summary" description="Connection to the 'host_summary' query in the workbook." type="5" refreshedVersion="6" background="1" saveData="1">
    <dbPr connection="Provider=Microsoft.Mashup.OleDb.1;Data Source=$Workbook$;Location=host_summary;Extended Properties=&quot;&quot;" command="SELECT * FROM [host_summary]"/>
  </connection>
  <connection id="5" xr16:uid="{F4437E87-265D-4F6E-B061-5A40245DD30D}" keepAlive="1" name="Query - hostnetworks" description="Connection to the 'hostnetworks' query in the workbook." type="5" refreshedVersion="6" background="1" saveData="1">
    <dbPr connection="Provider=Microsoft.Mashup.OleDb.1;Data Source=$Workbook$;Location=hostnetworks;Extended Properties=&quot;&quot;" command="SELECT * FROM [hostnetworks]"/>
  </connection>
  <connection id="6" xr16:uid="{EA367C12-2B32-4892-A980-C5E7C0E2C3CB}" keepAlive="1" name="Query - hosts" description="Connection to the 'hosts' query in the workbook." type="5" refreshedVersion="7" background="1" saveData="1">
    <dbPr connection="Provider=Microsoft.Mashup.OleDb.1;Data Source=$Workbook$;Location=hosts;Extended Properties=&quot;&quot;" command="SELECT * FROM [hosts]"/>
  </connection>
  <connection id="7" xr16:uid="{85A6E76B-70E5-49D8-9762-674E5ED975A8}" keepAlive="1" name="Query - network_global" description="Connection to the 'network_global' query in the workbook." type="5" refreshedVersion="7" background="1" saveData="1">
    <dbPr connection="Provider=Microsoft.Mashup.OleDb.1;Data Source=$Workbook$;Location=network_global;Extended Properties=&quot;&quot;" command="SELECT * FROM [network_global]"/>
  </connection>
  <connection id="8" xr16:uid="{31AE5529-0CC4-489B-BC46-ADB9C96AF616}" keepAlive="1" name="Query - network_quickview" description="Connection to the 'network_quickview' query in the workbook." type="5" refreshedVersion="0" background="1" saveData="1">
    <dbPr connection="Provider=Microsoft.Mashup.OleDb.1;Data Source=$Workbook$;Location=network_quickview;Extended Properties=&quot;&quot;" command="SELECT * FROM [network_quickview]"/>
  </connection>
  <connection id="9" xr16:uid="{3987814E-A2CB-499E-81AF-B19D119433D2}" keepAlive="1" name="Query - network_summary" description="Connection to the 'network_summary' query in the workbook." type="5" refreshedVersion="6" background="1" saveData="1">
    <dbPr connection="Provider=Microsoft.Mashup.OleDb.1;Data Source=$Workbook$;Location=network_summary;Extended Properties=&quot;&quot;" command="SELECT * FROM [network_summary]"/>
  </connection>
  <connection id="10" xr16:uid="{F3881C69-BFAE-43BB-B118-5920C3E3B4EB}" keepAlive="1" name="Query - network_vds" description="Connection to the 'network_vds' query in the workbook." type="5" refreshedVersion="7" background="1" saveData="1">
    <dbPr connection="Provider=Microsoft.Mashup.OleDb.1;Data Source=$Workbook$;Location=network_vds;Extended Properties=&quot;&quot;" command="SELECT * FROM [network_vds]"/>
  </connection>
  <connection id="11" xr16:uid="{95D864F0-CA85-4C09-898A-9AAB871F7C2C}" keepAlive="1" name="Query - network_vds_130-" description="Connection to the 'network_vds_130-' query in the workbook." type="5" refreshedVersion="6" background="1" saveData="1">
    <dbPr connection="Provider=Microsoft.Mashup.OleDb.1;Data Source=$Workbook$;Location=network_vds_130-;Extended Properties=&quot;&quot;" command="SELECT * FROM [network_vds_130-]"/>
  </connection>
  <connection id="12" xr16:uid="{42F9AAEB-7648-4622-9625-EF12E825D963}" keepAlive="1" name="Query - objects" description="Connection to the 'objects' query in the workbook." type="5" refreshedVersion="6" background="1" saveData="1">
    <dbPr connection="Provider=Microsoft.Mashup.OleDb.1;Data Source=$Workbook$;Location=objects;Extended Properties=&quot;&quot;" command="SELECT * FROM [objects]"/>
  </connection>
  <connection id="13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4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5" xr16:uid="{2593C124-2FA2-4941-A385-5CFEB8983624}" keepAlive="1" name="Query - quickview" description="Connection to the 'quickview' query in the workbook." type="5" refreshedVersion="7" background="1" saveData="1">
    <dbPr connection="Provider=Microsoft.Mashup.OleDb.1;Data Source=$Workbook$;Location=quickview;Extended Properties=&quot;&quot;" command="SELECT * FROM [quickview]"/>
  </connection>
  <connection id="16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7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8" xr16:uid="{B19FE1EC-FEB4-4BD6-8778-7532E71E4B92}" keepAlive="1" name="Query - search" description="Connection to the 'search' query in the workbook." type="5" refreshedVersion="7" background="1" saveData="1">
    <dbPr connection="Provider=Microsoft.Mashup.OleDb.1;Data Source=$Workbook$;Location=search;Extended Properties=&quot;&quot;" command="SELECT * FROM [search]"/>
  </connection>
  <connection id="19" xr16:uid="{D159C54B-92AE-4AC1-8498-98DFE20E6F9B}" keepAlive="1" name="Query - Source" description="Connection to the 'Source' query in the workbook." type="5" refreshedVersion="7" background="1" saveData="1">
    <dbPr connection="Provider=Microsoft.Mashup.OleDb.1;Data Source=$Workbook$;Location=Source;Extended Properties=&quot;&quot;" command="SELECT * FROM [Source]"/>
  </connection>
  <connection id="20" xr16:uid="{0A8E0891-ACA6-408C-BFA7-4240399E2C11}" keepAlive="1" name="Query - storage" description="Connection to the 'storage' query in the workbook." type="5" refreshedVersion="6" background="1" saveData="1">
    <dbPr connection="Provider=Microsoft.Mashup.OleDb.1;Data Source=$Workbook$;Location=storage;Extended Properties=&quot;&quot;" command="SELECT * FROM [storage]"/>
  </connection>
  <connection id="21" xr16:uid="{0F8B0AAF-6378-4CAC-9E32-8E28A272E025}" keepAlive="1" name="Query - supported" description="Connection to the 'supported' query in the workbook." type="5" refreshedVersion="7" background="1" saveData="1">
    <dbPr connection="Provider=Microsoft.Mashup.OleDb.1;Data Source=$Workbook$;Location=supported;Extended Properties=&quot;&quot;" command="SELECT * FROM [supported]"/>
  </connection>
  <connection id="22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3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4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831AACF2-3061-4D35-A122-D62244F52C71}" keepAlive="1" name="Query - unsupported" description="Connection to the 'unsupported' query in the workbook." type="5" refreshedVersion="7" background="1" saveData="1">
    <dbPr connection="Provider=Microsoft.Mashup.OleDb.1;Data Source=$Workbook$;Location=unsupported;Extended Properties=&quot;&quot;" command="SELECT * FROM [unsupported]"/>
  </connection>
  <connection id="27" xr16:uid="{120DE3A4-DE10-4007-901A-9CE23B7B2ED5}" keepAlive="1" name="Query - vcenter" description="Connection to the 'vcenter' query in the workbook." type="5" refreshedVersion="6" background="1" saveData="1">
    <dbPr connection="Provider=Microsoft.Mashup.OleDb.1;Data Source=$Workbook$;Location=vcenter;Extended Properties=&quot;&quot;" command="SELECT * FROM [vcenter]"/>
  </connection>
  <connection id="28" xr16:uid="{CD53B60E-84BF-4CF2-A5D6-BECEC0DB7079}" keepAlive="1" name="Query - vxrm" description="Connection to the 'vxrm' query in the workbook." type="5" refreshedVersion="6" background="1" saveData="1">
    <dbPr connection="Provider=Microsoft.Mashup.OleDb.1;Data Source=$Workbook$;Location=vxrm;Extended Properties=&quot;&quot;" command="SELECT * FROM [vxrm]"/>
  </connection>
  <connection id="29" xr16:uid="{0D85C9D5-0946-4A0F-8D6F-96615D17CF44}" keepAlive="1" name="Query - witness" description="Connection to the 'witness' query in the workbook." type="5" refreshedVersion="6" background="1" saveData="1">
    <dbPr connection="Provider=Microsoft.Mashup.OleDb.1;Data Source=$Workbook$;Location=witness;Extended Properties=&quot;&quot;" command="SELECT * FROM [witnes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<sst xmlns="http://schemas.openxmlformats.org/spreadsheetml/2006/main" count="1464" uniqueCount="558">
  <si>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</si>
  <si>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</si>
  <si>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</si>
  <si>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</si>
  <si>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</si>
  <si>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</si>
  <si>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</si>
  <si>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</si>
  <si>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</si>
  <si>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</si>
  <si>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</si>
  <si>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</si>
  <si>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</si>
  <si>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</si>
  <si>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</si>
  <si>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</si>
  <si>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</si>
  <si>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</si>
  <si>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</si>
  <si>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</si>
  <si>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</si>
  <si>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</si>
  <si>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</si>
  <si>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</si>
  <si>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</si>
  <si>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</si>
  <si>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</si>
  <si>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</si>
  <si>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</si>
  <si>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</si>
  <si>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</si>
  <si>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</si>
  <si>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</si>
  <si>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</si>
  <si>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</si>
  <si>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</si>
  <si>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</si>
  <si>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</si>
  <si>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</si>
  <si>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</si>
  <si>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</si>
  <si>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</si>
  <si>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</si>
  <si>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</si>
  <si>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</si>
  <si>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</si>
  <si>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</si>
  <si>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</si>
  <si>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</si>
  <si>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</si>
  <si>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</si>
  <si>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</si>
  <si>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</si>
  <si>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</si>
  <si>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</si>
  <si>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</si>
  <si>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</si>
  <si>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</si>
  <si>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</si>
  <si>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</si>
  <si>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</si>
  <si>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</si>
  <si>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</si>
  <si>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</si>
  <si>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</si>
  <si>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</si>
  <si>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</si>
  <si>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</si>
  <si>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</si>
  <si>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</si>
  <si>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</si>
  <si>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</si>
  <si>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</si>
  <si>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</si>
  <si>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</si>
  <si>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</si>
  <si>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</si>
  <si>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</si>
  <si>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</si>
  <si>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</si>
  <si>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</si>
  <si>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</si>
  <si>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</si>
  <si>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</si>
  <si>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</si>
  <si>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</si>
  <si>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</si>
  <si>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</si>
  <si>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</si>
  <si>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</si>
  <si>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</si>
  <si>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</si>
  <si>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</si>
  <si>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</si>
  <si>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</si>
  <si>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</si>
  <si>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</si>
  <si>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</si>
  <si>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</si>
  <si>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</si>
  <si>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</si>
  <si>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</si>
  <si>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</si>
  <si>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</si>
  <si>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</si>
  <si>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</si>
  <si>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</si>
  <si>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</si>
  <si>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</si>
  <si>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</si>
  <si>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</si>
  <si>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</si>
  <si>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</si>
  <si>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</si>
  <si>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</si>
  <si>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</si>
  <si>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</si>
  <si>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</si>
  <si>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</si>
  <si>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</si>
  <si>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</si>
  <si>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</si>
  <si>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</si>
  <si>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</si>
  <si>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</si>
  <si>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</si>
  <si>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</si>
  <si>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</si>
  <si>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</si>
  <si>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</si>
  <si>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</si>
  <si>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</si>
  <si>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</si>
  <si>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</si>
  <si>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</si>
  <si>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</si>
  <si>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</si>
  <si>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</si>
  <si>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</si>
  <si>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</si>
  <si>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</si>
  <si>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</si>
  <si>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</si>
  <si>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</si>
  <si>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</si>
  <si>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</si>
  <si>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</si>
  <si>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</si>
  <si>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</si>
  <si>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</si>
  <si>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</si>
  <si>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</si>
  <si>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</si>
  <si>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</si>
  <si>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</si>
  <si>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</si>
  <si>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</si>
  <si>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</si>
  <si>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</si>
  <si>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</si>
  <si>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</si>
  <si>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</si>
  <si>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</si>
  <si>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</si>
  <si>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</si>
  <si>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</si>
  <si>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</si>
  <si>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</si>
  <si>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</si>
  <si>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</si>
  <si>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</si>
  <si>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</si>
  <si>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</si>
  <si>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</si>
  <si>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</si>
  <si>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</si>
  <si>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</si>
  <si>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</si>
  <si>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</si>
  <si>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</si>
  <si>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</si>
  <si>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</si>
  <si>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</si>
  <si>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</si>
  <si>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</si>
  <si>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</si>
  <si>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</si>
  <si>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</si>
  <si>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</si>
  <si>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</si>
  <si>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</si>
  <si>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</si>
  <si>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</si>
  <si>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</si>
  <si>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</si>
  <si>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</si>
  <si>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</si>
  <si>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</si>
  <si>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</si>
  <si>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</si>
  <si>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</si>
  <si>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</si>
  <si>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</si>
  <si>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</si>
  <si>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</si>
  <si>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</si>
  <si>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</si>
  <si>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</si>
  <si>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</si>
  <si>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</si>
  <si>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vds.nic_mappings.uplinks.name</t>
  </si>
  <si>
    <t>vds.nic_mappings.uplinks.physical_nic</t>
  </si>
  <si>
    <t>vds.name</t>
  </si>
  <si>
    <t>uplinks.pnic</t>
  </si>
  <si>
    <t>uplinks.name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</si>
  <si>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</si>
  <si>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</si>
  <si>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</si>
  <si>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</si>
  <si>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</si>
  <si>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</si>
  <si>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Questions/Ideas</t>
  </si>
  <si>
    <t>Metadata?</t>
  </si>
  <si>
    <t>Selectable/filterable on metadata?</t>
  </si>
  <si>
    <t>Nodes</t>
  </si>
  <si>
    <t>VLANS</t>
  </si>
  <si>
    <t>cluster mgmt gw</t>
  </si>
  <si>
    <t>clus mgmt netmask</t>
  </si>
  <si>
    <t>vsan netmask</t>
  </si>
  <si>
    <t>vmotion netmask</t>
  </si>
  <si>
    <t>DiskGroupType</t>
  </si>
  <si>
    <t>Type</t>
  </si>
  <si>
    <t>vcname</t>
  </si>
  <si>
    <t>7.0.202</t>
  </si>
  <si>
    <t>FOUR_HIGH_SPEED</t>
  </si>
  <si>
    <t>Guest VLAN</t>
  </si>
  <si>
    <t>Admin VLAN</t>
  </si>
  <si>
    <t>esxi-01</t>
  </si>
  <si>
    <t>admin</t>
  </si>
  <si>
    <t>192.168.1.20</t>
  </si>
  <si>
    <t>192.168.4.1</t>
  </si>
  <si>
    <t>192.168.5.1</t>
  </si>
  <si>
    <t>192.168.6.1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</si>
  <si>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</si>
  <si>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</si>
  <si>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</si>
  <si>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</si>
  <si>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</si>
  <si>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</si>
  <si>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</si>
  <si>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</si>
  <si>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</si>
  <si>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</si>
  <si>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</si>
  <si>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DNS Servers</t>
  </si>
  <si>
    <t>Syslog Servers</t>
  </si>
  <si>
    <t xml:space="preserve">Datacenter name </t>
  </si>
  <si>
    <t>NTP Servers</t>
  </si>
  <si>
    <t>7.0.010</t>
  </si>
  <si>
    <t>7.0.100</t>
  </si>
  <si>
    <t>starter.7.0.010.json</t>
  </si>
  <si>
    <t>tld.com</t>
  </si>
  <si>
    <t>vxrmhost</t>
  </si>
  <si>
    <t>192.168.0.15</t>
  </si>
  <si>
    <t>192.168.0.10</t>
  </si>
  <si>
    <t>vcenter</t>
  </si>
  <si>
    <t>vcuser</t>
  </si>
  <si>
    <t>tld</t>
  </si>
  <si>
    <t>vxrm-host</t>
  </si>
  <si>
    <t>192.168.0.205</t>
  </si>
  <si>
    <t>1002</t>
  </si>
  <si>
    <t>192.168.0.200</t>
  </si>
  <si>
    <t>host</t>
  </si>
  <si>
    <t>192.168.0.60</t>
  </si>
  <si>
    <t>192.168.0.20</t>
  </si>
  <si>
    <t>192.168.0.35</t>
  </si>
  <si>
    <t>192.168.0.32</t>
  </si>
  <si>
    <t>192.168.0.100</t>
  </si>
  <si>
    <t>vchost</t>
  </si>
  <si>
    <t>esxmgmtuser</t>
  </si>
  <si>
    <t>192.168.0.50</t>
  </si>
  <si>
    <t>192.168.0.19</t>
  </si>
  <si>
    <t>192.168.0.24</t>
  </si>
  <si>
    <t>192.168.0.51</t>
  </si>
  <si>
    <t>192.168.0.25</t>
  </si>
  <si>
    <t>esxi-03</t>
  </si>
  <si>
    <t>192.168.0.52</t>
  </si>
  <si>
    <t>192.168.0.21</t>
  </si>
  <si>
    <t>192.168.0.26</t>
  </si>
  <si>
    <t>esxuname</t>
  </si>
  <si>
    <t>RAck07</t>
  </si>
  <si>
    <t>192.168.0.40</t>
  </si>
  <si>
    <t>192.168.0.80</t>
  </si>
  <si>
    <t>192.168.0.101</t>
  </si>
  <si>
    <t>192.168.0.41</t>
  </si>
  <si>
    <t>192.168.0.81</t>
  </si>
  <si>
    <t>192.168.0.102</t>
  </si>
  <si>
    <t>192.168.0.42</t>
  </si>
  <si>
    <t>192.168.0.82</t>
  </si>
  <si>
    <t>192.168.0.103</t>
  </si>
  <si>
    <t>starter.7.0.010.jsonesxi-01</t>
  </si>
  <si>
    <t>esximgmtuser</t>
  </si>
  <si>
    <t>192.168.0.99</t>
  </si>
  <si>
    <t>192.168.0.49</t>
  </si>
  <si>
    <t>starter.7.0.010.jsonesxi-02</t>
  </si>
  <si>
    <t>starter.7.0.010.jsonesxi-03</t>
  </si>
  <si>
    <t>192.168.0.22</t>
  </si>
  <si>
    <t>starter.7.0.010.jsonesxi-04</t>
  </si>
  <si>
    <t>esxi-04</t>
  </si>
  <si>
    <t>192.168.0.23</t>
  </si>
  <si>
    <t>starter.7.0.010.jsonesxi-05</t>
  </si>
  <si>
    <t>esxi-05</t>
  </si>
  <si>
    <t>192.168.0.53</t>
  </si>
  <si>
    <t>starter.7.0.010.jsonesxi-06</t>
  </si>
  <si>
    <t>esxi-06</t>
  </si>
  <si>
    <t>192.168.0.104</t>
  </si>
  <si>
    <t>192.168.0.54</t>
  </si>
  <si>
    <t>192.168.0.150</t>
  </si>
  <si>
    <t>192.168.0.151</t>
  </si>
  <si>
    <t>192.168.0.61</t>
  </si>
  <si>
    <t>192.168.0.152</t>
  </si>
  <si>
    <t>192.168.0.62</t>
  </si>
  <si>
    <t>network.nic_profile</t>
  </si>
  <si>
    <t>network.management_portgroup_binding_type</t>
  </si>
  <si>
    <t>network.systemvm_portgroup_binding_type</t>
  </si>
  <si>
    <t>network.sfs.configured</t>
  </si>
  <si>
    <t>FALSE</t>
  </si>
  <si>
    <t>TWO_HIGH_SPEED</t>
  </si>
  <si>
    <t>TRUE</t>
  </si>
  <si>
    <t>vmguests</t>
  </si>
  <si>
    <t>vds.portgroups.failover_order</t>
  </si>
  <si>
    <t>vlanguid</t>
  </si>
  <si>
    <t>[Record]</t>
  </si>
  <si>
    <t>5VXRAILDISCOVERYstarter-2N-exisitng-vds.json</t>
  </si>
  <si>
    <t>0MANAGEMENTstarter-2N-exisitng-vds.json</t>
  </si>
  <si>
    <t>4VXRAILSYSTEMVMstarter-2N-exisitng-vds.json</t>
  </si>
  <si>
    <t>1VSANstarter-2N-exisitng-vds.json</t>
  </si>
  <si>
    <t>2VMOTIONstarter-2N-exisitng-vds.json</t>
  </si>
  <si>
    <t>6WITNESSstarter-2N-exisitng-vds.json</t>
  </si>
  <si>
    <t>3939VXRAILDISCOVERYstarter-6nodes.json</t>
  </si>
  <si>
    <t>1MANAGEMENTstarter-6nodes.json</t>
  </si>
  <si>
    <t>1VXRAILSYSTEMVMstarter-6nodes.json</t>
  </si>
  <si>
    <t>1VSANstarter-6nodes.json</t>
  </si>
  <si>
    <t>1VMOTIONstarter-6nodes.json</t>
  </si>
  <si>
    <t>1CUSTOMERVMstarter-6nodes.json</t>
  </si>
  <si>
    <t>3939VXRAILDISCOVERYstarter-7.0.210.json</t>
  </si>
  <si>
    <t>1MANAGEMENTstarter-7.0.210.json</t>
  </si>
  <si>
    <t>1VXRAILSYSTEMVMstarter-7.0.210.json</t>
  </si>
  <si>
    <t>3VSANstarter-7.0.210.json</t>
  </si>
  <si>
    <t>6VMOTIONstarter-7.0.210.json</t>
  </si>
  <si>
    <t>0MANAGEMENTstarter.7.0.010.json</t>
  </si>
  <si>
    <t>1VSANstarter.7.0.010.json</t>
  </si>
  <si>
    <t>0VMOTIONstarter.7.0.010.json</t>
  </si>
  <si>
    <t>0CUSTOMERVMstarter.7.0.010.json</t>
  </si>
  <si>
    <t>vds</t>
  </si>
  <si>
    <t>sfs.configured</t>
  </si>
  <si>
    <t>[List]</t>
  </si>
  <si>
    <t>uplink2;uplink1</t>
  </si>
  <si>
    <t>uplink1;uplink2</t>
  </si>
  <si>
    <t>failover order</t>
  </si>
  <si>
    <t>nic proflie</t>
  </si>
  <si>
    <t>cidr notation</t>
  </si>
  <si>
    <t>Global Search</t>
  </si>
  <si>
    <t>VLAN Quickview</t>
  </si>
  <si>
    <t>Search Results</t>
  </si>
  <si>
    <t>Host</t>
  </si>
  <si>
    <t>service</t>
  </si>
  <si>
    <t>mgmt</t>
  </si>
  <si>
    <t>top level domain</t>
  </si>
  <si>
    <t>starter-2N-novds.json</t>
  </si>
  <si>
    <t>starter-7.0.100-2.json</t>
  </si>
  <si>
    <t>starter-sfstest.json</t>
  </si>
  <si>
    <t>starter7.0.100-1.json</t>
  </si>
  <si>
    <t>starter-2N-novds.jsonesxi-01</t>
  </si>
  <si>
    <t>starter-2N-novds.jsonesxi-02</t>
  </si>
  <si>
    <t>starter-7.0.100-2.jsonesxi-01</t>
  </si>
  <si>
    <t>starter-7.0.100-2.jsonesxi-02</t>
  </si>
  <si>
    <t>starter-7.0.100-2.jsonesxi-03</t>
  </si>
  <si>
    <t>starter-sfstest.jsonesxi-01</t>
  </si>
  <si>
    <t>starter-sfstest.jsonesxi-02</t>
  </si>
  <si>
    <t>starter-sfstest.jsonesxi-03</t>
  </si>
  <si>
    <t>starter7.0.100-1.jsonesx-01</t>
  </si>
  <si>
    <t>starter7.0.100-1.jsonesx-02</t>
  </si>
  <si>
    <t>starter7.0.100-1.jsonesx-03</t>
  </si>
  <si>
    <t>1MANAGEMENTstarter-2N-novds.json</t>
  </si>
  <si>
    <t>2VSANstarter-2N-novds.json</t>
  </si>
  <si>
    <t>3VMOTIONstarter-2N-novds.json</t>
  </si>
  <si>
    <t>6WITNESSstarter-2N-novds.json</t>
  </si>
  <si>
    <t>4CUSTOMERVMstarter-2N-novds.json</t>
  </si>
  <si>
    <t>5CUSTOMERVMstarter-2N-novds.json</t>
  </si>
  <si>
    <t>1MANAGEMENTstarter-sfstest.json</t>
  </si>
  <si>
    <t>1VSANstarter-sfstest.json</t>
  </si>
  <si>
    <t>1VMOTIONstarter-sfstest.json</t>
  </si>
  <si>
    <t>1MANAGEMENTstarter-7.0.100-2.json</t>
  </si>
  <si>
    <t>1VSANstarter-7.0.100-2.json</t>
  </si>
  <si>
    <t>1VMOTIONstarter-7.0.100-2.json</t>
  </si>
  <si>
    <t>1MANAGEMENTstarter7.0.100-1.json</t>
  </si>
  <si>
    <t>2VSANstarter7.0.100-1.json</t>
  </si>
  <si>
    <t>3VMOTIONstarter7.0.100-1.json</t>
  </si>
  <si>
    <t>dupe quickview vlans - valid or bug?</t>
  </si>
  <si>
    <t>sfs declared</t>
  </si>
  <si>
    <t>Custom</t>
  </si>
  <si>
    <t>Host Quickview</t>
  </si>
  <si>
    <t>HOST	MGMT	VSAN	VMOTION
host-01	192.168.1.50	192.168.80.1	192.168.90.1
host-02	192.168.1.51	192.168.80.2	192.168.90.2</t>
  </si>
  <si>
    <t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t>
  </si>
  <si>
    <t>HOST	MGMT	VSAN	VMOTION
esxi-01	192.168.1.20	192.168.4.1	192.168.5.1
esxi-02	192.168.1.21	192.168.4.2	192.168.5.2</t>
  </si>
  <si>
    <t xml:space="preserve">VLAN_ID	VLAN NAME	PNIC
1	(MANAGEMENT)	
2	(VSAN)	
3	(VMOTION)	
6	(WITNESS)	
4	(CUSTOMERVM)	
5	(CUSTOMERVM)	</t>
  </si>
  <si>
    <t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t>
  </si>
  <si>
    <t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t>
  </si>
  <si>
    <t>HOST	MGMT	VSAN	VMOTION
esxi-01	192.168.0.50	192.168.0.19	192.168.0.24
esxi-02	192.168.0.51	192.168.0.20	192.168.0.25
esxi-03	192.168.0.52	192.168.0.21	192.168.0.26</t>
  </si>
  <si>
    <t xml:space="preserve">VLAN_ID	VLAN NAME	PNIC
1	(MANAGEMENT)	
1	(VSAN)	
1	(VMOTION)	</t>
  </si>
  <si>
    <t>HOST	MGMT	VSAN	VMOTION
esx-01	192.168.1.51	192.168.1.170	192.168.1.179
esx-02	192.168.1.52	192.168.1.171	192.168.1.180
esx-03	192.168.1.53	192.168.1.172	192.168.1.181</t>
  </si>
  <si>
    <t>VLAN_ID	VLAN NAME	PNIC
3939	(VXRAILDISCOVERY)	vmnic2
1	(MANAGEMENT)	vmnic2
1	(VXRAILSYSTEMVM)	vmnic2
3939	(VXRAILDISCOVERY)	vmnic3
1	(MANAGEMENT)	vmnic3
1	(VXRAILSYSTEMVM)	vmnic3
3	(VSAN)	vmnic11
6	(VMOTION)	vmnic11
3	(VSAN)	vmnic10
6	(VMOTION)	vmnic10</t>
  </si>
  <si>
    <t>HOST	MGMT	VSAN	VMOTION
esxi-01	192.168.0.100	192.168.0.40	192.168.0.80
esxi-02	192.168.0.101	192.168.0.41	192.168.0.81
esxi-03	192.168.0.102	192.168.0.42	192.168.0.82</t>
  </si>
  <si>
    <t>HOST	MGMT	VSAN	VMOTION
esxi-01	192.168.0.20	192.168.0.99	192.168.0.49
esxi-02	192.168.0.21	192.168.0.100	192.168.0.50
esxi-03	192.168.0.22	192.168.0.101	192.168.0.51
esxi-04	192.168.0.23	192.168.0.102	192.168.0.52
esxi-05	192.168.0.24	192.168.0.103	192.168.0.53
esxi-06	192.168.0.25	192.168.0.104	192.168.0.54</t>
  </si>
  <si>
    <t xml:space="preserve">VLAN_ID	VLAN NAME	PNIC
0	(MANAGEMENT)	
1	(VSAN)	
0	(VMOTION)	
0	(CUSTOMERVM)	</t>
  </si>
  <si>
    <t>HOST	MGMT	VSAN	VMOTION
esx-01	192.168.0.150	192.168.0.50	192.168.0.60
esx-02	192.168.0.151	192.168.0.51	192.168.0.61
esx-03	192.168.0.152	192.168.0.52	192.168.0.62</t>
  </si>
  <si>
    <t xml:space="preserve">VLAN_ID	VLAN NAME	PNIC
1	(MANAGEMENT)	
2	(VSAN)	
3	(VMOTION)	</t>
  </si>
  <si>
    <t>internal_dns</t>
  </si>
  <si>
    <t>cust_supplied_vc_ip</t>
  </si>
  <si>
    <t>rack</t>
  </si>
  <si>
    <t>psnt</t>
  </si>
  <si>
    <t>pgbindingtype</t>
  </si>
  <si>
    <t>sysvmbindingtype</t>
  </si>
  <si>
    <t>pgtype</t>
  </si>
  <si>
    <t>pgname</t>
  </si>
  <si>
    <t>pg.failover.order</t>
  </si>
  <si>
    <t>uplinkname</t>
  </si>
  <si>
    <t>pnic</t>
  </si>
  <si>
    <t>Global</t>
  </si>
  <si>
    <t>VxRail Version</t>
  </si>
  <si>
    <t>Cluster Type</t>
  </si>
  <si>
    <t>Top Level Domain</t>
  </si>
  <si>
    <t>Cluster Name</t>
  </si>
  <si>
    <t>First NTP Server</t>
  </si>
  <si>
    <t>First DNS Server</t>
  </si>
  <si>
    <t>First Syslog Server</t>
  </si>
  <si>
    <t>Datacenter name</t>
  </si>
  <si>
    <t>Disk Group Type</t>
  </si>
  <si>
    <t>Customer-supplied vcenter</t>
  </si>
  <si>
    <t>vCenter name</t>
  </si>
  <si>
    <t>Smart Fabric Services</t>
  </si>
  <si>
    <t>VxRail Manager hostname</t>
  </si>
  <si>
    <t>VxRail Manager IP address</t>
  </si>
  <si>
    <t>Account name - root</t>
  </si>
  <si>
    <t>Account name - service</t>
  </si>
  <si>
    <t>Account name - admin</t>
  </si>
  <si>
    <t>Account name - management</t>
  </si>
  <si>
    <t>Gateway - cluster management</t>
  </si>
  <si>
    <t>Netmask - cluster management</t>
  </si>
  <si>
    <t>Netmask - VSAN</t>
  </si>
  <si>
    <t>Netmask - vmotion</t>
  </si>
  <si>
    <t>Gateway - witness</t>
  </si>
  <si>
    <t>IP - witness management</t>
  </si>
  <si>
    <t>Netmask - witness</t>
  </si>
  <si>
    <t>Account name - witness</t>
  </si>
  <si>
    <t>IP - vxrail supplied</t>
  </si>
  <si>
    <t>IP - customer supplied</t>
  </si>
  <si>
    <t>Internal DNS</t>
  </si>
  <si>
    <t>vCenter name - VxRail Supplied</t>
  </si>
  <si>
    <t>Rack Name</t>
  </si>
  <si>
    <t>Rack position</t>
  </si>
  <si>
    <t>PSNT</t>
  </si>
  <si>
    <t>NIC Profile</t>
  </si>
  <si>
    <t>Portgroup binding type</t>
  </si>
  <si>
    <t>System VM binding type</t>
  </si>
  <si>
    <t>Portgroup type</t>
  </si>
  <si>
    <t>VLAN ID</t>
  </si>
  <si>
    <t>Portgroup name</t>
  </si>
  <si>
    <t>Failover Order</t>
  </si>
  <si>
    <t>Uplink Name</t>
  </si>
  <si>
    <t>Physical NIC</t>
  </si>
  <si>
    <t>VDS Name</t>
  </si>
  <si>
    <t>Keyword</t>
  </si>
  <si>
    <t>Display</t>
  </si>
  <si>
    <t>Search example</t>
  </si>
  <si>
    <t>Category</t>
  </si>
  <si>
    <t>Search prefix</t>
  </si>
  <si>
    <t>true;false</t>
  </si>
  <si>
    <t>created</t>
  </si>
  <si>
    <t>Created date</t>
  </si>
  <si>
    <t>Modified date</t>
  </si>
  <si>
    <t>YYMMDD</t>
  </si>
  <si>
    <t>modified</t>
  </si>
  <si>
    <t>mgmt ip</t>
  </si>
  <si>
    <t>vsan ip:</t>
  </si>
  <si>
    <t>vmotion ip</t>
  </si>
  <si>
    <t>Management IP address</t>
  </si>
  <si>
    <t>VSAN IP address</t>
  </si>
  <si>
    <t>vMotion IP address</t>
  </si>
  <si>
    <t>witness ip</t>
  </si>
  <si>
    <t>Witness IP address</t>
  </si>
  <si>
    <t>ModVer</t>
  </si>
  <si>
    <t>CreateVer</t>
  </si>
  <si>
    <t>create</t>
  </si>
  <si>
    <t>mod</t>
  </si>
  <si>
    <t>Search entire JSON</t>
  </si>
  <si>
    <t>ex: Standard;VSAN2NODE</t>
  </si>
  <si>
    <t>ex: example.com</t>
  </si>
  <si>
    <t>ex: EU-GER-BER-01-CL01</t>
  </si>
  <si>
    <t>ex: EU-GER-BER-01-R08</t>
  </si>
  <si>
    <t>ex: QCFVR161196001</t>
  </si>
  <si>
    <t>ex: 192.168.1.10</t>
  </si>
  <si>
    <t>ex: 192.168.2.10</t>
  </si>
  <si>
    <t>ex: 192.168.3.10</t>
  </si>
  <si>
    <t>ex: 192.168.4.10</t>
  </si>
  <si>
    <t>ex: 8.8.8.8</t>
  </si>
  <si>
    <t>ex: 132.163.96.5</t>
  </si>
  <si>
    <t>ex: 192.168.0.25</t>
  </si>
  <si>
    <t>ex: vcsa</t>
  </si>
  <si>
    <t>ex: frankfurt-vc02</t>
  </si>
  <si>
    <t>ex: root</t>
  </si>
  <si>
    <t>ex: mystic</t>
  </si>
  <si>
    <t>ex: admin@vsphere.local</t>
  </si>
  <si>
    <t>ex: vcsamanager</t>
  </si>
  <si>
    <t>ex: witnessuser</t>
  </si>
  <si>
    <t>ex: 192.168.0.1</t>
  </si>
  <si>
    <t>ex: 192.168.1.1</t>
  </si>
  <si>
    <t>ex: 255.255.255.0</t>
  </si>
  <si>
    <t>ex: 192.168.0.20</t>
  </si>
  <si>
    <t>ex: 3939</t>
  </si>
  <si>
    <t>ex: VXRAILDISCOVERY</t>
  </si>
  <si>
    <t>ex: EU-GER-BER-01-VL-DISC</t>
  </si>
  <si>
    <t>ex: vmnic0</t>
  </si>
  <si>
    <t>ex: EU-GER-BER-01-VDS01</t>
  </si>
  <si>
    <t>ex: uplink[n];uplink[n]</t>
  </si>
  <si>
    <t>ex: EU-GER-BER-01-CL01-UL01</t>
  </si>
  <si>
    <t>ex: TWO_HIGH_SPEED</t>
  </si>
  <si>
    <t>ex: STATIC|EPHEMERAL</t>
  </si>
  <si>
    <t>ex: EU-GER-BER-01</t>
  </si>
  <si>
    <t>210713</t>
  </si>
  <si>
    <t>210831</t>
  </si>
  <si>
    <t>210712</t>
  </si>
  <si>
    <t>210720</t>
  </si>
  <si>
    <t>210719</t>
  </si>
  <si>
    <t xml:space="preserve">starter-2N-exisitng-vds.json
createver:210713
modver:210831
version:7.0.201
Type:VSAN2NODE	NTP Servers:	internal_dns:false	DNS Servers:192.168.1.1	Syslog Servers:	top level domain:example.com	clus mgmt netmask:255.255.255.0	clus mgmt gw:192.168.1.1	vsan netmask:255.255.255.0	vmotion netmask:255.255.255.0	witness.gateway:192.168.100.1	witness.netmask:255.255.255.0	vxrm hostname:vxrm	vxrm ip:192.168.1.58	root:root	service:mystic		customer_supplied_vc:true				admin:vcenteruser@vcadmin.com	mgmt:vcentermgr	cluster_name:2_node_2VDS	cust_supplied_vc_ip:192.168.1.151	Datacenter name:customdatacentername	witness.gateway:192.168.100.1	witness.management_ip:192.168.100.3	witness.netmask:255.255.255.0	witness.username:witnessuser	witness_ip:192.168.100.4	ADVANCED_CUSTOMER_SUPPLIED_VDS			sfs declared:FALSE
host:host-01	root:root	mgmt:esximgr	rack:		psnt:		MGMT IP:192.168.1.50	VSAN IP:192.168.80.1	VMOTION IP:192.168.90.1	WITNESS IP:192.168.100.1
host:host-02	root:root	mgmt:esximgr	rack:		psnt:		MGMT IP:192.168.1.51	VSAN IP:192.168.80.2	VMOTION IP:192.168.90.2	WITNESS IP:192.168.100.2
nic_profile:ADVANCED_CUSTOMER_SUPPLIED_VDS		pgtype:VXRAILDISCOVERY	vlan_id:5	pgname:DiscoveryCustomer		vds1uplink1	vmnic0	ExistingVDS1	
nic_profile:ADVANCED_CUSTOMER_SUPPLIED_VDS		pgtype:MANAGEMENT	vlan_id:0	pgname:MgmtCustom		vds1uplink1	vmnic0	ExistingVDS1	
nic_profile:ADVANCED_CUSTOMER_SUPPLIED_VDS		pgtype:VXRAILSYSTEMVM	vlan_id:4	pgname:vcenterCustom		vds1uplink1	vmnic0	ExistingVDS1	
nic_profile:ADVANCED_CUSTOMER_SUPPLIED_VDS		pgtype:VXRAILDISCOVERY	vlan_id:5	pgname:DiscoveryCustomer		vds1uplink2	vmnic1	ExistingVDS1	
nic_profile:ADVANCED_CUSTOMER_SUPPLIED_VDS		pgtype:MANAGEMENT	vlan_id:0	pgname:MgmtCustom		vds1uplink2	vmnic1	ExistingVDS1	
nic_profile:ADVANCED_CUSTOMER_SUPPLIED_VDS		pgtype:VXRAILSYSTEMVM	vlan_id:4	pgname:vcenterCustom		vds1uplink2	vmnic1	ExistingVDS1	
nic_profile:ADVANCED_CUSTOMER_SUPPLIED_VDS		pgtype:VSAN	vlan_id:1	pgname:vsancustom		vds2uplink1	vmnic2	ExistingVDS2	
nic_profile:ADVANCED_CUSTOMER_SUPPLIED_VDS		pgtype:VMOTION	vlan_id:2	pgname:vmotioncustom		vds2uplink1	vmnic2	ExistingVDS2	
nic_profile:ADVANCED_CUSTOMER_SUPPLIED_VDS		pgtype:WITNESS	vlan_id:6	pgname:witnesscustom		vds2uplink1	vmnic2	ExistingVDS2	
nic_profile:ADVANCED_CUSTOMER_SUPPLIED_VDS		pgtype:VSAN	vlan_id:1	pgname:vsancustom		vds2uplink2	vmnic3	ExistingVDS2	
nic_profile:ADVANCED_CUSTOMER_SUPPLIED_VDS		pgtype:VMOTION	vlan_id:2	pgname:vmotioncustom		vds2uplink2	vmnic3	ExistingVDS2	
nic_profile:ADVANCED_CUSTOMER_SUPPLIED_VDS		pgtype:WITNESS	vlan_id:6	pgname:witnesscustom		vds2uplink2	vmnic3	ExistingVDS2	</t>
  </si>
  <si>
    <t>starter-2N-novds.json
createver:210712
modver:210831
version:7.0.202
Type:VSAN2NODE	NTP Servers:	internal_dns:false	DNS Servers:192.168.0.1	Syslog Servers:	top level domain:example.com	clus mgmt netmask:255.255.255.0	clus mgmt gw:192.168.1.1	vsan netmask:255.255.255.0	vmotion netmask:255.255.255.0	witness.gateway:	witness.netmask:255.255.255.0	vxrm hostname:vxrm	vxrm ip:192.168.1.10	root:root	service:mystic		customer_supplied_vc:true				admin:admin@vcenter.example.com	mgmt:admin	cluster_name:2Node	cust_supplied_vc_ip:vcenter.example.com	Datacenter name:ROBO	witness.gateway:	witness.management_ip:192.168.5.3	witness.netmask:255.255.255.0	witness.username:admin	witness_ip:192.168.5.4	FOUR_HIGH_SPEED	STATIC_BINDING	EPHEMERAL	sfs declared:FALSE
host:esxi-01	root:root	mgmt:admin	rack:		psnt:		MGMT IP:192.168.1.20	VSAN IP:192.168.4.1	VMOTION IP:192.168.5.1	WITNESS IP:192.168.6.1
host:esxi-02	root:root	mgmt:admin	rack:		psnt:		MGMT IP:192.168.1.21	VSAN IP:192.168.4.2	VMOTION IP:192.168.5.2	WITNESS IP:192.168.6.2
nic_profile:FOUR_HIGH_SPEED	pgbindingtype:STATIC_BINDING	pgtype:MANAGEMENT	vlan_id:1						EPHEMERAL
nic_profile:FOUR_HIGH_SPEED	pgbindingtype:STATIC_BINDING	pgtype:VSAN	vlan_id:2						EPHEMERAL
nic_profile:FOUR_HIGH_SPEED	pgbindingtype:STATIC_BINDING	pgtype:VMOTION	vlan_id:3						EPHEMERAL
nic_profile:FOUR_HIGH_SPEED	pgbindingtype:STATIC_BINDING	pgtype:WITNESS	vlan_id:6						EPHEMERAL
nic_profile:FOUR_HIGH_SPEED	pgbindingtype:STATIC_BINDING	pgtype:CUSTOMERVM	vlan_id:4	pgname:Guest VLAN					EPHEMERAL
nic_profile:FOUR_HIGH_SPEED	pgbindingtype:STATIC_BINDING	pgtype:CUSTOMERVM	vlan_id:5	pgname:Admin VLAN					EPHEMERAL</t>
  </si>
  <si>
    <t>starter-6nodes.json
createver:210720
modver:210831
version:7.0.130
Type:STANDARD	NTP Servers:192.168.1.3	internal_dns:false	DNS Servers:192.168.1.2	Syslog Servers:192.168.1.4	top level domain:6nodes.com	clus mgmt netmask:255.255.255.0	clus mgmt gw:192.168.1.1	vsan netmask:255.255.255.0	vmotion netmask:255.255.255.0			vxrm hostname:vxrm	vxrm ip:192.168.1.7	root:root	service:mystic		customer_supplied_vc:false	vxrail_supplied_vc_ip:192.168.1.5	vxrail_supplied_vc_name:vcsa	root:root	admin:administrator@vsphere.local	mgmt:vcsamgr									ADVANCED_VXRAIL_SUPPLIED_VDS	EPHEMERAL	STATIC_BINDING	sfs declared:FALSE
host:6node-01	root:root	mgmt:esximgr	rack:rack01	position:5	psnt:		MGMT IP:192.168.1.10	VSAN IP:192.168.10.10	VMOTION IP:192.168.11.10	
host:6node-02	root:root	mgmt:esximgr	rack:rack01	position:6	psnt:		MGMT IP:192.168.1.11	VSAN IP:192.168.10.11	VMOTION IP:192.168.11.11	
host:6node-03	root:root	mgmt:esximgr	rack:rack01	position:7	psnt:		MGMT IP:192.168.1.12	VSAN IP:192.168.10.12	VMOTION IP:192.168.11.12	
host:6node-04	root:root	mgmt:esximgr	rack:rack01	position:5	psnt:		MGMT IP:192.168.1.13	VSAN IP:192.168.10.13	VMOTION IP:192.168.11.13	
host:6node-05	root:root	mgmt:esximgr	rack:rack02	position:4	psnt:		MGMT IP:192.168.1.14	VSAN IP:192.168.10.14	VMOTION IP:192.168.11.14	
host:6node-06	root:root	mgmt:esximgr	rack:rack02	position:5	psnt:		MGMT IP:192.168.1.15	VSAN IP:192.168.10.15	VMOTION IP:192.168.11.15	
nic_profile:ADVANCED_VXRAIL_SUPPLIED_VDS	pgbindingtype:EPHEMERAL	pgtype:VXRAILDISCOVERY	vlan_id:3939		uplink1;uplink2	uplink1	vmnic0		STATIC_BINDING
nic_profile:ADVANCED_VXRAIL_SUPPLIED_VDS	pgbindingtype:EPHEMERAL	pgtype:MANAGEMENT	vlan_id:1		uplink1;uplink2	uplink1	vmnic0		STATIC_BINDING
nic_profile:ADVANCED_VXRAIL_SUPPLIED_VDS	pgbindingtype:EPHEMERAL	pgtype:VXRAILSYSTEMVM	vlan_id:1		uplink1;uplink2	uplink1	vmnic0		STATIC_BINDING
nic_profile:ADVANCED_VXRAIL_SUPPLIED_VDS	pgbindingtype:EPHEMERAL	pgtype:VSAN	vlan_id:1		uplink1;uplink2	uplink1	vmnic0		STATIC_BINDING
nic_profile:ADVANCED_VXRAIL_SUPPLIED_VDS	pgbindingtype:EPHEMERAL	pgtype:VMOTION	vlan_id:1		uplink1;uplink2	uplink1	vmnic0		STATIC_BINDING
nic_profile:ADVANCED_VXRAIL_SUPPLIED_VDS	pgbindingtype:EPHEMERAL	pgtype:CUSTOMERVM	vlan_id:1	pgname:vmguest	uplink1;uplink2	uplink1	vmnic0		STATIC_BINDING
nic_profile:ADVANCED_VXRAIL_SUPPLIED_VDS	pgbindingtype:EPHEMERAL	pgtype:VXRAILDISCOVERY	vlan_id:3939		uplink1;uplink2	uplink2	vmnic3		STATIC_BINDING
nic_profile:ADVANCED_VXRAIL_SUPPLIED_VDS	pgbindingtype:EPHEMERAL	pgtype:MANAGEMENT	vlan_id:1		uplink1;uplink2	uplink2	vmnic3		STATIC_BINDING
nic_profile:ADVANCED_VXRAIL_SUPPLIED_VDS	pgbindingtype:EPHEMERAL	pgtype:VXRAILSYSTEMVM	vlan_id:1		uplink1;uplink2	uplink2	vmnic3		STATIC_BINDING
nic_profile:ADVANCED_VXRAIL_SUPPLIED_VDS	pgbindingtype:EPHEMERAL	pgtype:VSAN	vlan_id:1		uplink1;uplink2	uplink2	vmnic3		STATIC_BINDING
nic_profile:ADVANCED_VXRAIL_SUPPLIED_VDS	pgbindingtype:EPHEMERAL	pgtype:VMOTION	vlan_id:1		uplink1;uplink2	uplink2	vmnic3		STATIC_BINDING
nic_profile:ADVANCED_VXRAIL_SUPPLIED_VDS	pgbindingtype:EPHEMERAL	pgtype:CUSTOMERVM	vlan_id:1	pgname:vmguest	uplink1;uplink2	uplink2	vmnic3		STATIC_BINDING</t>
  </si>
  <si>
    <t>starter-7.0.100-2.json
createver:210831
modver:210831
version:7.0.100
Type:STANDARD	NTP Servers:	internal_dns:true	DNS Servers:	Syslog Servers:	top level domain:tld.com	clus mgmt netmask:255.255.255.0	clus mgmt gw:192.168.0.1	vsan netmask:255.255.255.0	vmotion netmask:255.255.255.0			vxrm hostname:vxrmhost	vxrm ip:192.168.0.15	root:root	service:mystic		customer_supplied_vc:false	vxrail_supplied_vc_ip:192.168.0.10	vxrail_supplied_vc_name:vcenter	root:root	admin:administrator@vsphere.local	mgmt:vcuser												sfs declared:FALSE
host:esxi-01	root:root	mgmt:esxmgmtuser	rack:		psnt:		MGMT IP:192.168.0.50	VSAN IP:192.168.0.19	VMOTION IP:192.168.0.24	
host:esxi-02	root:root	mgmt:esxmgmtuser	rack:		psnt:		MGMT IP:192.168.0.51	VSAN IP:192.168.0.20	VMOTION IP:192.168.0.25	
host:esxi-03	root:root	mgmt:esxmgmtuser	rack:		psnt:		MGMT IP:192.168.0.52	VSAN IP:192.168.0.21	VMOTION IP:192.168.0.26	
nic_profile:TWO_HIGH_SPEED		pgtype:MANAGEMENT	vlan_id:1						EPHEMERAL
nic_profile:TWO_HIGH_SPEED		pgtype:VSAN	vlan_id:1						EPHEMERAL
nic_profile:TWO_HIGH_SPEED		pgtype:VMOTION	vlan_id:1						EPHEMERAL</t>
  </si>
  <si>
    <t>starter-7.0.210.json
createver:210719
modver:210831
version:7.0.210
Type:STANDARD	NTP Servers:192.168.1.10	internal_dns:false	DNS Servers:192.168.1.12	Syslog Servers:192.168.1.11	top level domain:example.com	clus mgmt netmask:255.255.255.0	clus mgmt gw:192.168.1.1	vsan netmask:255.255.255.0	vmotion netmask:255.255.255.0			vxrm hostname:vxrm	vxrm ip:192.168.1.70	root:root	service:mystic	DiskGroupType:2403	customer_supplied_vc:true				admin:vcadmin@example.com	mgmt:vcmgmt	cluster_name:7.x.210	cust_supplied_vc_ip:vcenter.example.com	Datacenter name:DC01						ADVANCED_VXRAIL_SUPPLIED_VDS	STATIC_BINDING	STATIC_BINDING	sfs declared:TRUE
host:esx-01	root:root	mgmt:esxmgmt	rack:Rack01	position:2	psnt:	192.168.1.100	MGMT IP:192.168.1.51	VSAN IP:192.168.1.170	VMOTION IP:192.168.1.179	
host:esx-02	root:root	mgmt:esxmgmt	rack:Rack02	position:3	psnt:	192.168.1.101	MGMT IP:192.168.1.52	VSAN IP:192.168.1.171	VMOTION IP:192.168.1.180	
host:esx-03	root:root	mgmt:esxmgmt	rack:Rack02	position:4	psnt:	192.168.1.102	MGMT IP:192.168.1.53	VSAN IP:192.168.1.172	VMOTION IP:192.168.1.181	
nic_profile:ADVANCED_VXRAIL_SUPPLIED_VDS	pgbindingtype:STATIC_BINDING	pgtype:VXRAILDISCOVERY	vlan_id:3939		uplink1;uplink2	uplink1	vmnic2		STATIC_BINDING
nic_profile:ADVANCED_VXRAIL_SUPPLIED_VDS	pgbindingtype:STATIC_BINDING	pgtype:MANAGEMENT	vlan_id:1		uplink1;uplink2	uplink1	vmnic2		STATIC_BINDING
nic_profile:ADVANCED_VXRAIL_SUPPLIED_VDS	pgbindingtype:STATIC_BINDING	pgtype:VXRAILSYSTEMVM	vlan_id:1		uplink1;uplink2	uplink1	vmnic2		STATIC_BINDING
nic_profile:ADVANCED_VXRAIL_SUPPLIED_VDS	pgbindingtype:STATIC_BINDING	pgtype:VXRAILDISCOVERY	vlan_id:3939		uplink1;uplink2	uplink2	vmnic3		STATIC_BINDING
nic_profile:ADVANCED_VXRAIL_SUPPLIED_VDS	pgbindingtype:STATIC_BINDING	pgtype:MANAGEMENT	vlan_id:1		uplink1;uplink2	uplink2	vmnic3		STATIC_BINDING
nic_profile:ADVANCED_VXRAIL_SUPPLIED_VDS	pgbindingtype:STATIC_BINDING	pgtype:VXRAILSYSTEMVM	vlan_id:1		uplink1;uplink2	uplink2	vmnic3		STATIC_BINDING
nic_profile:ADVANCED_VXRAIL_SUPPLIED_VDS	pgbindingtype:STATIC_BINDING	pgtype:VSAN	vlan_id:3		uplink2;uplink1	uplink1	vmnic11		STATIC_BINDING
nic_profile:ADVANCED_VXRAIL_SUPPLIED_VDS	pgbindingtype:STATIC_BINDING	pgtype:VMOTION	vlan_id:6		uplink1;uplink2	uplink1	vmnic11		STATIC_BINDING
nic_profile:ADVANCED_VXRAIL_SUPPLIED_VDS	pgbindingtype:STATIC_BINDING	pgtype:VSAN	vlan_id:3		uplink2;uplink1	uplink2	vmnic10		STATIC_BINDING
nic_profile:ADVANCED_VXRAIL_SUPPLIED_VDS	pgbindingtype:STATIC_BINDING	pgtype:VMOTION	vlan_id:6		uplink1;uplink2	uplink2	vmnic10		STATIC_BINDING</t>
  </si>
  <si>
    <t>starter-sfstest.json
createver:210831
modver:210831
version:7.0.210
Type:STANDARD	NTP Servers:	internal_dns:true	DNS Servers:	Syslog Servers:	top level domain:tld	clus mgmt netmask:255.255.255.0	clus mgmt gw:192.168.0.1	vsan netmask:255.255.255.0	vmotion netmask:255.255.255.0			vxrm hostname:vxrm-host	vxrm ip:192.168.0.205	root:root	service:mystic	DiskGroupType:1002	customer_supplied_vc:false	vxrail_supplied_vc_ip:192.168.0.200	vxrail_supplied_vc_name:host	root:root	admin:administrator@vsphere.local	mgmt:vcuser									TWO_HIGH_SPEED	STATIC_BINDING	EPHEMERAL	sfs declared:TRUE
host:esxi-01	root:root	mgmt:esxuname	rack:RAck07	position:1	psnt:		MGMT IP:192.168.0.100	VSAN IP:192.168.0.40	VMOTION IP:192.168.0.80	
host:esxi-02	root:root	mgmt:esxuname	rack:RAck07	position:3	psnt:		MGMT IP:192.168.0.101	VSAN IP:192.168.0.41	VMOTION IP:192.168.0.81	
host:esxi-03	root:root	mgmt:esxuname	rack:RAck07	position:4	psnt:		MGMT IP:192.168.0.102	VSAN IP:192.168.0.42	VMOTION IP:192.168.0.82	
nic_profile:TWO_HIGH_SPEED	pgbindingtype:STATIC_BINDING	pgtype:MANAGEMENT	vlan_id:1						EPHEMERAL
nic_profile:TWO_HIGH_SPEED	pgbindingtype:STATIC_BINDING	pgtype:VSAN	vlan_id:1						EPHEMERAL
nic_profile:TWO_HIGH_SPEED	pgbindingtype:STATIC_BINDING	pgtype:VMOTION	vlan_id:1						EPHEMERAL</t>
  </si>
  <si>
    <t>starter.7.0.010.json
createver:210831
modver:210831
version:7.0.010
Type:STANDARD	NTP Servers:	internal_dns:true	DNS Servers:	Syslog Servers:	top level domain:tld.com	clus mgmt netmask:255.255.255.0	clus mgmt gw:192.168.0.1	vsan netmask:255.255.255.0	vmotion netmask:255.255.255.0			vxrm hostname:vxrm-host	vxrm ip:192.168.0.35	root:root	service:mystic		customer_supplied_vc:false	vxrail_supplied_vc_ip:192.168.0.32	vxrail_supplied_vc_name:vcenter	root:root	admin:administrator@vsphere.local	mgmt:vcuser												sfs declared:TRUE
host:esxi-01	root:root	mgmt:esximgmtuser	rack:				MGMT IP:192.168.0.20	VSAN IP:192.168.0.99	VMOTION IP:192.168.0.49	
host:esxi-02	root:root	mgmt:esximgmtuser	rack:				MGMT IP:192.168.0.21	VSAN IP:192.168.0.100	VMOTION IP:192.168.0.50	
host:esxi-03	root:root	mgmt:esximgmtuser	rack:				MGMT IP:192.168.0.22	VSAN IP:192.168.0.101	VMOTION IP:192.168.0.51	
host:esxi-04	root:root	mgmt:esximgmtuser	rack:				MGMT IP:192.168.0.23	VSAN IP:192.168.0.102	VMOTION IP:192.168.0.52	
host:esxi-05	root:root	mgmt:esximgmtuser	rack:				MGMT IP:192.168.0.24	VSAN IP:192.168.0.103	VMOTION IP:192.168.0.53	
host:esxi-06	root:root	mgmt:esximgmtuser	rack:				MGMT IP:192.168.0.25	VSAN IP:192.168.0.104	VMOTION IP:192.168.0.54	
nic_profile:FOUR_HIGH_SPEED		pgtype:MANAGEMENT	vlan_id:0						EPHEMERAL
nic_profile:FOUR_HIGH_SPEED		pgtype:VSAN	vlan_id:1						EPHEMERAL
nic_profile:FOUR_HIGH_SPEED		pgtype:VMOTION	vlan_id:0						EPHEMERAL
nic_profile:FOUR_HIGH_SPEED		pgtype:CUSTOMERVM	vlan_id:0	pgname:vmguests					EPHEMERAL</t>
  </si>
  <si>
    <t>starter7.0.100-1.json
createver:210831
modver:210831
version:7.0.100
Type:STANDARD	NTP Servers:	internal_dns:true	DNS Servers:	Syslog Servers:	top level domain:tld.com	clus mgmt netmask:255.255.255.0	clus mgmt gw:192.168.0.1	vsan netmask:255.255.255.0	vmotion netmask:255.255.255.0			vxrm hostname:vxrmhost	vxrm ip:192.168.0.10	root:root	service:mystic		customer_supplied_vc:false	vxrail_supplied_vc_ip:192.168.0.100	vxrail_supplied_vc_name:vchost	root:root	admin:administrator@vsphere.local	mgmt:vcmgmt												sfs declared:TRUE
host:esx-01	root:root	mgmt:esxmgmt	rack:		psnt:		MGMT IP:192.168.0.150	VSAN IP:192.168.0.50	VMOTION IP:192.168.0.60	
host:esx-02	root:root	mgmt:esxmgmt	rack:		psnt:		MGMT IP:192.168.0.151	VSAN IP:192.168.0.51	VMOTION IP:192.168.0.61	
host:esx-03	root:root	mgmt:esxmgmt	rack:		psnt:		MGMT IP:192.168.0.152	VSAN IP:192.168.0.52	VMOTION IP:192.168.0.62	
nic_profile:TWO_HIGH_SPEED		pgtype:MANAGEMENT	vlan_id:1						EPHEMERAL
nic_profile:TWO_HIGH_SPEED		pgtype:VSAN	vlan_id:2						EPHEMERAL
nic_profile:TWO_HIGH_SPEED		pgtype:VMOTION	vlan_id:3						EPHEMERAL</t>
  </si>
  <si>
    <t>Version|Type|Nodes</t>
  </si>
  <si>
    <t>type</t>
  </si>
  <si>
    <t>version</t>
  </si>
  <si>
    <t>nodes</t>
  </si>
  <si>
    <t>Filesummary</t>
  </si>
  <si>
    <t>7.0.1</t>
  </si>
  <si>
    <t>STD</t>
  </si>
  <si>
    <t>7.0.201	2Node	2	starter-2N-exisitng-vds.json</t>
  </si>
  <si>
    <t>7.0.202	2Node	2	starter-2N-novds.json</t>
  </si>
  <si>
    <t>7.0.130	STD	6	starter-6nodes.json</t>
  </si>
  <si>
    <t>7.0.100	STD	3	starter-7.0.100-2.json</t>
  </si>
  <si>
    <t>7.0.210	STD	3	starter-7.0.210.json</t>
  </si>
  <si>
    <t>7.0.210	STD	3	starter-sfstest.json</t>
  </si>
  <si>
    <t>7.0.010	STD	6	starter.7.0.010.json</t>
  </si>
  <si>
    <t>7.0.100	STD	3	starter7.0.100-1.json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</si>
</sst>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shrinkToFit="1"/>
    </xf>
    <xf numFmtId="0" fontId="0" fillId="0" borderId="0" xfId="0" applyNumberFormat="1" applyAlignment="1">
      <alignment shrinkToFit="1"/>
    </xf>
    <xf numFmtId="0" fontId="6" fillId="3" borderId="0" xfId="2" applyBorder="1"/>
    <xf numFmtId="0" fontId="7" fillId="0" borderId="0" xfId="0" applyFont="1"/>
    <xf numFmtId="0" fontId="7" fillId="0" borderId="1" xfId="0" applyFont="1" applyBorder="1"/>
    <xf numFmtId="0" fontId="7" fillId="0" borderId="7" xfId="0" applyFont="1" applyBorder="1"/>
    <xf numFmtId="0" fontId="7" fillId="0" borderId="2" xfId="0" applyFont="1" applyBorder="1"/>
    <xf numFmtId="0" fontId="0" fillId="5" borderId="11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1" fillId="4" borderId="1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shrinkToFit="1"/>
    </xf>
    <xf numFmtId="14" fontId="0" fillId="0" borderId="0" xfId="0" applyNumberFormat="1"/>
    <xf numFmtId="0" fontId="9" fillId="0" borderId="0" xfId="0" applyFont="1" applyAlignment="1">
      <alignment horizontal="right"/>
    </xf>
    <xf numFmtId="0" fontId="8" fillId="0" borderId="0" xfId="0" applyFont="1"/>
    <xf numFmtId="0" fontId="10" fillId="0" borderId="0" xfId="0" applyFont="1"/>
    <xf numFmtId="0" fontId="6" fillId="3" borderId="0" xfId="2" applyBorder="1" applyAlignment="1">
      <alignment horizontal="left"/>
    </xf>
  </cellXfs>
  <cellStyles count="3">
    <cellStyle name="20% - Accent3" xfId="2" builtinId="38"/>
    <cellStyle name="Accent1" xfId="1" builtinId="29"/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15.emf"/><Relationship Id="rId7" Type="http://schemas.openxmlformats.org/officeDocument/2006/relationships/image" Target="../media/image9.emf"/><Relationship Id="rId12" Type="http://schemas.openxmlformats.org/officeDocument/2006/relationships/image" Target="../media/image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6" Type="http://schemas.openxmlformats.org/officeDocument/2006/relationships/image" Target="../media/image10.emf"/><Relationship Id="rId11" Type="http://schemas.openxmlformats.org/officeDocument/2006/relationships/image" Target="../media/image16.emf"/><Relationship Id="rId5" Type="http://schemas.openxmlformats.org/officeDocument/2006/relationships/image" Target="../media/image11.emf"/><Relationship Id="rId10" Type="http://schemas.openxmlformats.org/officeDocument/2006/relationships/image" Target="../media/image6.emf"/><Relationship Id="rId4" Type="http://schemas.openxmlformats.org/officeDocument/2006/relationships/image" Target="../media/image12.emf"/><Relationship Id="rId9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171450</xdr:rowOff>
        </xdr:from>
        <xdr:to>
          <xdr:col>2</xdr:col>
          <xdr:colOff>1714500</xdr:colOff>
          <xdr:row>2</xdr:row>
          <xdr:rowOff>95250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365760</xdr:colOff>
      <xdr:row>1</xdr:row>
      <xdr:rowOff>175260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34</xdr:row>
          <xdr:rowOff>142875</xdr:rowOff>
        </xdr:from>
        <xdr:to>
          <xdr:col>3</xdr:col>
          <xdr:colOff>0</xdr:colOff>
          <xdr:row>36</xdr:row>
          <xdr:rowOff>69850</xdr:rowOff>
        </xdr:to>
        <xdr:sp macro="" textlink="">
          <xdr:nvSpPr>
            <xdr:cNvPr id="1044" name="TextBox2" descr="Keyword search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5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34</xdr:row>
          <xdr:rowOff>152400</xdr:rowOff>
        </xdr:from>
        <xdr:to>
          <xdr:col>2</xdr:col>
          <xdr:colOff>19050</xdr:colOff>
          <xdr:row>36</xdr:row>
          <xdr:rowOff>38100</xdr:rowOff>
        </xdr:to>
        <xdr:sp macro="" textlink="">
          <xdr:nvSpPr>
            <xdr:cNvPr id="1045" name="ComboBox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5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152400</xdr:rowOff>
        </xdr:from>
        <xdr:to>
          <xdr:col>5</xdr:col>
          <xdr:colOff>1866900</xdr:colOff>
          <xdr:row>2</xdr:row>
          <xdr:rowOff>73025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152400</xdr:rowOff>
        </xdr:from>
        <xdr:to>
          <xdr:col>8</xdr:col>
          <xdr:colOff>1882775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152400</xdr:rowOff>
        </xdr:from>
        <xdr:to>
          <xdr:col>11</xdr:col>
          <xdr:colOff>1882775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0</xdr:rowOff>
    </xdr:from>
    <xdr:to>
      <xdr:col>0</xdr:col>
      <xdr:colOff>397510</xdr:colOff>
      <xdr:row>1</xdr:row>
      <xdr:rowOff>175260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142875</xdr:rowOff>
        </xdr:from>
        <xdr:to>
          <xdr:col>6</xdr:col>
          <xdr:colOff>19050</xdr:colOff>
          <xdr:row>55</xdr:row>
          <xdr:rowOff>149225</xdr:rowOff>
        </xdr:to>
        <xdr:sp macro="" textlink="">
          <xdr:nvSpPr>
            <xdr:cNvPr id="9220" name="TextBox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56</xdr:row>
          <xdr:rowOff>114300</xdr:rowOff>
        </xdr:from>
        <xdr:to>
          <xdr:col>6</xdr:col>
          <xdr:colOff>19050</xdr:colOff>
          <xdr:row>67</xdr:row>
          <xdr:rowOff>133350</xdr:rowOff>
        </xdr:to>
        <xdr:sp macro="" textlink="">
          <xdr:nvSpPr>
            <xdr:cNvPr id="9221" name="TextBox2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114300</xdr:rowOff>
        </xdr:from>
        <xdr:to>
          <xdr:col>9</xdr:col>
          <xdr:colOff>19050</xdr:colOff>
          <xdr:row>67</xdr:row>
          <xdr:rowOff>133350</xdr:rowOff>
        </xdr:to>
        <xdr:sp macro="" textlink="">
          <xdr:nvSpPr>
            <xdr:cNvPr id="9222" name="TextBox3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56</xdr:row>
          <xdr:rowOff>114300</xdr:rowOff>
        </xdr:from>
        <xdr:to>
          <xdr:col>12</xdr:col>
          <xdr:colOff>19050</xdr:colOff>
          <xdr:row>67</xdr:row>
          <xdr:rowOff>133350</xdr:rowOff>
        </xdr:to>
        <xdr:sp macro="" textlink="">
          <xdr:nvSpPr>
            <xdr:cNvPr id="9223" name="TextBox4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142875</xdr:rowOff>
        </xdr:from>
        <xdr:to>
          <xdr:col>9</xdr:col>
          <xdr:colOff>19050</xdr:colOff>
          <xdr:row>55</xdr:row>
          <xdr:rowOff>168275</xdr:rowOff>
        </xdr:to>
        <xdr:sp macro="" textlink="">
          <xdr:nvSpPr>
            <xdr:cNvPr id="9224" name="TextBox5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142875</xdr:rowOff>
        </xdr:from>
        <xdr:to>
          <xdr:col>12</xdr:col>
          <xdr:colOff>34925</xdr:colOff>
          <xdr:row>55</xdr:row>
          <xdr:rowOff>168275</xdr:rowOff>
        </xdr:to>
        <xdr:sp macro="" textlink="">
          <xdr:nvSpPr>
            <xdr:cNvPr id="9225" name="TextBox6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2257425</xdr:colOff>
          <xdr:row>0</xdr:row>
          <xdr:rowOff>161925</xdr:rowOff>
        </xdr:from>
        <xdr:to>
          <xdr:col>3</xdr:col>
          <xdr:colOff>38100</xdr:colOff>
          <xdr:row>2</xdr:row>
          <xdr:rowOff>76200</xdr:rowOff>
        </xdr:to>
        <xdr:sp macro="" textlink="">
          <xdr:nvSpPr>
            <xdr:cNvPr id="9226" name="TextBox7" descr="Keyword search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171450</xdr:rowOff>
        </xdr:from>
        <xdr:to>
          <xdr:col>2</xdr:col>
          <xdr:colOff>2190750</xdr:colOff>
          <xdr:row>2</xdr:row>
          <xdr:rowOff>57150</xdr:rowOff>
        </xdr:to>
        <xdr:sp macro="" textlink="">
          <xdr:nvSpPr>
            <xdr:cNvPr id="9229" name="ComboBox4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95250</xdr:rowOff>
        </xdr:from>
        <xdr:to>
          <xdr:col>3</xdr:col>
          <xdr:colOff>0</xdr:colOff>
          <xdr:row>13</xdr:row>
          <xdr:rowOff>47625</xdr:rowOff>
        </xdr:to>
        <xdr:sp macro="" textlink="">
          <xdr:nvSpPr>
            <xdr:cNvPr id="9230" name="TextBox8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8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BE7181BE-C57A-4355-AF18-414B172FA5CC}" autoFormatId="16" applyNumberFormats="0" applyBorderFormats="0" applyFontFormats="0" applyPatternFormats="0" applyAlignmentFormats="0" applyWidthHeightFormats="0">
  <queryTableRefresh nextId="41">
    <queryTableFields count="6">
      <queryTableField id="1" name="Source.Name" tableColumnId="1"/>
      <queryTableField id="3" name="nic_profile" tableColumnId="3"/>
      <queryTableField id="4" name="management_portgroup_binding_type" tableColumnId="4"/>
      <queryTableField id="38" name="vds" tableColumnId="2"/>
      <queryTableField id="12" name="systemvm_portgroup_binding_type" tableColumnId="12"/>
      <queryTableField id="39" name="sfs.configu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D327E87A-19DB-498D-B1CE-B7FCF0DE120F}" autoFormatId="16" applyNumberFormats="0" applyBorderFormats="0" applyFontFormats="0" applyPatternFormats="0" applyAlignmentFormats="0" applyWidthHeightFormats="0">
  <queryTableRefresh nextId="41">
    <queryTableFields count="36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  <queryTableField id="37" name="network.nic_profile" tableColumnId="14"/>
      <queryTableField id="38" name="network.management_portgroup_binding_type" tableColumnId="15"/>
      <queryTableField id="39" name="network.systemvm_portgroup_binding_type" tableColumnId="35"/>
      <queryTableField id="40" name="network.sfs.configure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3703841-6A4E-4DCD-AB8A-42AEB3B5D95F}" autoFormatId="16" applyNumberFormats="0" applyBorderFormats="0" applyFontFormats="0" applyPatternFormats="0" applyAlignmentFormats="0" applyWidthHeightFormats="0">
  <queryTableRefresh nextId="9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ABDF25AF-0896-4DB4-A47D-7555917EEE09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Source.Name" tableColumnId="1"/>
      <queryTableField id="2" name="Value" tableColumnId="2"/>
      <queryTableField id="3" name="create" tableColumnId="3"/>
      <queryTableField id="4" name="mod" tableColumnId="4"/>
      <queryTableField id="5" name="CreateVer" tableColumnId="5"/>
      <queryTableField id="6" name="ModVer" tableColumnId="6"/>
      <queryTableField id="7" dataBound="0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D9A79704-9440-43EC-918B-7E5A3745DAE7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nic_profile" tableColumnId="2"/>
      <queryTableField id="3" name="management_portgroup_binding_type" tableColumnId="3"/>
      <queryTableField id="4" name="vds.portgroups.type" tableColumnId="4"/>
      <queryTableField id="5" name="vds.portgroups.vlan_id" tableColumnId="5"/>
      <queryTableField id="6" name="vds.portgroups.name" tableColumnId="6"/>
      <queryTableField id="7" name="vds.portgroups.failover_order" tableColumnId="7"/>
      <queryTableField id="8" name="vds.nic_mappings.uplinks.name" tableColumnId="8"/>
      <queryTableField id="9" name="vds.nic_mappings.uplinks.physical_nic" tableColumnId="9"/>
      <queryTableField id="10" name="vds.name" tableColumnId="10"/>
      <queryTableField id="11" name="systemvm_portgroup_binding_type" tableColumnId="11"/>
      <queryTableField id="12" name="vlanguid" tableColumnId="12"/>
      <queryTableField id="13" name="Custom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A60674E4-7CF6-4FCB-8D47-29F7ADAE0AC0}" autoFormatId="16" applyNumberFormats="0" applyBorderFormats="0" applyFontFormats="0" applyPatternFormats="0" applyAlignmentFormats="0" applyWidthHeightFormats="0">
  <queryTableRefresh nextId="11">
    <queryTableFields count="6">
      <queryTableField id="3" name="create" tableColumnId="3"/>
      <queryTableField id="4" name="mod" tableColumnId="4"/>
      <queryTableField id="5" name="CreateVer" tableColumnId="5"/>
      <queryTableField id="6" name="ModVer" tableColumnId="6"/>
      <queryTableField id="1" name="Unsupported files" tableColumnId="1"/>
      <queryTableField id="2" name="Ver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6417FF61-072F-4846-B607-E24E2BAF56C1}" autoFormatId="16" applyNumberFormats="0" applyBorderFormats="0" applyFontFormats="0" applyPatternFormats="0" applyAlignmentFormats="0" applyWidthHeightFormats="0">
  <queryTableRefresh nextId="6">
    <queryTableFields count="3">
      <queryTableField id="1" name="Source.Name" tableColumnId="1"/>
      <queryTableField id="4" name="Host Quickview" tableColumnId="2"/>
      <queryTableField id="3" name="VLAN Quickview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C653853B-9FB7-4A0E-BA81-B17B019E6D23}" autoFormatId="16" applyNumberFormats="0" applyBorderFormats="0" applyFontFormats="0" applyPatternFormats="0" applyAlignmentFormats="0" applyWidthHeightFormats="0">
  <queryTableRefresh nextId="11">
    <queryTableFields count="4">
      <queryTableField id="1" name="Source.Name" tableColumnId="1"/>
      <queryTableField id="8" dataBound="0" tableColumnId="3"/>
      <queryTableField id="2" name="Global Search" tableColumnId="2"/>
      <queryTableField id="10" name="Filesummary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0F79A9-FD84-46F0-9A57-2494386CFCB0}" autoFormatId="16" applyNumberFormats="0" applyBorderFormats="0" applyFontFormats="0" applyPatternFormats="0" applyAlignmentFormats="0" applyWidthHeightFormats="0">
  <queryTableRefresh nextId="10">
    <queryTableFields count="5">
      <queryTableField id="5" name="version" tableColumnId="5"/>
      <queryTableField id="2" name="type" tableColumnId="2"/>
      <queryTableField id="6" name="nodes" tableColumnId="6"/>
      <queryTableField id="3" name="Source.Name" tableColumnId="3"/>
      <queryTableField id="7" name="FileSumma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_global" displayName="network_global" ref="A1:F9" tableType="queryTable" totalsRowShown="0">
  <autoFilter ref="A1:F9" xr:uid="{828FADEE-467A-4E89-A2D8-9FF349038757}"/>
  <tableColumns count="6">
    <tableColumn id="1" xr3:uid="{3CA4BC6C-22FD-4A2F-85C5-75483C08F40B}" uniqueName="1" name="Source.Name" queryTableFieldId="1" dataDxfId="31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2" xr3:uid="{73A5D2C3-B1FC-44FB-AE30-CD9321AE1F70}" uniqueName="2" name="vds" queryTableFieldId="38"/>
    <tableColumn id="12" xr3:uid="{A2F3EF6A-5AB2-4B9F-9B4F-728B43AE2294}" uniqueName="12" name="systemvm_portgroup_binding_type" queryTableFieldId="12"/>
    <tableColumn id="5" xr3:uid="{CA056E25-A162-4367-A2C3-B3EB18D695EA}" uniqueName="5" name="sfs.configured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" displayName="global" ref="A1:AJ9" tableType="queryTable" totalsRowShown="0">
  <autoFilter ref="A1:AJ9" xr:uid="{D4551B3D-91F3-4630-AF76-CE993C41F2B2}"/>
  <tableColumns count="36">
    <tableColumn id="1" xr3:uid="{684DC435-3015-4434-87CC-90B27600A204}" uniqueName="1" name="Source.Name" queryTableFieldId="1" dataDxfId="30"/>
    <tableColumn id="2" xr3:uid="{B9AD241B-4A7E-4E8C-8E10-5653566450F1}" uniqueName="2" name="cluster_type" queryTableFieldId="2"/>
    <tableColumn id="3" xr3:uid="{45AE1F46-CE24-4D33-93EA-8B59EB672311}" uniqueName="3" name="ntp_servers" queryTableFieldId="3" dataDxfId="29"/>
    <tableColumn id="4" xr3:uid="{B0438563-365C-431D-B2AC-676EEE16AA8F}" uniqueName="4" name="is_internal_dns" queryTableFieldId="4"/>
    <tableColumn id="5" xr3:uid="{3D3DDD21-AA9E-4A05-A7BB-6110D7928C31}" uniqueName="5" name="dns_servers" queryTableFieldId="5" dataDxfId="28"/>
    <tableColumn id="6" xr3:uid="{2CEBB835-1445-4642-B60F-4EEEB0829A9C}" uniqueName="6" name="syslog_servers" queryTableFieldId="6" dataDxfId="27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  <tableColumn id="14" xr3:uid="{BD5DE1F5-39B2-4251-ABA4-8EBEC2F43EE1}" uniqueName="14" name="network.nic_profile" queryTableFieldId="37"/>
    <tableColumn id="15" xr3:uid="{40721DF8-A476-47C6-935D-BD489566E5B2}" uniqueName="15" name="network.management_portgroup_binding_type" queryTableFieldId="38"/>
    <tableColumn id="35" xr3:uid="{5012B705-0FE0-45CB-96A4-408D916A6F74}" uniqueName="35" name="network.systemvm_portgroup_binding_type" queryTableFieldId="39"/>
    <tableColumn id="36" xr3:uid="{133782BF-BB76-4235-B9C9-9A91D6FBBABC}" uniqueName="36" name="network.sfs.configure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9" tableType="queryTable" totalsRowShown="0">
  <autoFilter ref="A1:F9" xr:uid="{A4D3EDEE-1C93-4569-AA5E-372CD75570C6}"/>
  <tableColumns count="6">
    <tableColumn id="1" xr3:uid="{46A81E0B-E755-481E-AF32-CCAE89DD0C88}" uniqueName="1" name="Name" queryTableFieldId="1" dataDxfId="20"/>
    <tableColumn id="2" xr3:uid="{DEE8C1D0-5E02-49B9-8033-FAA7A85C454C}" uniqueName="2" name="Extension" queryTableFieldId="2" dataDxfId="19"/>
    <tableColumn id="3" xr3:uid="{2576DAE5-EE2D-49A1-9F1E-7AABE40016E1}" uniqueName="3" name="Date accessed" queryTableFieldId="3" dataDxfId="18"/>
    <tableColumn id="4" xr3:uid="{581A13CC-B8BA-4F2B-9584-6AAC82232F2B}" uniqueName="4" name="Date modified" queryTableFieldId="4" dataDxfId="17"/>
    <tableColumn id="5" xr3:uid="{CD85DBBA-A383-48EB-BE16-8264AF92736D}" uniqueName="5" name="Date created" queryTableFieldId="5" dataDxfId="16"/>
    <tableColumn id="6" xr3:uid="{4883EA12-8DD5-4C17-BAFD-E69CEF2735AB}" uniqueName="6" name="Folder Path" queryTableFieldId="6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H1:N9" tableType="queryTable" totalsRowShown="0">
  <autoFilter ref="H1:N9" xr:uid="{B120C6D0-14E3-4A39-994D-149ABDC94688}"/>
  <tableColumns count="7">
    <tableColumn id="1" xr3:uid="{C003D099-29A2-48B7-8DCA-92642423D5CB}" uniqueName="1" name="Source.Name" queryTableFieldId="1" dataDxfId="23"/>
    <tableColumn id="2" xr3:uid="{B3E8BE60-AA07-4A2A-9211-156742059753}" uniqueName="2" name="Value" queryTableFieldId="2"/>
    <tableColumn id="3" xr3:uid="{8B653149-8586-4CBD-B1C5-F630372FAD35}" uniqueName="3" name="create" queryTableFieldId="3" dataDxfId="22"/>
    <tableColumn id="4" xr3:uid="{D9665DC5-E401-4C1C-B802-ECBC7D692E38}" uniqueName="4" name="mod" queryTableFieldId="4" dataDxfId="21"/>
    <tableColumn id="5" xr3:uid="{81537E38-1FA4-42B8-96E1-658366044C5B}" uniqueName="5" name="CreateVer" queryTableFieldId="5"/>
    <tableColumn id="6" xr3:uid="{F63950D0-C116-41B5-AFCD-BBB7EDA55687}" uniqueName="6" name="ModVer" queryTableFieldId="6"/>
    <tableColumn id="7" xr3:uid="{F8CAA139-641F-4E44-9B8C-D2C8DBBE4C66}" uniqueName="7" name="Version|Type|Nodes" queryTableFieldId="7" dataDxfId="43">
      <calculatedColumnFormula>supported[[#This Row],[Value]] &amp; "|" &amp; (_xlfn.XLOOKUP(supported[[#This Row],[Source.Name]],global[Source.Name],global[cluster_type]))&amp; "|" &amp; (COUNTIF(hosts_2[Source.Name],supported[[#This Row],[Source.Name]]))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_2" displayName="hosts_2" ref="A1:M29" tableType="queryTable" totalsRowShown="0">
  <autoFilter ref="A1:M29" xr:uid="{A4F0523E-40C5-4154-8BEE-CC9FEFA44ED1}"/>
  <tableColumns count="13">
    <tableColumn id="1" xr3:uid="{E7F32976-3AF4-42D0-8DCC-0F8126662DBB}" uniqueName="1" name="HostGUID" queryTableFieldId="1" dataDxfId="14"/>
    <tableColumn id="2" xr3:uid="{EC0B5BC1-3D91-44BE-804E-000EE0BCD016}" uniqueName="2" name="Source.Name" queryTableFieldId="2" dataDxfId="13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3418D-C573-4806-BAFD-99DB46E37378}" name="network_vds" displayName="network_vds" ref="A1:M54" tableType="queryTable" totalsRowShown="0">
  <autoFilter ref="A1:M54" xr:uid="{4DFF1324-DFE5-4D60-A8E9-EA8214B4AB5F}"/>
  <tableColumns count="13">
    <tableColumn id="1" xr3:uid="{BA90C779-B834-4DFA-8817-F66DF32B0E79}" uniqueName="1" name="Source.Name" queryTableFieldId="1" dataDxfId="12"/>
    <tableColumn id="2" xr3:uid="{32C94377-F127-4354-A741-5559418A90F0}" uniqueName="2" name="nic_profile" queryTableFieldId="2"/>
    <tableColumn id="3" xr3:uid="{1EB17718-BA15-4D66-8A28-F1D0C07D91F8}" uniqueName="3" name="management_portgroup_binding_type" queryTableFieldId="3"/>
    <tableColumn id="4" xr3:uid="{DB7063BB-0D4A-4140-947D-E8A3902F1310}" uniqueName="4" name="vds.portgroups.type" queryTableFieldId="4"/>
    <tableColumn id="5" xr3:uid="{2FB19E67-8B4C-4650-A901-2AF28F95393F}" uniqueName="5" name="vds.portgroups.vlan_id" queryTableFieldId="5"/>
    <tableColumn id="6" xr3:uid="{51E2FF9D-FCFD-4273-9727-A786420A834B}" uniqueName="6" name="vds.portgroups.name" queryTableFieldId="6"/>
    <tableColumn id="7" xr3:uid="{36096FE2-D8E7-4CAD-9DCB-376D6E62F61F}" uniqueName="7" name="vds.portgroups.failover_order" queryTableFieldId="7" dataDxfId="11"/>
    <tableColumn id="8" xr3:uid="{93FAB481-AAB6-46E9-993C-D61C04A8AC5D}" uniqueName="8" name="vds.nic_mappings.uplinks.name" queryTableFieldId="8"/>
    <tableColumn id="9" xr3:uid="{3FDF4C1C-F46A-4C53-9F6E-0B1842937190}" uniqueName="9" name="vds.nic_mappings.uplinks.physical_nic" queryTableFieldId="9"/>
    <tableColumn id="10" xr3:uid="{5FF445E9-BFBE-4CBC-9578-01B224C624B0}" uniqueName="10" name="vds.name" queryTableFieldId="10"/>
    <tableColumn id="11" xr3:uid="{ED6630CB-E486-4C86-BB05-9E941D144D41}" uniqueName="11" name="systemvm_portgroup_binding_type" queryTableFieldId="11"/>
    <tableColumn id="12" xr3:uid="{186B2F2F-A5C0-4971-9607-DB4C3FEB1FE5}" uniqueName="12" name="vlanguid" queryTableFieldId="12" dataDxfId="10"/>
    <tableColumn id="13" xr3:uid="{2F60492F-743B-4391-98B5-AECA4BCA2104}" uniqueName="13" name="Custom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dashdetail" displayName="dashdetail" ref="B4:C34" totalsRowShown="0">
  <autoFilter ref="B4:C34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42"/>
    <tableColumn id="2" xr3:uid="{693DE1F8-788A-44A2-9F23-0F74F6494AB8}" name="Value" dataDxfId="4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ED150-CEF4-4ECB-B4CB-BA5AC303E645}" name="unsupported" displayName="unsupported" ref="R4:W5" tableType="queryTable" insertRow="1" totalsRowShown="0">
  <autoFilter ref="R4:W5" xr:uid="{46FFBED7-34A1-488D-A9A3-853A2A118D73}"/>
  <tableColumns count="6">
    <tableColumn id="3" xr3:uid="{6F14CEE9-BD07-4252-8074-1693BB800A98}" uniqueName="3" name="create" queryTableFieldId="3" dataDxfId="26"/>
    <tableColumn id="4" xr3:uid="{CCC28F70-24FB-4EAC-B000-57AC760522AF}" uniqueName="4" name="mod" queryTableFieldId="4" dataDxfId="25"/>
    <tableColumn id="5" xr3:uid="{32F3ADEB-6F84-46BB-8AF7-243E14A628E5}" uniqueName="5" name="CreateVer" queryTableFieldId="5"/>
    <tableColumn id="6" xr3:uid="{F9268A84-1B3B-4216-B787-3A407EA93B53}" uniqueName="6" name="ModVer" queryTableFieldId="6"/>
    <tableColumn id="1" xr3:uid="{AD309283-E1A2-4469-9B7B-9E34E511CC7B}" uniqueName="1" name="Unsupported files" queryTableFieldId="1" dataDxfId="24"/>
    <tableColumn id="2" xr3:uid="{F7534886-F89D-45C8-9ED9-3A55D72D7AC7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05F9CD-9925-4556-92D2-C049CB6D66F1}" name="quickview" displayName="quickview" ref="A1:C9" tableType="queryTable" totalsRowShown="0">
  <autoFilter ref="A1:C9" xr:uid="{95394FFD-D653-4DA7-B53C-4391DCA2CA1A}"/>
  <tableColumns count="3">
    <tableColumn id="1" xr3:uid="{FCB33BBE-6339-4431-9A69-A1DFF508A344}" uniqueName="1" name="Source.Name" queryTableFieldId="1" dataDxfId="9"/>
    <tableColumn id="2" xr3:uid="{618F2D41-AE38-4F3A-8D10-6668E3F06415}" uniqueName="2" name="Host Quickview" queryTableFieldId="4" dataDxfId="8"/>
    <tableColumn id="3" xr3:uid="{431E6D0B-1F60-418D-8B69-03E4394816C9}" uniqueName="3" name="VLAN Quickview" queryTableFieldId="3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98C564-375F-4C3B-A044-A1A0FC1D5364}" name="searchtable" displayName="searchtable" ref="A1:D9" tableType="queryTable" totalsRowShown="0">
  <autoFilter ref="A1:D9" xr:uid="{1B61A984-91E2-408F-A809-87F6739D2E8D}"/>
  <tableColumns count="4">
    <tableColumn id="1" xr3:uid="{4882CCA0-AECD-4D42-9C45-C3CF6C3FEDBB}" uniqueName="1" name="Source.Name" queryTableFieldId="1" dataDxfId="6"/>
    <tableColumn id="3" xr3:uid="{7E747EDC-6AE8-4EFB-BA26-B640B4F889B5}" uniqueName="3" name="Column1" queryTableFieldId="8" dataDxfId="5">
      <calculatedColumnFormula>_xlfn.XLOOKUP(searchtable[[#This Row],[Source.Name]],supported[Source.Name],supported[Version|Type|Nodes])</calculatedColumnFormula>
    </tableColumn>
    <tableColumn id="2" xr3:uid="{2D734794-24BE-4E55-A89E-D942FE676967}" uniqueName="2" name="Global Search" queryTableFieldId="2" dataDxfId="4"/>
    <tableColumn id="5" xr3:uid="{36792167-9966-46A0-82D1-2F1E9B0BCEBD}" uniqueName="5" name="Filesummary" queryTableFieldId="10" dataDxf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DE38FC-B54D-484C-A501-82E1F486FB45}" name="fileoverview" displayName="fileoverview" ref="A1:E9" tableType="queryTable" totalsRowShown="0">
  <autoFilter ref="A1:E9" xr:uid="{39DE38FC-B54D-484C-A501-82E1F486FB45}"/>
  <tableColumns count="5">
    <tableColumn id="5" xr3:uid="{77DD97FE-84CC-4998-9282-80BE73BE61F2}" uniqueName="5" name="version" queryTableFieldId="5"/>
    <tableColumn id="2" xr3:uid="{4B88F164-CEAA-4923-8098-14EDE4D62DB2}" uniqueName="2" name="type" queryTableFieldId="2" dataDxfId="2"/>
    <tableColumn id="6" xr3:uid="{6D3E06F2-88BD-4A76-891B-C3AD9BBB8C03}" uniqueName="6" name="nodes" queryTableFieldId="6"/>
    <tableColumn id="3" xr3:uid="{6FE90639-F141-453D-9053-9274E86C5EF9}" uniqueName="3" name="Source.Name" queryTableFieldId="3" dataDxfId="1"/>
    <tableColumn id="7" xr3:uid="{BF84D511-89C2-4EEA-B860-2E863AF30D1F}" uniqueName="7" name="Filesummary" queryTableFieldId="7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compare1" displayName="compare1" ref="E4:F44" totalsRowShown="0" dataDxfId="40">
  <autoFilter ref="E4:F44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39"/>
    <tableColumn id="2" xr3:uid="{801C6A41-975C-433A-A507-9AC4FCEAB9BB}" name="Value" dataDxfId="3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compare2" displayName="compare2" ref="H4:I44" totalsRowShown="0" dataDxfId="37">
  <autoFilter ref="H4:I44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36"/>
    <tableColumn id="2" xr3:uid="{4AD50311-411C-4036-A634-C96A84BD7430}" name="Value" dataDxfId="35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compare3" displayName="compare3" ref="K4:L44" totalsRowShown="0" dataDxfId="34">
  <autoFilter ref="K4:L44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33"/>
    <tableColumn id="2" xr3:uid="{E1BE69C7-7946-424D-86E1-341293668CDB}" name="Value" dataDxfId="3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1BE44A-3ED1-4A7E-AEB5-E3E63F1ABC3C}" name="KeywordList" displayName="KeywordList" ref="A1:E59" totalsRowShown="0">
  <autoFilter ref="A1:E59" xr:uid="{A21BE44A-3ED1-4A7E-AEB5-E3E63F1ABC3C}"/>
  <tableColumns count="5">
    <tableColumn id="1" xr3:uid="{74B792AF-C588-4E55-81B2-055A04C78216}" name="Keyword"/>
    <tableColumn id="2" xr3:uid="{3CB0D898-1DB3-46DE-82D1-C09F3A49611C}" name="Display"/>
    <tableColumn id="3" xr3:uid="{58F12ACC-1E0F-442E-AE34-9B42D665E891}" name="Search example"/>
    <tableColumn id="4" xr3:uid="{1B203B8B-1A0E-4524-897D-F7A1337318D3}" name="Category"/>
    <tableColumn id="5" xr3:uid="{978355B9-995E-482F-85A7-E29E01967B7A}" name="Search prefix">
      <calculatedColumnFormula>IF(LEFT(KeywordList[[#This Row],[Keyword]],1)="-","",KeywordList[[#This Row],[Keyword]]&amp;":")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11" Type="http://schemas.openxmlformats.org/officeDocument/2006/relationships/table" Target="../tables/table8.xml"/><Relationship Id="rId5" Type="http://schemas.openxmlformats.org/officeDocument/2006/relationships/image" Target="../media/image1.emf"/><Relationship Id="rId10" Type="http://schemas.openxmlformats.org/officeDocument/2006/relationships/table" Target="../tables/table7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image" Target="../media/image9.emf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5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3.emf"/><Relationship Id="rId7" Type="http://schemas.openxmlformats.org/officeDocument/2006/relationships/image" Target="../media/image6.emf"/><Relationship Id="rId12" Type="http://schemas.openxmlformats.org/officeDocument/2006/relationships/control" Target="../activeX/activeX8.xml"/><Relationship Id="rId17" Type="http://schemas.openxmlformats.org/officeDocument/2006/relationships/image" Target="../media/image11.emf"/><Relationship Id="rId25" Type="http://schemas.openxmlformats.org/officeDocument/2006/relationships/image" Target="../media/image15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2.xml"/><Relationship Id="rId29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5.xml"/><Relationship Id="rId11" Type="http://schemas.openxmlformats.org/officeDocument/2006/relationships/image" Target="../media/image8.emf"/><Relationship Id="rId24" Type="http://schemas.openxmlformats.org/officeDocument/2006/relationships/control" Target="../activeX/activeX14.xml"/><Relationship Id="rId5" Type="http://schemas.openxmlformats.org/officeDocument/2006/relationships/image" Target="../media/image5.emf"/><Relationship Id="rId15" Type="http://schemas.openxmlformats.org/officeDocument/2006/relationships/image" Target="../media/image10.emf"/><Relationship Id="rId23" Type="http://schemas.openxmlformats.org/officeDocument/2006/relationships/image" Target="../media/image14.emf"/><Relationship Id="rId28" Type="http://schemas.openxmlformats.org/officeDocument/2006/relationships/table" Target="../tables/table12.xml"/><Relationship Id="rId10" Type="http://schemas.openxmlformats.org/officeDocument/2006/relationships/control" Target="../activeX/activeX7.xml"/><Relationship Id="rId19" Type="http://schemas.openxmlformats.org/officeDocument/2006/relationships/image" Target="../media/image12.emf"/><Relationship Id="rId4" Type="http://schemas.openxmlformats.org/officeDocument/2006/relationships/control" Target="../activeX/activeX4.xml"/><Relationship Id="rId9" Type="http://schemas.openxmlformats.org/officeDocument/2006/relationships/image" Target="../media/image7.emf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3.xml"/><Relationship Id="rId27" Type="http://schemas.openxmlformats.org/officeDocument/2006/relationships/image" Target="../media/image16.emf"/><Relationship Id="rId30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F9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8.5703125" bestFit="1" customWidth="1"/>
    <col min="5" max="5" width="35.5703125" bestFit="1" customWidth="1"/>
    <col min="6" max="6" width="16" bestFit="1" customWidth="1"/>
    <col min="7" max="7" width="21.42578125" bestFit="1" customWidth="1"/>
    <col min="8" max="8" width="24" bestFit="1" customWidth="1"/>
    <col min="9" max="9" width="22.42578125" bestFit="1" customWidth="1"/>
    <col min="10" max="10" width="36.5703125" bestFit="1" customWidth="1"/>
    <col min="11" max="11" width="38.28515625" bestFit="1" customWidth="1"/>
    <col min="12" max="12" width="32.28515625" bestFit="1" customWidth="1"/>
    <col min="13" max="13" width="38.140625" bestFit="1" customWidth="1"/>
    <col min="14" max="14" width="12.42578125" bestFit="1" customWidth="1"/>
    <col min="15" max="15" width="35.5703125" bestFit="1" customWidth="1"/>
    <col min="16" max="16" width="8.5703125" bestFit="1" customWidth="1"/>
    <col min="17" max="17" width="9.7109375" bestFit="1" customWidth="1"/>
    <col min="18" max="18" width="21.7109375" bestFit="1" customWidth="1"/>
    <col min="19" max="19" width="22.140625" bestFit="1" customWidth="1"/>
    <col min="20" max="20" width="24" bestFit="1" customWidth="1"/>
    <col min="21" max="21" width="11.5703125" bestFit="1" customWidth="1"/>
    <col min="22" max="22" width="14" bestFit="1" customWidth="1"/>
    <col min="23" max="23" width="12.42578125" bestFit="1" customWidth="1"/>
    <col min="24" max="24" width="35.5703125" bestFit="1" customWidth="1"/>
    <col min="25" max="25" width="14" bestFit="1" customWidth="1"/>
    <col min="26" max="26" width="12.42578125" bestFit="1" customWidth="1"/>
    <col min="27" max="27" width="35.57031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354</v>
      </c>
      <c r="E1" t="s">
        <v>21</v>
      </c>
      <c r="F1" t="s">
        <v>355</v>
      </c>
    </row>
    <row r="2" spans="1:6" x14ac:dyDescent="0.25">
      <c r="A2" s="1" t="s">
        <v>5</v>
      </c>
      <c r="B2" t="s">
        <v>39</v>
      </c>
      <c r="D2" t="s">
        <v>356</v>
      </c>
      <c r="F2" t="s">
        <v>326</v>
      </c>
    </row>
    <row r="3" spans="1:6" x14ac:dyDescent="0.25">
      <c r="A3" s="1" t="s">
        <v>369</v>
      </c>
      <c r="B3" t="s">
        <v>234</v>
      </c>
      <c r="C3" t="s">
        <v>22</v>
      </c>
      <c r="D3" t="s">
        <v>356</v>
      </c>
      <c r="E3" t="s">
        <v>24</v>
      </c>
      <c r="F3" t="s">
        <v>326</v>
      </c>
    </row>
    <row r="4" spans="1:6" x14ac:dyDescent="0.25">
      <c r="A4" s="1" t="s">
        <v>6</v>
      </c>
      <c r="B4" t="s">
        <v>29</v>
      </c>
      <c r="C4" t="s">
        <v>24</v>
      </c>
      <c r="D4" t="s">
        <v>356</v>
      </c>
      <c r="E4" t="s">
        <v>22</v>
      </c>
      <c r="F4" t="s">
        <v>326</v>
      </c>
    </row>
    <row r="5" spans="1:6" x14ac:dyDescent="0.25">
      <c r="A5" s="1" t="s">
        <v>370</v>
      </c>
      <c r="D5" t="s">
        <v>332</v>
      </c>
      <c r="F5" t="s">
        <v>326</v>
      </c>
    </row>
    <row r="6" spans="1:6" x14ac:dyDescent="0.25">
      <c r="A6" s="1" t="s">
        <v>7</v>
      </c>
      <c r="B6" t="s">
        <v>29</v>
      </c>
      <c r="C6" t="s">
        <v>22</v>
      </c>
      <c r="D6" t="s">
        <v>356</v>
      </c>
      <c r="E6" t="s">
        <v>22</v>
      </c>
      <c r="F6" t="s">
        <v>328</v>
      </c>
    </row>
    <row r="7" spans="1:6" x14ac:dyDescent="0.25">
      <c r="A7" s="1" t="s">
        <v>371</v>
      </c>
      <c r="B7" t="s">
        <v>327</v>
      </c>
      <c r="C7" t="s">
        <v>22</v>
      </c>
      <c r="D7" t="s">
        <v>356</v>
      </c>
      <c r="E7" t="s">
        <v>24</v>
      </c>
      <c r="F7" t="s">
        <v>328</v>
      </c>
    </row>
    <row r="8" spans="1:6" x14ac:dyDescent="0.25">
      <c r="A8" s="1" t="s">
        <v>260</v>
      </c>
      <c r="D8" t="s">
        <v>332</v>
      </c>
      <c r="F8" t="s">
        <v>328</v>
      </c>
    </row>
    <row r="9" spans="1:6" x14ac:dyDescent="0.25">
      <c r="A9" s="1" t="s">
        <v>372</v>
      </c>
      <c r="D9" t="s">
        <v>332</v>
      </c>
      <c r="F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J9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2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36.42578125" bestFit="1" customWidth="1"/>
    <col min="34" max="34" width="46.7109375" bestFit="1" customWidth="1"/>
    <col min="35" max="35" width="43.85546875" bestFit="1" customWidth="1"/>
    <col min="36" max="36" width="24.28515625" bestFit="1" customWidth="1"/>
    <col min="37" max="37" width="19.85546875" bestFit="1" customWidth="1"/>
    <col min="38" max="38" width="20.5703125" bestFit="1" customWidth="1"/>
  </cols>
  <sheetData>
    <row r="1" spans="1:3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183</v>
      </c>
      <c r="O1" t="s">
        <v>184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322</v>
      </c>
      <c r="AH1" t="s">
        <v>323</v>
      </c>
      <c r="AI1" t="s">
        <v>324</v>
      </c>
      <c r="AJ1" t="s">
        <v>325</v>
      </c>
    </row>
    <row r="2" spans="1:36" x14ac:dyDescent="0.25">
      <c r="A2" s="1" t="s">
        <v>5</v>
      </c>
      <c r="B2" t="s">
        <v>89</v>
      </c>
      <c r="C2" s="1" t="s">
        <v>84</v>
      </c>
      <c r="D2" t="b">
        <v>0</v>
      </c>
      <c r="E2" s="1" t="s">
        <v>91</v>
      </c>
      <c r="F2" s="1" t="s">
        <v>84</v>
      </c>
      <c r="G2" t="s">
        <v>90</v>
      </c>
      <c r="H2" t="s">
        <v>85</v>
      </c>
      <c r="I2" t="s">
        <v>91</v>
      </c>
      <c r="J2" t="s">
        <v>85</v>
      </c>
      <c r="K2" t="s">
        <v>85</v>
      </c>
      <c r="L2" t="s">
        <v>99</v>
      </c>
      <c r="M2" t="s">
        <v>85</v>
      </c>
      <c r="N2" t="s">
        <v>185</v>
      </c>
      <c r="O2" t="s">
        <v>187</v>
      </c>
      <c r="P2" t="s">
        <v>86</v>
      </c>
      <c r="Q2" t="s">
        <v>87</v>
      </c>
      <c r="S2" t="b">
        <v>1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99</v>
      </c>
      <c r="AC2" t="s">
        <v>105</v>
      </c>
      <c r="AD2" t="s">
        <v>85</v>
      </c>
      <c r="AE2" t="s">
        <v>106</v>
      </c>
      <c r="AF2" t="s">
        <v>107</v>
      </c>
      <c r="AG2" t="s">
        <v>39</v>
      </c>
      <c r="AJ2" t="s">
        <v>326</v>
      </c>
    </row>
    <row r="3" spans="1:36" x14ac:dyDescent="0.25">
      <c r="A3" s="1" t="s">
        <v>369</v>
      </c>
      <c r="B3" t="s">
        <v>89</v>
      </c>
      <c r="C3" s="1" t="s">
        <v>84</v>
      </c>
      <c r="D3" t="b">
        <v>0</v>
      </c>
      <c r="E3" s="1" t="s">
        <v>248</v>
      </c>
      <c r="F3" s="1" t="s">
        <v>84</v>
      </c>
      <c r="G3" t="s">
        <v>90</v>
      </c>
      <c r="H3" t="s">
        <v>85</v>
      </c>
      <c r="I3" t="s">
        <v>91</v>
      </c>
      <c r="J3" t="s">
        <v>85</v>
      </c>
      <c r="K3" t="s">
        <v>85</v>
      </c>
      <c r="L3" t="s">
        <v>84</v>
      </c>
      <c r="M3" t="s">
        <v>85</v>
      </c>
      <c r="N3" t="s">
        <v>185</v>
      </c>
      <c r="O3" t="s">
        <v>98</v>
      </c>
      <c r="P3" t="s">
        <v>86</v>
      </c>
      <c r="Q3" t="s">
        <v>87</v>
      </c>
      <c r="S3" t="b">
        <v>1</v>
      </c>
      <c r="W3" t="s">
        <v>249</v>
      </c>
      <c r="X3" t="s">
        <v>238</v>
      </c>
      <c r="Y3" t="s">
        <v>250</v>
      </c>
      <c r="Z3" t="s">
        <v>92</v>
      </c>
      <c r="AA3" t="s">
        <v>251</v>
      </c>
      <c r="AB3" t="s">
        <v>84</v>
      </c>
      <c r="AC3" t="s">
        <v>252</v>
      </c>
      <c r="AD3" t="s">
        <v>85</v>
      </c>
      <c r="AE3" t="s">
        <v>238</v>
      </c>
      <c r="AF3" t="s">
        <v>253</v>
      </c>
      <c r="AG3" t="s">
        <v>234</v>
      </c>
      <c r="AH3" t="s">
        <v>22</v>
      </c>
      <c r="AI3" t="s">
        <v>24</v>
      </c>
      <c r="AJ3" t="s">
        <v>326</v>
      </c>
    </row>
    <row r="4" spans="1:36" x14ac:dyDescent="0.25">
      <c r="A4" s="1" t="s">
        <v>6</v>
      </c>
      <c r="B4" t="s">
        <v>83</v>
      </c>
      <c r="C4" s="1" t="s">
        <v>189</v>
      </c>
      <c r="D4" t="b">
        <v>0</v>
      </c>
      <c r="E4" s="1" t="s">
        <v>93</v>
      </c>
      <c r="F4" s="1" t="s">
        <v>94</v>
      </c>
      <c r="G4" t="s">
        <v>108</v>
      </c>
      <c r="H4" t="s">
        <v>85</v>
      </c>
      <c r="I4" t="s">
        <v>91</v>
      </c>
      <c r="J4" t="s">
        <v>85</v>
      </c>
      <c r="K4" t="s">
        <v>85</v>
      </c>
      <c r="N4" t="s">
        <v>185</v>
      </c>
      <c r="O4" t="s">
        <v>186</v>
      </c>
      <c r="P4" t="s">
        <v>86</v>
      </c>
      <c r="Q4" t="s">
        <v>87</v>
      </c>
      <c r="S4" t="b">
        <v>0</v>
      </c>
      <c r="T4" t="s">
        <v>95</v>
      </c>
      <c r="U4" t="s">
        <v>96</v>
      </c>
      <c r="V4" t="s">
        <v>86</v>
      </c>
      <c r="W4" t="s">
        <v>88</v>
      </c>
      <c r="X4" t="s">
        <v>97</v>
      </c>
      <c r="AG4" t="s">
        <v>29</v>
      </c>
      <c r="AH4" t="s">
        <v>24</v>
      </c>
      <c r="AI4" t="s">
        <v>22</v>
      </c>
      <c r="AJ4" t="s">
        <v>326</v>
      </c>
    </row>
    <row r="5" spans="1:36" x14ac:dyDescent="0.25">
      <c r="A5" s="1" t="s">
        <v>370</v>
      </c>
      <c r="B5" t="s">
        <v>83</v>
      </c>
      <c r="C5" s="1" t="s">
        <v>84</v>
      </c>
      <c r="D5" t="b">
        <v>1</v>
      </c>
      <c r="E5" s="1" t="s">
        <v>84</v>
      </c>
      <c r="F5" s="1" t="s">
        <v>84</v>
      </c>
      <c r="G5" t="s">
        <v>261</v>
      </c>
      <c r="H5" t="s">
        <v>85</v>
      </c>
      <c r="I5" t="s">
        <v>248</v>
      </c>
      <c r="J5" t="s">
        <v>85</v>
      </c>
      <c r="K5" t="s">
        <v>85</v>
      </c>
      <c r="N5" t="s">
        <v>262</v>
      </c>
      <c r="O5" t="s">
        <v>263</v>
      </c>
      <c r="P5" t="s">
        <v>86</v>
      </c>
      <c r="Q5" t="s">
        <v>87</v>
      </c>
      <c r="S5" t="b">
        <v>0</v>
      </c>
      <c r="T5" t="s">
        <v>264</v>
      </c>
      <c r="U5" t="s">
        <v>265</v>
      </c>
      <c r="V5" t="s">
        <v>86</v>
      </c>
      <c r="W5" t="s">
        <v>88</v>
      </c>
      <c r="X5" t="s">
        <v>266</v>
      </c>
      <c r="AJ5" t="s">
        <v>326</v>
      </c>
    </row>
    <row r="6" spans="1:36" x14ac:dyDescent="0.25">
      <c r="A6" s="1" t="s">
        <v>7</v>
      </c>
      <c r="B6" t="s">
        <v>83</v>
      </c>
      <c r="C6" s="1" t="s">
        <v>98</v>
      </c>
      <c r="D6" t="b">
        <v>0</v>
      </c>
      <c r="E6" s="1" t="s">
        <v>109</v>
      </c>
      <c r="F6" s="1" t="s">
        <v>110</v>
      </c>
      <c r="G6" t="s">
        <v>90</v>
      </c>
      <c r="H6" t="s">
        <v>85</v>
      </c>
      <c r="I6" t="s">
        <v>91</v>
      </c>
      <c r="J6" t="s">
        <v>85</v>
      </c>
      <c r="K6" t="s">
        <v>85</v>
      </c>
      <c r="N6" t="s">
        <v>185</v>
      </c>
      <c r="O6" t="s">
        <v>188</v>
      </c>
      <c r="P6" t="s">
        <v>86</v>
      </c>
      <c r="Q6" t="s">
        <v>87</v>
      </c>
      <c r="R6" t="s">
        <v>111</v>
      </c>
      <c r="S6" t="b">
        <v>1</v>
      </c>
      <c r="W6" t="s">
        <v>112</v>
      </c>
      <c r="X6" t="s">
        <v>113</v>
      </c>
      <c r="Y6" t="s">
        <v>114</v>
      </c>
      <c r="Z6" t="s">
        <v>92</v>
      </c>
      <c r="AA6" t="s">
        <v>115</v>
      </c>
      <c r="AG6" t="s">
        <v>29</v>
      </c>
      <c r="AH6" t="s">
        <v>22</v>
      </c>
      <c r="AI6" t="s">
        <v>22</v>
      </c>
      <c r="AJ6" t="s">
        <v>328</v>
      </c>
    </row>
    <row r="7" spans="1:36" x14ac:dyDescent="0.25">
      <c r="A7" s="1" t="s">
        <v>371</v>
      </c>
      <c r="B7" t="s">
        <v>83</v>
      </c>
      <c r="C7" s="1" t="s">
        <v>84</v>
      </c>
      <c r="D7" t="b">
        <v>1</v>
      </c>
      <c r="E7" s="1" t="s">
        <v>84</v>
      </c>
      <c r="F7" s="1" t="s">
        <v>84</v>
      </c>
      <c r="G7" t="s">
        <v>267</v>
      </c>
      <c r="H7" t="s">
        <v>85</v>
      </c>
      <c r="I7" t="s">
        <v>248</v>
      </c>
      <c r="J7" t="s">
        <v>85</v>
      </c>
      <c r="K7" t="s">
        <v>85</v>
      </c>
      <c r="N7" t="s">
        <v>268</v>
      </c>
      <c r="O7" t="s">
        <v>269</v>
      </c>
      <c r="P7" t="s">
        <v>86</v>
      </c>
      <c r="Q7" t="s">
        <v>87</v>
      </c>
      <c r="R7" t="s">
        <v>270</v>
      </c>
      <c r="S7" t="b">
        <v>0</v>
      </c>
      <c r="T7" t="s">
        <v>271</v>
      </c>
      <c r="U7" t="s">
        <v>272</v>
      </c>
      <c r="V7" t="s">
        <v>86</v>
      </c>
      <c r="W7" t="s">
        <v>88</v>
      </c>
      <c r="X7" t="s">
        <v>266</v>
      </c>
      <c r="AG7" t="s">
        <v>327</v>
      </c>
      <c r="AH7" t="s">
        <v>22</v>
      </c>
      <c r="AI7" t="s">
        <v>24</v>
      </c>
      <c r="AJ7" t="s">
        <v>328</v>
      </c>
    </row>
    <row r="8" spans="1:36" x14ac:dyDescent="0.25">
      <c r="A8" s="1" t="s">
        <v>260</v>
      </c>
      <c r="B8" t="s">
        <v>83</v>
      </c>
      <c r="C8" s="1" t="s">
        <v>84</v>
      </c>
      <c r="D8" t="b">
        <v>1</v>
      </c>
      <c r="E8" s="1" t="s">
        <v>84</v>
      </c>
      <c r="F8" s="1" t="s">
        <v>84</v>
      </c>
      <c r="G8" t="s">
        <v>261</v>
      </c>
      <c r="H8" t="s">
        <v>85</v>
      </c>
      <c r="I8" t="s">
        <v>248</v>
      </c>
      <c r="J8" t="s">
        <v>85</v>
      </c>
      <c r="K8" t="s">
        <v>85</v>
      </c>
      <c r="N8" t="s">
        <v>268</v>
      </c>
      <c r="O8" t="s">
        <v>275</v>
      </c>
      <c r="P8" t="s">
        <v>86</v>
      </c>
      <c r="Q8" t="s">
        <v>87</v>
      </c>
      <c r="S8" t="b">
        <v>0</v>
      </c>
      <c r="T8" t="s">
        <v>276</v>
      </c>
      <c r="U8" t="s">
        <v>265</v>
      </c>
      <c r="V8" t="s">
        <v>86</v>
      </c>
      <c r="W8" t="s">
        <v>88</v>
      </c>
      <c r="X8" t="s">
        <v>266</v>
      </c>
      <c r="AJ8" t="s">
        <v>328</v>
      </c>
    </row>
    <row r="9" spans="1:36" x14ac:dyDescent="0.25">
      <c r="A9" s="1" t="s">
        <v>372</v>
      </c>
      <c r="B9" t="s">
        <v>83</v>
      </c>
      <c r="C9" s="1" t="s">
        <v>84</v>
      </c>
      <c r="D9" t="b">
        <v>1</v>
      </c>
      <c r="E9" s="1" t="s">
        <v>84</v>
      </c>
      <c r="F9" s="1" t="s">
        <v>84</v>
      </c>
      <c r="G9" t="s">
        <v>261</v>
      </c>
      <c r="H9" t="s">
        <v>85</v>
      </c>
      <c r="I9" t="s">
        <v>248</v>
      </c>
      <c r="J9" t="s">
        <v>85</v>
      </c>
      <c r="K9" t="s">
        <v>85</v>
      </c>
      <c r="N9" t="s">
        <v>262</v>
      </c>
      <c r="O9" t="s">
        <v>264</v>
      </c>
      <c r="P9" t="s">
        <v>86</v>
      </c>
      <c r="Q9" t="s">
        <v>87</v>
      </c>
      <c r="S9" t="b">
        <v>0</v>
      </c>
      <c r="T9" t="s">
        <v>277</v>
      </c>
      <c r="U9" t="s">
        <v>278</v>
      </c>
      <c r="V9" t="s">
        <v>86</v>
      </c>
      <c r="W9" t="s">
        <v>88</v>
      </c>
      <c r="X9" t="s">
        <v>113</v>
      </c>
      <c r="AJ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N9"/>
  <sheetViews>
    <sheetView workbookViewId="0">
      <selection activeCell="O2" sqref="O2"/>
    </sheetView>
  </sheetViews>
  <sheetFormatPr defaultRowHeight="15" x14ac:dyDescent="0.25"/>
  <cols>
    <col min="1" max="1" width="26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8" max="8" width="26.42578125" bestFit="1" customWidth="1"/>
    <col min="9" max="9" width="8.42578125" bestFit="1" customWidth="1"/>
    <col min="10" max="11" width="9.85546875" bestFit="1" customWidth="1"/>
    <col min="12" max="12" width="12.28515625" bestFit="1" customWidth="1"/>
    <col min="13" max="13" width="10.5703125" bestFit="1" customWidth="1"/>
    <col min="14" max="14" width="22.42578125" bestFit="1" customWidth="1"/>
    <col min="15" max="15" width="15" bestFit="1" customWidth="1"/>
    <col min="16" max="16" width="20.28515625" bestFit="1" customWidth="1"/>
  </cols>
  <sheetData>
    <row r="1" spans="1:14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t="s">
        <v>0</v>
      </c>
      <c r="I1" t="s">
        <v>2</v>
      </c>
      <c r="J1" t="s">
        <v>494</v>
      </c>
      <c r="K1" t="s">
        <v>495</v>
      </c>
      <c r="L1" t="s">
        <v>493</v>
      </c>
      <c r="M1" t="s">
        <v>492</v>
      </c>
      <c r="N1" t="s">
        <v>543</v>
      </c>
    </row>
    <row r="2" spans="1:14" x14ac:dyDescent="0.25">
      <c r="A2" s="1" t="s">
        <v>5</v>
      </c>
      <c r="B2" s="1" t="s">
        <v>14</v>
      </c>
      <c r="C2" s="2">
        <v>44440.490360451389</v>
      </c>
      <c r="D2" s="2">
        <v>44439.935448819444</v>
      </c>
      <c r="E2" s="2">
        <v>44390.443194444444</v>
      </c>
      <c r="F2" s="1" t="s">
        <v>15</v>
      </c>
      <c r="H2" s="1" t="s">
        <v>5</v>
      </c>
      <c r="I2" t="s">
        <v>4</v>
      </c>
      <c r="J2" s="36">
        <v>44390</v>
      </c>
      <c r="K2" s="36">
        <v>44439</v>
      </c>
      <c r="L2" t="s">
        <v>530</v>
      </c>
      <c r="M2" t="s">
        <v>531</v>
      </c>
      <c r="N2" t="str">
        <f>supported[[#This Row],[Value]] &amp; "|" &amp; (_xlfn.XLOOKUP(supported[[#This Row],[Source.Name]],global[Source.Name],global[cluster_type]))&amp; "|" &amp; (COUNTIF(hosts_2[Source.Name],supported[[#This Row],[Source.Name]]))</f>
        <v>7.0.201|VSAN2NODE|2</v>
      </c>
    </row>
    <row r="3" spans="1:14" x14ac:dyDescent="0.25">
      <c r="A3" s="1" t="s">
        <v>369</v>
      </c>
      <c r="B3" s="1" t="s">
        <v>14</v>
      </c>
      <c r="C3" s="2">
        <v>44440.49036398148</v>
      </c>
      <c r="D3" s="2">
        <v>44439.935449178243</v>
      </c>
      <c r="E3" s="2">
        <v>44389.609629629631</v>
      </c>
      <c r="F3" s="1" t="s">
        <v>15</v>
      </c>
      <c r="H3" s="1" t="s">
        <v>369</v>
      </c>
      <c r="I3" t="s">
        <v>233</v>
      </c>
      <c r="J3" s="36">
        <v>44389</v>
      </c>
      <c r="K3" s="36">
        <v>44439</v>
      </c>
      <c r="L3" t="s">
        <v>532</v>
      </c>
      <c r="M3" t="s">
        <v>531</v>
      </c>
      <c r="N3" t="str">
        <f>supported[[#This Row],[Value]] &amp; "|" &amp; (_xlfn.XLOOKUP(supported[[#This Row],[Source.Name]],global[Source.Name],global[cluster_type]))&amp; "|" &amp; (COUNTIF(hosts_2[Source.Name],supported[[#This Row],[Source.Name]]))</f>
        <v>7.0.202|VSAN2NODE|2</v>
      </c>
    </row>
    <row r="4" spans="1:14" x14ac:dyDescent="0.25">
      <c r="A4" s="1" t="s">
        <v>6</v>
      </c>
      <c r="B4" s="1" t="s">
        <v>14</v>
      </c>
      <c r="C4" s="2">
        <v>44440.49036398148</v>
      </c>
      <c r="D4" s="2">
        <v>44439.935449363424</v>
      </c>
      <c r="E4" s="2">
        <v>44397.245879629627</v>
      </c>
      <c r="F4" s="1" t="s">
        <v>15</v>
      </c>
      <c r="H4" s="1" t="s">
        <v>6</v>
      </c>
      <c r="I4" t="s">
        <v>3</v>
      </c>
      <c r="J4" s="36">
        <v>44397</v>
      </c>
      <c r="K4" s="36">
        <v>44439</v>
      </c>
      <c r="L4" t="s">
        <v>533</v>
      </c>
      <c r="M4" t="s">
        <v>531</v>
      </c>
      <c r="N4" t="str">
        <f>supported[[#This Row],[Value]] &amp; "|" &amp; (_xlfn.XLOOKUP(supported[[#This Row],[Source.Name]],global[Source.Name],global[cluster_type]))&amp; "|" &amp; (COUNTIF(hosts_2[Source.Name],supported[[#This Row],[Source.Name]]))</f>
        <v>7.0.130|STANDARD|6</v>
      </c>
    </row>
    <row r="5" spans="1:14" x14ac:dyDescent="0.25">
      <c r="A5" s="1" t="s">
        <v>370</v>
      </c>
      <c r="B5" s="1" t="s">
        <v>14</v>
      </c>
      <c r="C5" s="2">
        <v>44440.49036398148</v>
      </c>
      <c r="D5" s="2">
        <v>44439.935449942132</v>
      </c>
      <c r="E5" s="2">
        <v>44439.268263888887</v>
      </c>
      <c r="F5" s="1" t="s">
        <v>15</v>
      </c>
      <c r="H5" s="1" t="s">
        <v>370</v>
      </c>
      <c r="I5" t="s">
        <v>259</v>
      </c>
      <c r="J5" s="36">
        <v>44439</v>
      </c>
      <c r="K5" s="36">
        <v>44439</v>
      </c>
      <c r="L5" t="s">
        <v>531</v>
      </c>
      <c r="M5" t="s">
        <v>531</v>
      </c>
      <c r="N5" t="str">
        <f>supported[[#This Row],[Value]] &amp; "|" &amp; (_xlfn.XLOOKUP(supported[[#This Row],[Source.Name]],global[Source.Name],global[cluster_type]))&amp; "|" &amp; (COUNTIF(hosts_2[Source.Name],supported[[#This Row],[Source.Name]]))</f>
        <v>7.0.100|STANDARD|3</v>
      </c>
    </row>
    <row r="6" spans="1:14" x14ac:dyDescent="0.25">
      <c r="A6" s="1" t="s">
        <v>7</v>
      </c>
      <c r="B6" s="1" t="s">
        <v>14</v>
      </c>
      <c r="C6" s="2">
        <v>44440.49036398148</v>
      </c>
      <c r="D6" s="2">
        <v>44439.935450173609</v>
      </c>
      <c r="E6" s="2">
        <v>44396.703611111108</v>
      </c>
      <c r="F6" s="1" t="s">
        <v>15</v>
      </c>
      <c r="H6" s="1" t="s">
        <v>7</v>
      </c>
      <c r="I6" t="s">
        <v>8</v>
      </c>
      <c r="J6" s="36">
        <v>44396</v>
      </c>
      <c r="K6" s="36">
        <v>44439</v>
      </c>
      <c r="L6" t="s">
        <v>534</v>
      </c>
      <c r="M6" t="s">
        <v>531</v>
      </c>
      <c r="N6" t="str">
        <f>supported[[#This Row],[Value]] &amp; "|" &amp; (_xlfn.XLOOKUP(supported[[#This Row],[Source.Name]],global[Source.Name],global[cluster_type]))&amp; "|" &amp; (COUNTIF(hosts_2[Source.Name],supported[[#This Row],[Source.Name]]))</f>
        <v>7.0.210|STANDARD|3</v>
      </c>
    </row>
    <row r="7" spans="1:14" x14ac:dyDescent="0.25">
      <c r="A7" s="1" t="s">
        <v>371</v>
      </c>
      <c r="B7" s="1" t="s">
        <v>14</v>
      </c>
      <c r="C7" s="2">
        <v>44440.490363993056</v>
      </c>
      <c r="D7" s="2">
        <v>44439.935450405093</v>
      </c>
      <c r="E7" s="2">
        <v>44439.399189814816</v>
      </c>
      <c r="F7" s="1" t="s">
        <v>15</v>
      </c>
      <c r="H7" s="1" t="s">
        <v>371</v>
      </c>
      <c r="I7" t="s">
        <v>8</v>
      </c>
      <c r="J7" s="36">
        <v>44439</v>
      </c>
      <c r="K7" s="36">
        <v>44439</v>
      </c>
      <c r="L7" t="s">
        <v>531</v>
      </c>
      <c r="M7" t="s">
        <v>531</v>
      </c>
      <c r="N7" t="str">
        <f>supported[[#This Row],[Value]] &amp; "|" &amp; (_xlfn.XLOOKUP(supported[[#This Row],[Source.Name]],global[Source.Name],global[cluster_type]))&amp; "|" &amp; (COUNTIF(hosts_2[Source.Name],supported[[#This Row],[Source.Name]]))</f>
        <v>7.0.210|STANDARD|3</v>
      </c>
    </row>
    <row r="8" spans="1:14" x14ac:dyDescent="0.25">
      <c r="A8" s="1" t="s">
        <v>260</v>
      </c>
      <c r="B8" s="1" t="s">
        <v>14</v>
      </c>
      <c r="C8" s="2">
        <v>44440.490363993056</v>
      </c>
      <c r="D8" s="2">
        <v>44439.935448506942</v>
      </c>
      <c r="E8" s="2">
        <v>44439.264768518522</v>
      </c>
      <c r="F8" s="1" t="s">
        <v>15</v>
      </c>
      <c r="H8" s="1" t="s">
        <v>260</v>
      </c>
      <c r="I8" t="s">
        <v>258</v>
      </c>
      <c r="J8" s="36">
        <v>44439</v>
      </c>
      <c r="K8" s="36">
        <v>44439</v>
      </c>
      <c r="L8" t="s">
        <v>531</v>
      </c>
      <c r="M8" t="s">
        <v>531</v>
      </c>
      <c r="N8" t="str">
        <f>supported[[#This Row],[Value]] &amp; "|" &amp; (_xlfn.XLOOKUP(supported[[#This Row],[Source.Name]],global[Source.Name],global[cluster_type]))&amp; "|" &amp; (COUNTIF(hosts_2[Source.Name],supported[[#This Row],[Source.Name]]))</f>
        <v>7.0.010|STANDARD|6</v>
      </c>
    </row>
    <row r="9" spans="1:14" x14ac:dyDescent="0.25">
      <c r="A9" s="1" t="s">
        <v>372</v>
      </c>
      <c r="B9" s="1" t="s">
        <v>14</v>
      </c>
      <c r="C9" s="2">
        <v>44440.490363993056</v>
      </c>
      <c r="D9" s="2">
        <v>44439.935449548611</v>
      </c>
      <c r="E9" s="2">
        <v>44439.417407407411</v>
      </c>
      <c r="F9" s="1" t="s">
        <v>15</v>
      </c>
      <c r="H9" s="1" t="s">
        <v>372</v>
      </c>
      <c r="I9" t="s">
        <v>259</v>
      </c>
      <c r="J9" s="36">
        <v>44439</v>
      </c>
      <c r="K9" s="36">
        <v>44439</v>
      </c>
      <c r="L9" t="s">
        <v>531</v>
      </c>
      <c r="M9" t="s">
        <v>531</v>
      </c>
      <c r="N9" t="str">
        <f>supported[[#This Row],[Value]] &amp; "|" &amp; (_xlfn.XLOOKUP(supported[[#This Row],[Source.Name]],global[Source.Name],global[cluster_type]))&amp; "|" &amp; (COUNTIF(hosts_2[Source.Name],supported[[#This Row],[Source.Name]]))</f>
        <v>7.0.100|STANDARD|3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29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116</v>
      </c>
      <c r="B1" t="s">
        <v>0</v>
      </c>
      <c r="C1" t="s">
        <v>117</v>
      </c>
      <c r="D1" t="s">
        <v>72</v>
      </c>
      <c r="E1" t="s">
        <v>74</v>
      </c>
      <c r="F1" t="s">
        <v>118</v>
      </c>
      <c r="G1" t="s">
        <v>119</v>
      </c>
      <c r="H1" t="s">
        <v>120</v>
      </c>
      <c r="I1" t="s">
        <v>121</v>
      </c>
      <c r="J1" t="s">
        <v>23</v>
      </c>
      <c r="K1" t="s">
        <v>25</v>
      </c>
      <c r="L1" t="s">
        <v>26</v>
      </c>
      <c r="M1" t="s">
        <v>28</v>
      </c>
    </row>
    <row r="2" spans="1:13" x14ac:dyDescent="0.25">
      <c r="A2" s="1" t="s">
        <v>143</v>
      </c>
      <c r="B2" s="1" t="s">
        <v>5</v>
      </c>
      <c r="C2" t="s">
        <v>144</v>
      </c>
      <c r="D2" t="s">
        <v>86</v>
      </c>
      <c r="E2" t="s">
        <v>124</v>
      </c>
      <c r="F2" t="s">
        <v>84</v>
      </c>
      <c r="H2" t="s">
        <v>84</v>
      </c>
      <c r="J2" t="s">
        <v>137</v>
      </c>
      <c r="K2" t="s">
        <v>145</v>
      </c>
      <c r="L2" t="s">
        <v>146</v>
      </c>
      <c r="M2" t="s">
        <v>99</v>
      </c>
    </row>
    <row r="3" spans="1:13" x14ac:dyDescent="0.25">
      <c r="A3" s="1" t="s">
        <v>147</v>
      </c>
      <c r="B3" s="1" t="s">
        <v>5</v>
      </c>
      <c r="C3" t="s">
        <v>148</v>
      </c>
      <c r="D3" t="s">
        <v>86</v>
      </c>
      <c r="E3" t="s">
        <v>124</v>
      </c>
      <c r="F3" t="s">
        <v>84</v>
      </c>
      <c r="H3" t="s">
        <v>84</v>
      </c>
      <c r="J3" t="s">
        <v>139</v>
      </c>
      <c r="K3" t="s">
        <v>149</v>
      </c>
      <c r="L3" t="s">
        <v>150</v>
      </c>
      <c r="M3" t="s">
        <v>151</v>
      </c>
    </row>
    <row r="4" spans="1:13" x14ac:dyDescent="0.25">
      <c r="A4" s="1" t="s">
        <v>373</v>
      </c>
      <c r="B4" s="1" t="s">
        <v>369</v>
      </c>
      <c r="C4" t="s">
        <v>237</v>
      </c>
      <c r="D4" t="s">
        <v>86</v>
      </c>
      <c r="E4" t="s">
        <v>238</v>
      </c>
      <c r="F4" t="s">
        <v>84</v>
      </c>
      <c r="H4" t="s">
        <v>84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5">
      <c r="A5" s="1" t="s">
        <v>374</v>
      </c>
      <c r="B5" s="1" t="s">
        <v>369</v>
      </c>
      <c r="C5" t="s">
        <v>243</v>
      </c>
      <c r="D5" t="s">
        <v>86</v>
      </c>
      <c r="E5" t="s">
        <v>238</v>
      </c>
      <c r="F5" t="s">
        <v>84</v>
      </c>
      <c r="H5" t="s">
        <v>84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s="1" t="s">
        <v>152</v>
      </c>
      <c r="B6" s="1" t="s">
        <v>6</v>
      </c>
      <c r="C6" t="s">
        <v>153</v>
      </c>
      <c r="D6" t="s">
        <v>86</v>
      </c>
      <c r="E6" t="s">
        <v>124</v>
      </c>
      <c r="F6" t="s">
        <v>125</v>
      </c>
      <c r="G6">
        <v>5</v>
      </c>
      <c r="H6" t="s">
        <v>84</v>
      </c>
      <c r="J6" t="s">
        <v>98</v>
      </c>
      <c r="K6" t="s">
        <v>126</v>
      </c>
      <c r="L6" t="s">
        <v>154</v>
      </c>
    </row>
    <row r="7" spans="1:13" x14ac:dyDescent="0.25">
      <c r="A7" s="1" t="s">
        <v>155</v>
      </c>
      <c r="B7" s="1" t="s">
        <v>6</v>
      </c>
      <c r="C7" t="s">
        <v>156</v>
      </c>
      <c r="D7" t="s">
        <v>86</v>
      </c>
      <c r="E7" t="s">
        <v>124</v>
      </c>
      <c r="F7" t="s">
        <v>125</v>
      </c>
      <c r="G7">
        <v>6</v>
      </c>
      <c r="H7" t="s">
        <v>84</v>
      </c>
      <c r="J7" t="s">
        <v>110</v>
      </c>
      <c r="K7" t="s">
        <v>127</v>
      </c>
      <c r="L7" t="s">
        <v>157</v>
      </c>
    </row>
    <row r="8" spans="1:13" x14ac:dyDescent="0.25">
      <c r="A8" s="1" t="s">
        <v>158</v>
      </c>
      <c r="B8" s="1" t="s">
        <v>6</v>
      </c>
      <c r="C8" t="s">
        <v>159</v>
      </c>
      <c r="D8" t="s">
        <v>86</v>
      </c>
      <c r="E8" t="s">
        <v>124</v>
      </c>
      <c r="F8" t="s">
        <v>125</v>
      </c>
      <c r="G8">
        <v>7</v>
      </c>
      <c r="H8" t="s">
        <v>84</v>
      </c>
      <c r="J8" t="s">
        <v>109</v>
      </c>
      <c r="K8" t="s">
        <v>128</v>
      </c>
      <c r="L8" t="s">
        <v>160</v>
      </c>
    </row>
    <row r="9" spans="1:13" x14ac:dyDescent="0.25">
      <c r="A9" s="1" t="s">
        <v>161</v>
      </c>
      <c r="B9" s="1" t="s">
        <v>6</v>
      </c>
      <c r="C9" t="s">
        <v>162</v>
      </c>
      <c r="D9" t="s">
        <v>86</v>
      </c>
      <c r="E9" t="s">
        <v>124</v>
      </c>
      <c r="F9" t="s">
        <v>125</v>
      </c>
      <c r="G9">
        <v>5</v>
      </c>
      <c r="H9" t="s">
        <v>84</v>
      </c>
      <c r="J9" t="s">
        <v>129</v>
      </c>
      <c r="K9" t="s">
        <v>130</v>
      </c>
      <c r="L9" t="s">
        <v>163</v>
      </c>
    </row>
    <row r="10" spans="1:13" x14ac:dyDescent="0.25">
      <c r="A10" s="1" t="s">
        <v>164</v>
      </c>
      <c r="B10" s="1" t="s">
        <v>6</v>
      </c>
      <c r="C10" t="s">
        <v>165</v>
      </c>
      <c r="D10" t="s">
        <v>86</v>
      </c>
      <c r="E10" t="s">
        <v>124</v>
      </c>
      <c r="F10" t="s">
        <v>131</v>
      </c>
      <c r="G10">
        <v>4</v>
      </c>
      <c r="H10" t="s">
        <v>84</v>
      </c>
      <c r="J10" t="s">
        <v>132</v>
      </c>
      <c r="K10" t="s">
        <v>133</v>
      </c>
      <c r="L10" t="s">
        <v>166</v>
      </c>
    </row>
    <row r="11" spans="1:13" x14ac:dyDescent="0.25">
      <c r="A11" s="1" t="s">
        <v>167</v>
      </c>
      <c r="B11" s="1" t="s">
        <v>6</v>
      </c>
      <c r="C11" t="s">
        <v>168</v>
      </c>
      <c r="D11" t="s">
        <v>86</v>
      </c>
      <c r="E11" t="s">
        <v>124</v>
      </c>
      <c r="F11" t="s">
        <v>131</v>
      </c>
      <c r="G11">
        <v>5</v>
      </c>
      <c r="H11" t="s">
        <v>84</v>
      </c>
      <c r="J11" t="s">
        <v>134</v>
      </c>
      <c r="K11" t="s">
        <v>135</v>
      </c>
      <c r="L11" t="s">
        <v>169</v>
      </c>
    </row>
    <row r="12" spans="1:13" x14ac:dyDescent="0.25">
      <c r="A12" s="1" t="s">
        <v>375</v>
      </c>
      <c r="B12" s="1" t="s">
        <v>370</v>
      </c>
      <c r="C12" t="s">
        <v>237</v>
      </c>
      <c r="D12" t="s">
        <v>86</v>
      </c>
      <c r="E12" t="s">
        <v>279</v>
      </c>
      <c r="F12" t="s">
        <v>84</v>
      </c>
      <c r="H12" t="s">
        <v>84</v>
      </c>
      <c r="J12" t="s">
        <v>280</v>
      </c>
      <c r="K12" t="s">
        <v>281</v>
      </c>
      <c r="L12" t="s">
        <v>282</v>
      </c>
    </row>
    <row r="13" spans="1:13" x14ac:dyDescent="0.25">
      <c r="A13" s="1" t="s">
        <v>376</v>
      </c>
      <c r="B13" s="1" t="s">
        <v>370</v>
      </c>
      <c r="C13" t="s">
        <v>243</v>
      </c>
      <c r="D13" t="s">
        <v>86</v>
      </c>
      <c r="E13" t="s">
        <v>279</v>
      </c>
      <c r="F13" t="s">
        <v>84</v>
      </c>
      <c r="H13" t="s">
        <v>84</v>
      </c>
      <c r="J13" t="s">
        <v>283</v>
      </c>
      <c r="K13" t="s">
        <v>274</v>
      </c>
      <c r="L13" t="s">
        <v>284</v>
      </c>
    </row>
    <row r="14" spans="1:13" x14ac:dyDescent="0.25">
      <c r="A14" s="1" t="s">
        <v>377</v>
      </c>
      <c r="B14" s="1" t="s">
        <v>370</v>
      </c>
      <c r="C14" t="s">
        <v>285</v>
      </c>
      <c r="D14" t="s">
        <v>86</v>
      </c>
      <c r="E14" t="s">
        <v>279</v>
      </c>
      <c r="F14" t="s">
        <v>84</v>
      </c>
      <c r="H14" t="s">
        <v>84</v>
      </c>
      <c r="J14" t="s">
        <v>286</v>
      </c>
      <c r="K14" t="s">
        <v>287</v>
      </c>
      <c r="L14" t="s">
        <v>288</v>
      </c>
    </row>
    <row r="15" spans="1:13" x14ac:dyDescent="0.25">
      <c r="A15" s="1" t="s">
        <v>170</v>
      </c>
      <c r="B15" s="1" t="s">
        <v>7</v>
      </c>
      <c r="C15" t="s">
        <v>171</v>
      </c>
      <c r="D15" t="s">
        <v>86</v>
      </c>
      <c r="E15" t="s">
        <v>122</v>
      </c>
      <c r="F15" t="s">
        <v>123</v>
      </c>
      <c r="G15">
        <v>2</v>
      </c>
      <c r="H15" t="s">
        <v>84</v>
      </c>
      <c r="I15" t="s">
        <v>136</v>
      </c>
      <c r="J15" t="s">
        <v>139</v>
      </c>
      <c r="K15" t="s">
        <v>172</v>
      </c>
      <c r="L15" t="s">
        <v>173</v>
      </c>
    </row>
    <row r="16" spans="1:13" x14ac:dyDescent="0.25">
      <c r="A16" s="1" t="s">
        <v>174</v>
      </c>
      <c r="B16" s="1" t="s">
        <v>7</v>
      </c>
      <c r="C16" t="s">
        <v>175</v>
      </c>
      <c r="D16" t="s">
        <v>86</v>
      </c>
      <c r="E16" t="s">
        <v>122</v>
      </c>
      <c r="F16" t="s">
        <v>176</v>
      </c>
      <c r="G16">
        <v>3</v>
      </c>
      <c r="H16" t="s">
        <v>84</v>
      </c>
      <c r="I16" t="s">
        <v>138</v>
      </c>
      <c r="J16" t="s">
        <v>141</v>
      </c>
      <c r="K16" t="s">
        <v>177</v>
      </c>
      <c r="L16" t="s">
        <v>178</v>
      </c>
    </row>
    <row r="17" spans="1:12" x14ac:dyDescent="0.25">
      <c r="A17" s="1" t="s">
        <v>179</v>
      </c>
      <c r="B17" s="1" t="s">
        <v>7</v>
      </c>
      <c r="C17" t="s">
        <v>180</v>
      </c>
      <c r="D17" t="s">
        <v>86</v>
      </c>
      <c r="E17" t="s">
        <v>122</v>
      </c>
      <c r="F17" t="s">
        <v>176</v>
      </c>
      <c r="G17">
        <v>4</v>
      </c>
      <c r="H17" t="s">
        <v>84</v>
      </c>
      <c r="I17" t="s">
        <v>140</v>
      </c>
      <c r="J17" t="s">
        <v>142</v>
      </c>
      <c r="K17" t="s">
        <v>181</v>
      </c>
      <c r="L17" t="s">
        <v>182</v>
      </c>
    </row>
    <row r="18" spans="1:12" x14ac:dyDescent="0.25">
      <c r="A18" s="1" t="s">
        <v>378</v>
      </c>
      <c r="B18" s="1" t="s">
        <v>371</v>
      </c>
      <c r="C18" t="s">
        <v>237</v>
      </c>
      <c r="D18" t="s">
        <v>86</v>
      </c>
      <c r="E18" t="s">
        <v>289</v>
      </c>
      <c r="F18" t="s">
        <v>290</v>
      </c>
      <c r="G18">
        <v>1</v>
      </c>
      <c r="H18" t="s">
        <v>84</v>
      </c>
      <c r="J18" t="s">
        <v>277</v>
      </c>
      <c r="K18" t="s">
        <v>291</v>
      </c>
      <c r="L18" t="s">
        <v>292</v>
      </c>
    </row>
    <row r="19" spans="1:12" x14ac:dyDescent="0.25">
      <c r="A19" s="1" t="s">
        <v>379</v>
      </c>
      <c r="B19" s="1" t="s">
        <v>371</v>
      </c>
      <c r="C19" t="s">
        <v>243</v>
      </c>
      <c r="D19" t="s">
        <v>86</v>
      </c>
      <c r="E19" t="s">
        <v>289</v>
      </c>
      <c r="F19" t="s">
        <v>290</v>
      </c>
      <c r="G19">
        <v>3</v>
      </c>
      <c r="H19" t="s">
        <v>84</v>
      </c>
      <c r="J19" t="s">
        <v>293</v>
      </c>
      <c r="K19" t="s">
        <v>294</v>
      </c>
      <c r="L19" t="s">
        <v>295</v>
      </c>
    </row>
    <row r="20" spans="1:12" x14ac:dyDescent="0.25">
      <c r="A20" s="1" t="s">
        <v>380</v>
      </c>
      <c r="B20" s="1" t="s">
        <v>371</v>
      </c>
      <c r="C20" t="s">
        <v>285</v>
      </c>
      <c r="D20" t="s">
        <v>86</v>
      </c>
      <c r="E20" t="s">
        <v>289</v>
      </c>
      <c r="F20" t="s">
        <v>290</v>
      </c>
      <c r="G20">
        <v>4</v>
      </c>
      <c r="H20" t="s">
        <v>84</v>
      </c>
      <c r="J20" t="s">
        <v>296</v>
      </c>
      <c r="K20" t="s">
        <v>297</v>
      </c>
      <c r="L20" t="s">
        <v>298</v>
      </c>
    </row>
    <row r="21" spans="1:12" x14ac:dyDescent="0.25">
      <c r="A21" s="1" t="s">
        <v>300</v>
      </c>
      <c r="B21" s="1" t="s">
        <v>260</v>
      </c>
      <c r="C21" t="s">
        <v>237</v>
      </c>
      <c r="D21" t="s">
        <v>86</v>
      </c>
      <c r="E21" t="s">
        <v>301</v>
      </c>
      <c r="F21" t="s">
        <v>84</v>
      </c>
      <c r="J21" t="s">
        <v>274</v>
      </c>
      <c r="K21" t="s">
        <v>302</v>
      </c>
      <c r="L21" t="s">
        <v>303</v>
      </c>
    </row>
    <row r="22" spans="1:12" x14ac:dyDescent="0.25">
      <c r="A22" s="1" t="s">
        <v>304</v>
      </c>
      <c r="B22" s="1" t="s">
        <v>260</v>
      </c>
      <c r="C22" t="s">
        <v>243</v>
      </c>
      <c r="D22" t="s">
        <v>86</v>
      </c>
      <c r="E22" t="s">
        <v>301</v>
      </c>
      <c r="F22" t="s">
        <v>84</v>
      </c>
      <c r="J22" t="s">
        <v>287</v>
      </c>
      <c r="K22" t="s">
        <v>277</v>
      </c>
      <c r="L22" t="s">
        <v>280</v>
      </c>
    </row>
    <row r="23" spans="1:12" x14ac:dyDescent="0.25">
      <c r="A23" s="1" t="s">
        <v>305</v>
      </c>
      <c r="B23" s="1" t="s">
        <v>260</v>
      </c>
      <c r="C23" t="s">
        <v>285</v>
      </c>
      <c r="D23" t="s">
        <v>86</v>
      </c>
      <c r="E23" t="s">
        <v>301</v>
      </c>
      <c r="F23" t="s">
        <v>84</v>
      </c>
      <c r="J23" t="s">
        <v>306</v>
      </c>
      <c r="K23" t="s">
        <v>293</v>
      </c>
      <c r="L23" t="s">
        <v>283</v>
      </c>
    </row>
    <row r="24" spans="1:12" x14ac:dyDescent="0.25">
      <c r="A24" s="1" t="s">
        <v>307</v>
      </c>
      <c r="B24" s="1" t="s">
        <v>260</v>
      </c>
      <c r="C24" t="s">
        <v>308</v>
      </c>
      <c r="D24" t="s">
        <v>86</v>
      </c>
      <c r="E24" t="s">
        <v>301</v>
      </c>
      <c r="F24" t="s">
        <v>84</v>
      </c>
      <c r="J24" t="s">
        <v>309</v>
      </c>
      <c r="K24" t="s">
        <v>296</v>
      </c>
      <c r="L24" t="s">
        <v>286</v>
      </c>
    </row>
    <row r="25" spans="1:12" x14ac:dyDescent="0.25">
      <c r="A25" s="1" t="s">
        <v>310</v>
      </c>
      <c r="B25" s="1" t="s">
        <v>260</v>
      </c>
      <c r="C25" t="s">
        <v>311</v>
      </c>
      <c r="D25" t="s">
        <v>86</v>
      </c>
      <c r="E25" t="s">
        <v>301</v>
      </c>
      <c r="F25" t="s">
        <v>84</v>
      </c>
      <c r="J25" t="s">
        <v>282</v>
      </c>
      <c r="K25" t="s">
        <v>299</v>
      </c>
      <c r="L25" t="s">
        <v>312</v>
      </c>
    </row>
    <row r="26" spans="1:12" x14ac:dyDescent="0.25">
      <c r="A26" s="1" t="s">
        <v>313</v>
      </c>
      <c r="B26" s="1" t="s">
        <v>260</v>
      </c>
      <c r="C26" t="s">
        <v>314</v>
      </c>
      <c r="D26" t="s">
        <v>86</v>
      </c>
      <c r="E26" t="s">
        <v>301</v>
      </c>
      <c r="F26" t="s">
        <v>84</v>
      </c>
      <c r="J26" t="s">
        <v>284</v>
      </c>
      <c r="K26" t="s">
        <v>315</v>
      </c>
      <c r="L26" t="s">
        <v>316</v>
      </c>
    </row>
    <row r="27" spans="1:12" x14ac:dyDescent="0.25">
      <c r="A27" s="1" t="s">
        <v>381</v>
      </c>
      <c r="B27" s="1" t="s">
        <v>372</v>
      </c>
      <c r="C27" t="s">
        <v>171</v>
      </c>
      <c r="D27" t="s">
        <v>86</v>
      </c>
      <c r="E27" t="s">
        <v>122</v>
      </c>
      <c r="F27" t="s">
        <v>84</v>
      </c>
      <c r="H27" t="s">
        <v>84</v>
      </c>
      <c r="J27" t="s">
        <v>317</v>
      </c>
      <c r="K27" t="s">
        <v>280</v>
      </c>
      <c r="L27" t="s">
        <v>273</v>
      </c>
    </row>
    <row r="28" spans="1:12" x14ac:dyDescent="0.25">
      <c r="A28" s="1" t="s">
        <v>382</v>
      </c>
      <c r="B28" s="1" t="s">
        <v>372</v>
      </c>
      <c r="C28" t="s">
        <v>175</v>
      </c>
      <c r="D28" t="s">
        <v>86</v>
      </c>
      <c r="E28" t="s">
        <v>122</v>
      </c>
      <c r="F28" t="s">
        <v>84</v>
      </c>
      <c r="H28" t="s">
        <v>84</v>
      </c>
      <c r="J28" t="s">
        <v>318</v>
      </c>
      <c r="K28" t="s">
        <v>283</v>
      </c>
      <c r="L28" t="s">
        <v>319</v>
      </c>
    </row>
    <row r="29" spans="1:12" x14ac:dyDescent="0.25">
      <c r="A29" s="1" t="s">
        <v>383</v>
      </c>
      <c r="B29" s="1" t="s">
        <v>372</v>
      </c>
      <c r="C29" t="s">
        <v>180</v>
      </c>
      <c r="D29" t="s">
        <v>86</v>
      </c>
      <c r="E29" t="s">
        <v>122</v>
      </c>
      <c r="F29" t="s">
        <v>84</v>
      </c>
      <c r="H29" t="s">
        <v>84</v>
      </c>
      <c r="J29" t="s">
        <v>320</v>
      </c>
      <c r="K29" t="s">
        <v>286</v>
      </c>
      <c r="L29" t="s">
        <v>321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EAC-4D56-47FC-93FB-53AFE6020D35}">
  <sheetPr codeName="Sheet6"/>
  <dimension ref="A1:M54"/>
  <sheetViews>
    <sheetView topLeftCell="C37" workbookViewId="0">
      <selection activeCell="H4" sqref="H4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21.42578125" bestFit="1" customWidth="1"/>
    <col min="5" max="5" width="24" bestFit="1" customWidth="1"/>
    <col min="6" max="6" width="22.42578125" bestFit="1" customWidth="1"/>
    <col min="7" max="7" width="30.42578125" bestFit="1" customWidth="1"/>
    <col min="8" max="8" width="32.28515625" bestFit="1" customWidth="1"/>
    <col min="9" max="9" width="38.140625" bestFit="1" customWidth="1"/>
    <col min="10" max="10" width="12.42578125" bestFit="1" customWidth="1"/>
    <col min="11" max="11" width="35.5703125" bestFit="1" customWidth="1"/>
    <col min="12" max="12" width="44" bestFit="1" customWidth="1"/>
    <col min="13" max="13" width="14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207</v>
      </c>
      <c r="E1" t="s">
        <v>208</v>
      </c>
      <c r="F1" t="s">
        <v>209</v>
      </c>
      <c r="G1" t="s">
        <v>330</v>
      </c>
      <c r="H1" t="s">
        <v>210</v>
      </c>
      <c r="I1" t="s">
        <v>211</v>
      </c>
      <c r="J1" t="s">
        <v>212</v>
      </c>
      <c r="K1" t="s">
        <v>21</v>
      </c>
      <c r="L1" t="s">
        <v>331</v>
      </c>
      <c r="M1" t="s">
        <v>401</v>
      </c>
    </row>
    <row r="2" spans="1:13" x14ac:dyDescent="0.25">
      <c r="A2" s="1" t="s">
        <v>5</v>
      </c>
      <c r="B2" t="s">
        <v>39</v>
      </c>
      <c r="D2" t="s">
        <v>30</v>
      </c>
      <c r="E2">
        <v>5</v>
      </c>
      <c r="F2" t="s">
        <v>40</v>
      </c>
      <c r="G2" s="1"/>
      <c r="H2" t="s">
        <v>41</v>
      </c>
      <c r="I2" t="s">
        <v>32</v>
      </c>
      <c r="J2" t="s">
        <v>42</v>
      </c>
      <c r="L2" s="1" t="s">
        <v>333</v>
      </c>
    </row>
    <row r="3" spans="1:13" x14ac:dyDescent="0.25">
      <c r="A3" s="1" t="s">
        <v>5</v>
      </c>
      <c r="B3" t="s">
        <v>39</v>
      </c>
      <c r="D3" t="s">
        <v>23</v>
      </c>
      <c r="E3">
        <v>0</v>
      </c>
      <c r="F3" t="s">
        <v>44</v>
      </c>
      <c r="G3" s="1"/>
      <c r="H3" t="s">
        <v>41</v>
      </c>
      <c r="I3" t="s">
        <v>32</v>
      </c>
      <c r="J3" t="s">
        <v>42</v>
      </c>
      <c r="L3" s="1" t="s">
        <v>334</v>
      </c>
    </row>
    <row r="4" spans="1:13" x14ac:dyDescent="0.25">
      <c r="A4" s="1" t="s">
        <v>5</v>
      </c>
      <c r="B4" t="s">
        <v>39</v>
      </c>
      <c r="D4" t="s">
        <v>35</v>
      </c>
      <c r="E4">
        <v>4</v>
      </c>
      <c r="F4" t="s">
        <v>45</v>
      </c>
      <c r="G4" s="1"/>
      <c r="H4" t="s">
        <v>41</v>
      </c>
      <c r="I4" t="s">
        <v>32</v>
      </c>
      <c r="J4" t="s">
        <v>42</v>
      </c>
      <c r="L4" s="1" t="s">
        <v>335</v>
      </c>
    </row>
    <row r="5" spans="1:13" x14ac:dyDescent="0.25">
      <c r="A5" s="1" t="s">
        <v>5</v>
      </c>
      <c r="B5" t="s">
        <v>39</v>
      </c>
      <c r="D5" t="s">
        <v>30</v>
      </c>
      <c r="E5">
        <v>5</v>
      </c>
      <c r="F5" t="s">
        <v>40</v>
      </c>
      <c r="G5" s="1"/>
      <c r="H5" t="s">
        <v>43</v>
      </c>
      <c r="I5" t="s">
        <v>37</v>
      </c>
      <c r="J5" t="s">
        <v>42</v>
      </c>
      <c r="L5" s="1" t="s">
        <v>333</v>
      </c>
    </row>
    <row r="6" spans="1:13" x14ac:dyDescent="0.25">
      <c r="A6" s="1" t="s">
        <v>5</v>
      </c>
      <c r="B6" t="s">
        <v>39</v>
      </c>
      <c r="D6" t="s">
        <v>23</v>
      </c>
      <c r="E6">
        <v>0</v>
      </c>
      <c r="F6" t="s">
        <v>44</v>
      </c>
      <c r="G6" s="1"/>
      <c r="H6" t="s">
        <v>43</v>
      </c>
      <c r="I6" t="s">
        <v>37</v>
      </c>
      <c r="J6" t="s">
        <v>42</v>
      </c>
      <c r="L6" s="1" t="s">
        <v>334</v>
      </c>
    </row>
    <row r="7" spans="1:13" x14ac:dyDescent="0.25">
      <c r="A7" s="1" t="s">
        <v>5</v>
      </c>
      <c r="B7" t="s">
        <v>39</v>
      </c>
      <c r="D7" t="s">
        <v>35</v>
      </c>
      <c r="E7">
        <v>4</v>
      </c>
      <c r="F7" t="s">
        <v>45</v>
      </c>
      <c r="G7" s="1"/>
      <c r="H7" t="s">
        <v>43</v>
      </c>
      <c r="I7" t="s">
        <v>37</v>
      </c>
      <c r="J7" t="s">
        <v>42</v>
      </c>
      <c r="L7" s="1" t="s">
        <v>335</v>
      </c>
    </row>
    <row r="8" spans="1:13" x14ac:dyDescent="0.25">
      <c r="A8" s="1" t="s">
        <v>5</v>
      </c>
      <c r="B8" t="s">
        <v>39</v>
      </c>
      <c r="D8" t="s">
        <v>25</v>
      </c>
      <c r="E8">
        <v>1</v>
      </c>
      <c r="F8" t="s">
        <v>46</v>
      </c>
      <c r="G8" s="1"/>
      <c r="H8" t="s">
        <v>47</v>
      </c>
      <c r="I8" t="s">
        <v>38</v>
      </c>
      <c r="J8" t="s">
        <v>48</v>
      </c>
      <c r="L8" s="1" t="s">
        <v>336</v>
      </c>
    </row>
    <row r="9" spans="1:13" x14ac:dyDescent="0.25">
      <c r="A9" s="1" t="s">
        <v>5</v>
      </c>
      <c r="B9" t="s">
        <v>39</v>
      </c>
      <c r="D9" t="s">
        <v>26</v>
      </c>
      <c r="E9">
        <v>2</v>
      </c>
      <c r="F9" t="s">
        <v>50</v>
      </c>
      <c r="G9" s="1"/>
      <c r="H9" t="s">
        <v>47</v>
      </c>
      <c r="I9" t="s">
        <v>38</v>
      </c>
      <c r="J9" t="s">
        <v>48</v>
      </c>
      <c r="L9" s="1" t="s">
        <v>337</v>
      </c>
    </row>
    <row r="10" spans="1:13" x14ac:dyDescent="0.25">
      <c r="A10" s="1" t="s">
        <v>5</v>
      </c>
      <c r="B10" t="s">
        <v>39</v>
      </c>
      <c r="D10" t="s">
        <v>28</v>
      </c>
      <c r="E10">
        <v>6</v>
      </c>
      <c r="F10" t="s">
        <v>51</v>
      </c>
      <c r="G10" s="1"/>
      <c r="H10" t="s">
        <v>47</v>
      </c>
      <c r="I10" t="s">
        <v>38</v>
      </c>
      <c r="J10" t="s">
        <v>48</v>
      </c>
      <c r="L10" s="1" t="s">
        <v>338</v>
      </c>
    </row>
    <row r="11" spans="1:13" x14ac:dyDescent="0.25">
      <c r="A11" s="1" t="s">
        <v>5</v>
      </c>
      <c r="B11" t="s">
        <v>39</v>
      </c>
      <c r="D11" t="s">
        <v>25</v>
      </c>
      <c r="E11">
        <v>1</v>
      </c>
      <c r="F11" t="s">
        <v>46</v>
      </c>
      <c r="G11" s="1"/>
      <c r="H11" t="s">
        <v>49</v>
      </c>
      <c r="I11" t="s">
        <v>34</v>
      </c>
      <c r="J11" t="s">
        <v>48</v>
      </c>
      <c r="L11" s="1" t="s">
        <v>336</v>
      </c>
    </row>
    <row r="12" spans="1:13" x14ac:dyDescent="0.25">
      <c r="A12" s="1" t="s">
        <v>5</v>
      </c>
      <c r="B12" t="s">
        <v>39</v>
      </c>
      <c r="D12" t="s">
        <v>26</v>
      </c>
      <c r="E12">
        <v>2</v>
      </c>
      <c r="F12" t="s">
        <v>50</v>
      </c>
      <c r="G12" s="1"/>
      <c r="H12" t="s">
        <v>49</v>
      </c>
      <c r="I12" t="s">
        <v>34</v>
      </c>
      <c r="J12" t="s">
        <v>48</v>
      </c>
      <c r="L12" s="1" t="s">
        <v>337</v>
      </c>
    </row>
    <row r="13" spans="1:13" x14ac:dyDescent="0.25">
      <c r="A13" s="1" t="s">
        <v>5</v>
      </c>
      <c r="B13" t="s">
        <v>39</v>
      </c>
      <c r="D13" t="s">
        <v>28</v>
      </c>
      <c r="E13">
        <v>6</v>
      </c>
      <c r="F13" t="s">
        <v>51</v>
      </c>
      <c r="G13" s="1"/>
      <c r="H13" t="s">
        <v>49</v>
      </c>
      <c r="I13" t="s">
        <v>34</v>
      </c>
      <c r="J13" t="s">
        <v>48</v>
      </c>
      <c r="L13" s="1" t="s">
        <v>338</v>
      </c>
    </row>
    <row r="14" spans="1:13" x14ac:dyDescent="0.25">
      <c r="A14" s="1" t="s">
        <v>369</v>
      </c>
      <c r="B14" t="s">
        <v>234</v>
      </c>
      <c r="C14" t="s">
        <v>22</v>
      </c>
      <c r="D14" t="s">
        <v>23</v>
      </c>
      <c r="E14">
        <v>1</v>
      </c>
      <c r="G14" s="1"/>
      <c r="K14" t="s">
        <v>24</v>
      </c>
      <c r="L14" s="1" t="s">
        <v>384</v>
      </c>
    </row>
    <row r="15" spans="1:13" x14ac:dyDescent="0.25">
      <c r="A15" s="1" t="s">
        <v>369</v>
      </c>
      <c r="B15" t="s">
        <v>234</v>
      </c>
      <c r="C15" t="s">
        <v>22</v>
      </c>
      <c r="D15" t="s">
        <v>25</v>
      </c>
      <c r="E15">
        <v>2</v>
      </c>
      <c r="G15" s="1"/>
      <c r="K15" t="s">
        <v>24</v>
      </c>
      <c r="L15" s="1" t="s">
        <v>385</v>
      </c>
    </row>
    <row r="16" spans="1:13" x14ac:dyDescent="0.25">
      <c r="A16" s="1" t="s">
        <v>369</v>
      </c>
      <c r="B16" t="s">
        <v>234</v>
      </c>
      <c r="C16" t="s">
        <v>22</v>
      </c>
      <c r="D16" t="s">
        <v>26</v>
      </c>
      <c r="E16">
        <v>3</v>
      </c>
      <c r="G16" s="1"/>
      <c r="K16" t="s">
        <v>24</v>
      </c>
      <c r="L16" s="1" t="s">
        <v>386</v>
      </c>
    </row>
    <row r="17" spans="1:13" x14ac:dyDescent="0.25">
      <c r="A17" s="1" t="s">
        <v>369</v>
      </c>
      <c r="B17" t="s">
        <v>234</v>
      </c>
      <c r="C17" t="s">
        <v>22</v>
      </c>
      <c r="D17" t="s">
        <v>28</v>
      </c>
      <c r="E17">
        <v>6</v>
      </c>
      <c r="G17" s="1"/>
      <c r="K17" t="s">
        <v>24</v>
      </c>
      <c r="L17" s="1" t="s">
        <v>387</v>
      </c>
    </row>
    <row r="18" spans="1:13" x14ac:dyDescent="0.25">
      <c r="A18" s="1" t="s">
        <v>369</v>
      </c>
      <c r="B18" t="s">
        <v>234</v>
      </c>
      <c r="C18" t="s">
        <v>22</v>
      </c>
      <c r="D18" t="s">
        <v>27</v>
      </c>
      <c r="E18">
        <v>4</v>
      </c>
      <c r="F18" t="s">
        <v>235</v>
      </c>
      <c r="G18" s="1"/>
      <c r="K18" t="s">
        <v>24</v>
      </c>
      <c r="L18" s="1" t="s">
        <v>388</v>
      </c>
    </row>
    <row r="19" spans="1:13" x14ac:dyDescent="0.25">
      <c r="A19" s="1" t="s">
        <v>369</v>
      </c>
      <c r="B19" t="s">
        <v>234</v>
      </c>
      <c r="C19" t="s">
        <v>22</v>
      </c>
      <c r="D19" t="s">
        <v>27</v>
      </c>
      <c r="E19">
        <v>5</v>
      </c>
      <c r="F19" t="s">
        <v>236</v>
      </c>
      <c r="G19" s="1"/>
      <c r="K19" t="s">
        <v>24</v>
      </c>
      <c r="L19" s="1" t="s">
        <v>389</v>
      </c>
    </row>
    <row r="20" spans="1:13" x14ac:dyDescent="0.25">
      <c r="A20" s="1" t="s">
        <v>6</v>
      </c>
      <c r="B20" t="s">
        <v>29</v>
      </c>
      <c r="C20" t="s">
        <v>24</v>
      </c>
      <c r="D20" t="s">
        <v>30</v>
      </c>
      <c r="E20">
        <v>3939</v>
      </c>
      <c r="G20" s="1" t="s">
        <v>358</v>
      </c>
      <c r="H20" t="s">
        <v>31</v>
      </c>
      <c r="I20" t="s">
        <v>32</v>
      </c>
      <c r="K20" t="s">
        <v>22</v>
      </c>
      <c r="L20" s="1" t="s">
        <v>339</v>
      </c>
      <c r="M20" t="s">
        <v>358</v>
      </c>
    </row>
    <row r="21" spans="1:13" x14ac:dyDescent="0.25">
      <c r="A21" s="1" t="s">
        <v>6</v>
      </c>
      <c r="B21" t="s">
        <v>29</v>
      </c>
      <c r="C21" t="s">
        <v>24</v>
      </c>
      <c r="D21" t="s">
        <v>23</v>
      </c>
      <c r="E21">
        <v>1</v>
      </c>
      <c r="G21" s="1" t="s">
        <v>358</v>
      </c>
      <c r="H21" t="s">
        <v>31</v>
      </c>
      <c r="I21" t="s">
        <v>32</v>
      </c>
      <c r="K21" t="s">
        <v>22</v>
      </c>
      <c r="L21" s="1" t="s">
        <v>340</v>
      </c>
      <c r="M21" t="s">
        <v>358</v>
      </c>
    </row>
    <row r="22" spans="1:13" x14ac:dyDescent="0.25">
      <c r="A22" s="1" t="s">
        <v>6</v>
      </c>
      <c r="B22" t="s">
        <v>29</v>
      </c>
      <c r="C22" t="s">
        <v>24</v>
      </c>
      <c r="D22" t="s">
        <v>35</v>
      </c>
      <c r="E22">
        <v>1</v>
      </c>
      <c r="G22" s="1" t="s">
        <v>358</v>
      </c>
      <c r="H22" t="s">
        <v>31</v>
      </c>
      <c r="I22" t="s">
        <v>32</v>
      </c>
      <c r="K22" t="s">
        <v>22</v>
      </c>
      <c r="L22" s="1" t="s">
        <v>341</v>
      </c>
      <c r="M22" t="s">
        <v>358</v>
      </c>
    </row>
    <row r="23" spans="1:13" x14ac:dyDescent="0.25">
      <c r="A23" s="1" t="s">
        <v>6</v>
      </c>
      <c r="B23" t="s">
        <v>29</v>
      </c>
      <c r="C23" t="s">
        <v>24</v>
      </c>
      <c r="D23" t="s">
        <v>25</v>
      </c>
      <c r="E23">
        <v>1</v>
      </c>
      <c r="G23" s="1" t="s">
        <v>358</v>
      </c>
      <c r="H23" t="s">
        <v>31</v>
      </c>
      <c r="I23" t="s">
        <v>32</v>
      </c>
      <c r="K23" t="s">
        <v>22</v>
      </c>
      <c r="L23" s="1" t="s">
        <v>342</v>
      </c>
      <c r="M23" t="s">
        <v>358</v>
      </c>
    </row>
    <row r="24" spans="1:13" x14ac:dyDescent="0.25">
      <c r="A24" s="1" t="s">
        <v>6</v>
      </c>
      <c r="B24" t="s">
        <v>29</v>
      </c>
      <c r="C24" t="s">
        <v>24</v>
      </c>
      <c r="D24" t="s">
        <v>26</v>
      </c>
      <c r="E24">
        <v>1</v>
      </c>
      <c r="G24" s="1" t="s">
        <v>358</v>
      </c>
      <c r="H24" t="s">
        <v>31</v>
      </c>
      <c r="I24" t="s">
        <v>32</v>
      </c>
      <c r="K24" t="s">
        <v>22</v>
      </c>
      <c r="L24" s="1" t="s">
        <v>343</v>
      </c>
      <c r="M24" t="s">
        <v>358</v>
      </c>
    </row>
    <row r="25" spans="1:13" x14ac:dyDescent="0.25">
      <c r="A25" s="1" t="s">
        <v>6</v>
      </c>
      <c r="B25" t="s">
        <v>29</v>
      </c>
      <c r="C25" t="s">
        <v>24</v>
      </c>
      <c r="D25" t="s">
        <v>27</v>
      </c>
      <c r="E25">
        <v>1</v>
      </c>
      <c r="F25" t="s">
        <v>36</v>
      </c>
      <c r="G25" s="1" t="s">
        <v>358</v>
      </c>
      <c r="H25" t="s">
        <v>31</v>
      </c>
      <c r="I25" t="s">
        <v>32</v>
      </c>
      <c r="K25" t="s">
        <v>22</v>
      </c>
      <c r="L25" s="1" t="s">
        <v>344</v>
      </c>
      <c r="M25" t="s">
        <v>358</v>
      </c>
    </row>
    <row r="26" spans="1:13" x14ac:dyDescent="0.25">
      <c r="A26" s="1" t="s">
        <v>6</v>
      </c>
      <c r="B26" t="s">
        <v>29</v>
      </c>
      <c r="C26" t="s">
        <v>24</v>
      </c>
      <c r="D26" t="s">
        <v>30</v>
      </c>
      <c r="E26">
        <v>3939</v>
      </c>
      <c r="G26" s="1" t="s">
        <v>358</v>
      </c>
      <c r="H26" t="s">
        <v>33</v>
      </c>
      <c r="I26" t="s">
        <v>34</v>
      </c>
      <c r="K26" t="s">
        <v>22</v>
      </c>
      <c r="L26" s="1" t="s">
        <v>339</v>
      </c>
      <c r="M26" t="s">
        <v>358</v>
      </c>
    </row>
    <row r="27" spans="1:13" x14ac:dyDescent="0.25">
      <c r="A27" s="1" t="s">
        <v>6</v>
      </c>
      <c r="B27" t="s">
        <v>29</v>
      </c>
      <c r="C27" t="s">
        <v>24</v>
      </c>
      <c r="D27" t="s">
        <v>23</v>
      </c>
      <c r="E27">
        <v>1</v>
      </c>
      <c r="G27" s="1" t="s">
        <v>358</v>
      </c>
      <c r="H27" t="s">
        <v>33</v>
      </c>
      <c r="I27" t="s">
        <v>34</v>
      </c>
      <c r="K27" t="s">
        <v>22</v>
      </c>
      <c r="L27" s="1" t="s">
        <v>340</v>
      </c>
      <c r="M27" t="s">
        <v>358</v>
      </c>
    </row>
    <row r="28" spans="1:13" x14ac:dyDescent="0.25">
      <c r="A28" s="1" t="s">
        <v>6</v>
      </c>
      <c r="B28" t="s">
        <v>29</v>
      </c>
      <c r="C28" t="s">
        <v>24</v>
      </c>
      <c r="D28" t="s">
        <v>35</v>
      </c>
      <c r="E28">
        <v>1</v>
      </c>
      <c r="G28" s="1" t="s">
        <v>358</v>
      </c>
      <c r="H28" t="s">
        <v>33</v>
      </c>
      <c r="I28" t="s">
        <v>34</v>
      </c>
      <c r="K28" t="s">
        <v>22</v>
      </c>
      <c r="L28" s="1" t="s">
        <v>341</v>
      </c>
      <c r="M28" t="s">
        <v>358</v>
      </c>
    </row>
    <row r="29" spans="1:13" x14ac:dyDescent="0.25">
      <c r="A29" s="1" t="s">
        <v>6</v>
      </c>
      <c r="B29" t="s">
        <v>29</v>
      </c>
      <c r="C29" t="s">
        <v>24</v>
      </c>
      <c r="D29" t="s">
        <v>25</v>
      </c>
      <c r="E29">
        <v>1</v>
      </c>
      <c r="G29" s="1" t="s">
        <v>358</v>
      </c>
      <c r="H29" t="s">
        <v>33</v>
      </c>
      <c r="I29" t="s">
        <v>34</v>
      </c>
      <c r="K29" t="s">
        <v>22</v>
      </c>
      <c r="L29" s="1" t="s">
        <v>342</v>
      </c>
      <c r="M29" t="s">
        <v>358</v>
      </c>
    </row>
    <row r="30" spans="1:13" x14ac:dyDescent="0.25">
      <c r="A30" s="1" t="s">
        <v>6</v>
      </c>
      <c r="B30" t="s">
        <v>29</v>
      </c>
      <c r="C30" t="s">
        <v>24</v>
      </c>
      <c r="D30" t="s">
        <v>26</v>
      </c>
      <c r="E30">
        <v>1</v>
      </c>
      <c r="G30" s="1" t="s">
        <v>358</v>
      </c>
      <c r="H30" t="s">
        <v>33</v>
      </c>
      <c r="I30" t="s">
        <v>34</v>
      </c>
      <c r="K30" t="s">
        <v>22</v>
      </c>
      <c r="L30" s="1" t="s">
        <v>343</v>
      </c>
      <c r="M30" t="s">
        <v>358</v>
      </c>
    </row>
    <row r="31" spans="1:13" x14ac:dyDescent="0.25">
      <c r="A31" s="1" t="s">
        <v>6</v>
      </c>
      <c r="B31" t="s">
        <v>29</v>
      </c>
      <c r="C31" t="s">
        <v>24</v>
      </c>
      <c r="D31" t="s">
        <v>27</v>
      </c>
      <c r="E31">
        <v>1</v>
      </c>
      <c r="F31" t="s">
        <v>36</v>
      </c>
      <c r="G31" s="1" t="s">
        <v>358</v>
      </c>
      <c r="H31" t="s">
        <v>33</v>
      </c>
      <c r="I31" t="s">
        <v>34</v>
      </c>
      <c r="K31" t="s">
        <v>22</v>
      </c>
      <c r="L31" s="1" t="s">
        <v>344</v>
      </c>
      <c r="M31" t="s">
        <v>358</v>
      </c>
    </row>
    <row r="32" spans="1:13" x14ac:dyDescent="0.25">
      <c r="A32" s="1" t="s">
        <v>7</v>
      </c>
      <c r="B32" t="s">
        <v>29</v>
      </c>
      <c r="C32" t="s">
        <v>22</v>
      </c>
      <c r="D32" t="s">
        <v>30</v>
      </c>
      <c r="E32">
        <v>3939</v>
      </c>
      <c r="G32" s="1" t="s">
        <v>358</v>
      </c>
      <c r="H32" t="s">
        <v>31</v>
      </c>
      <c r="I32" t="s">
        <v>38</v>
      </c>
      <c r="K32" t="s">
        <v>22</v>
      </c>
      <c r="L32" s="1" t="s">
        <v>345</v>
      </c>
      <c r="M32" t="s">
        <v>358</v>
      </c>
    </row>
    <row r="33" spans="1:13" x14ac:dyDescent="0.25">
      <c r="A33" s="1" t="s">
        <v>7</v>
      </c>
      <c r="B33" t="s">
        <v>29</v>
      </c>
      <c r="C33" t="s">
        <v>22</v>
      </c>
      <c r="D33" t="s">
        <v>23</v>
      </c>
      <c r="E33">
        <v>1</v>
      </c>
      <c r="G33" s="1" t="s">
        <v>358</v>
      </c>
      <c r="H33" t="s">
        <v>31</v>
      </c>
      <c r="I33" t="s">
        <v>38</v>
      </c>
      <c r="K33" t="s">
        <v>22</v>
      </c>
      <c r="L33" s="1" t="s">
        <v>346</v>
      </c>
      <c r="M33" t="s">
        <v>358</v>
      </c>
    </row>
    <row r="34" spans="1:13" x14ac:dyDescent="0.25">
      <c r="A34" s="1" t="s">
        <v>7</v>
      </c>
      <c r="B34" t="s">
        <v>29</v>
      </c>
      <c r="C34" t="s">
        <v>22</v>
      </c>
      <c r="D34" t="s">
        <v>35</v>
      </c>
      <c r="E34">
        <v>1</v>
      </c>
      <c r="G34" s="1" t="s">
        <v>358</v>
      </c>
      <c r="H34" t="s">
        <v>31</v>
      </c>
      <c r="I34" t="s">
        <v>38</v>
      </c>
      <c r="K34" t="s">
        <v>22</v>
      </c>
      <c r="L34" s="1" t="s">
        <v>347</v>
      </c>
      <c r="M34" t="s">
        <v>358</v>
      </c>
    </row>
    <row r="35" spans="1:13" x14ac:dyDescent="0.25">
      <c r="A35" s="1" t="s">
        <v>7</v>
      </c>
      <c r="B35" t="s">
        <v>29</v>
      </c>
      <c r="C35" t="s">
        <v>22</v>
      </c>
      <c r="D35" t="s">
        <v>30</v>
      </c>
      <c r="E35">
        <v>3939</v>
      </c>
      <c r="G35" s="1" t="s">
        <v>358</v>
      </c>
      <c r="H35" t="s">
        <v>33</v>
      </c>
      <c r="I35" t="s">
        <v>34</v>
      </c>
      <c r="K35" t="s">
        <v>22</v>
      </c>
      <c r="L35" s="1" t="s">
        <v>345</v>
      </c>
      <c r="M35" t="s">
        <v>358</v>
      </c>
    </row>
    <row r="36" spans="1:13" x14ac:dyDescent="0.25">
      <c r="A36" s="1" t="s">
        <v>7</v>
      </c>
      <c r="B36" t="s">
        <v>29</v>
      </c>
      <c r="C36" t="s">
        <v>22</v>
      </c>
      <c r="D36" t="s">
        <v>23</v>
      </c>
      <c r="E36">
        <v>1</v>
      </c>
      <c r="G36" s="1" t="s">
        <v>358</v>
      </c>
      <c r="H36" t="s">
        <v>33</v>
      </c>
      <c r="I36" t="s">
        <v>34</v>
      </c>
      <c r="K36" t="s">
        <v>22</v>
      </c>
      <c r="L36" s="1" t="s">
        <v>346</v>
      </c>
      <c r="M36" t="s">
        <v>358</v>
      </c>
    </row>
    <row r="37" spans="1:13" x14ac:dyDescent="0.25">
      <c r="A37" s="1" t="s">
        <v>7</v>
      </c>
      <c r="B37" t="s">
        <v>29</v>
      </c>
      <c r="C37" t="s">
        <v>22</v>
      </c>
      <c r="D37" t="s">
        <v>35</v>
      </c>
      <c r="E37">
        <v>1</v>
      </c>
      <c r="G37" s="1" t="s">
        <v>358</v>
      </c>
      <c r="H37" t="s">
        <v>33</v>
      </c>
      <c r="I37" t="s">
        <v>34</v>
      </c>
      <c r="K37" t="s">
        <v>22</v>
      </c>
      <c r="L37" s="1" t="s">
        <v>347</v>
      </c>
      <c r="M37" t="s">
        <v>358</v>
      </c>
    </row>
    <row r="38" spans="1:13" x14ac:dyDescent="0.25">
      <c r="A38" s="1" t="s">
        <v>7</v>
      </c>
      <c r="B38" t="s">
        <v>29</v>
      </c>
      <c r="C38" t="s">
        <v>22</v>
      </c>
      <c r="D38" t="s">
        <v>25</v>
      </c>
      <c r="E38">
        <v>3</v>
      </c>
      <c r="G38" s="1" t="s">
        <v>357</v>
      </c>
      <c r="H38" t="s">
        <v>31</v>
      </c>
      <c r="I38" t="s">
        <v>52</v>
      </c>
      <c r="K38" t="s">
        <v>22</v>
      </c>
      <c r="L38" s="1" t="s">
        <v>348</v>
      </c>
      <c r="M38" t="s">
        <v>357</v>
      </c>
    </row>
    <row r="39" spans="1:13" x14ac:dyDescent="0.25">
      <c r="A39" s="1" t="s">
        <v>7</v>
      </c>
      <c r="B39" t="s">
        <v>29</v>
      </c>
      <c r="C39" t="s">
        <v>22</v>
      </c>
      <c r="D39" t="s">
        <v>26</v>
      </c>
      <c r="E39">
        <v>6</v>
      </c>
      <c r="G39" s="1" t="s">
        <v>358</v>
      </c>
      <c r="H39" t="s">
        <v>31</v>
      </c>
      <c r="I39" t="s">
        <v>52</v>
      </c>
      <c r="K39" t="s">
        <v>22</v>
      </c>
      <c r="L39" s="1" t="s">
        <v>349</v>
      </c>
      <c r="M39" t="s">
        <v>358</v>
      </c>
    </row>
    <row r="40" spans="1:13" x14ac:dyDescent="0.25">
      <c r="A40" s="1" t="s">
        <v>7</v>
      </c>
      <c r="B40" t="s">
        <v>29</v>
      </c>
      <c r="C40" t="s">
        <v>22</v>
      </c>
      <c r="D40" t="s">
        <v>25</v>
      </c>
      <c r="E40">
        <v>3</v>
      </c>
      <c r="G40" s="1" t="s">
        <v>357</v>
      </c>
      <c r="H40" t="s">
        <v>33</v>
      </c>
      <c r="I40" t="s">
        <v>53</v>
      </c>
      <c r="K40" t="s">
        <v>22</v>
      </c>
      <c r="L40" s="1" t="s">
        <v>348</v>
      </c>
      <c r="M40" t="s">
        <v>357</v>
      </c>
    </row>
    <row r="41" spans="1:13" x14ac:dyDescent="0.25">
      <c r="A41" s="1" t="s">
        <v>7</v>
      </c>
      <c r="B41" t="s">
        <v>29</v>
      </c>
      <c r="C41" t="s">
        <v>22</v>
      </c>
      <c r="D41" t="s">
        <v>26</v>
      </c>
      <c r="E41">
        <v>6</v>
      </c>
      <c r="G41" s="1" t="s">
        <v>358</v>
      </c>
      <c r="H41" t="s">
        <v>33</v>
      </c>
      <c r="I41" t="s">
        <v>53</v>
      </c>
      <c r="K41" t="s">
        <v>22</v>
      </c>
      <c r="L41" s="1" t="s">
        <v>349</v>
      </c>
      <c r="M41" t="s">
        <v>358</v>
      </c>
    </row>
    <row r="42" spans="1:13" x14ac:dyDescent="0.25">
      <c r="A42" s="1" t="s">
        <v>371</v>
      </c>
      <c r="B42" t="s">
        <v>327</v>
      </c>
      <c r="C42" t="s">
        <v>22</v>
      </c>
      <c r="D42" t="s">
        <v>23</v>
      </c>
      <c r="E42">
        <v>1</v>
      </c>
      <c r="G42" s="1"/>
      <c r="K42" t="s">
        <v>24</v>
      </c>
      <c r="L42" s="1" t="s">
        <v>390</v>
      </c>
    </row>
    <row r="43" spans="1:13" x14ac:dyDescent="0.25">
      <c r="A43" s="1" t="s">
        <v>371</v>
      </c>
      <c r="B43" t="s">
        <v>327</v>
      </c>
      <c r="C43" t="s">
        <v>22</v>
      </c>
      <c r="D43" t="s">
        <v>25</v>
      </c>
      <c r="E43">
        <v>1</v>
      </c>
      <c r="G43" s="1"/>
      <c r="K43" t="s">
        <v>24</v>
      </c>
      <c r="L43" s="1" t="s">
        <v>391</v>
      </c>
    </row>
    <row r="44" spans="1:13" x14ac:dyDescent="0.25">
      <c r="A44" s="1" t="s">
        <v>371</v>
      </c>
      <c r="B44" t="s">
        <v>327</v>
      </c>
      <c r="C44" t="s">
        <v>22</v>
      </c>
      <c r="D44" t="s">
        <v>26</v>
      </c>
      <c r="E44">
        <v>1</v>
      </c>
      <c r="G44" s="1"/>
      <c r="K44" t="s">
        <v>24</v>
      </c>
      <c r="L44" s="1" t="s">
        <v>392</v>
      </c>
    </row>
    <row r="45" spans="1:13" x14ac:dyDescent="0.25">
      <c r="A45" s="1" t="s">
        <v>370</v>
      </c>
      <c r="B45" t="s">
        <v>327</v>
      </c>
      <c r="D45" t="s">
        <v>23</v>
      </c>
      <c r="E45">
        <v>1</v>
      </c>
      <c r="G45" s="1"/>
      <c r="K45" t="s">
        <v>24</v>
      </c>
      <c r="L45" s="1" t="s">
        <v>393</v>
      </c>
    </row>
    <row r="46" spans="1:13" x14ac:dyDescent="0.25">
      <c r="A46" s="1" t="s">
        <v>370</v>
      </c>
      <c r="B46" t="s">
        <v>327</v>
      </c>
      <c r="D46" t="s">
        <v>25</v>
      </c>
      <c r="E46">
        <v>1</v>
      </c>
      <c r="G46" s="1"/>
      <c r="K46" t="s">
        <v>24</v>
      </c>
      <c r="L46" s="1" t="s">
        <v>394</v>
      </c>
    </row>
    <row r="47" spans="1:13" x14ac:dyDescent="0.25">
      <c r="A47" s="1" t="s">
        <v>370</v>
      </c>
      <c r="B47" t="s">
        <v>327</v>
      </c>
      <c r="D47" t="s">
        <v>26</v>
      </c>
      <c r="E47">
        <v>1</v>
      </c>
      <c r="G47" s="1"/>
      <c r="K47" t="s">
        <v>24</v>
      </c>
      <c r="L47" s="1" t="s">
        <v>395</v>
      </c>
    </row>
    <row r="48" spans="1:13" x14ac:dyDescent="0.25">
      <c r="A48" s="1" t="s">
        <v>260</v>
      </c>
      <c r="B48" t="s">
        <v>234</v>
      </c>
      <c r="D48" t="s">
        <v>23</v>
      </c>
      <c r="E48">
        <v>0</v>
      </c>
      <c r="G48" s="1"/>
      <c r="K48" t="s">
        <v>24</v>
      </c>
      <c r="L48" s="1" t="s">
        <v>350</v>
      </c>
    </row>
    <row r="49" spans="1:12" x14ac:dyDescent="0.25">
      <c r="A49" s="1" t="s">
        <v>260</v>
      </c>
      <c r="B49" t="s">
        <v>234</v>
      </c>
      <c r="D49" t="s">
        <v>25</v>
      </c>
      <c r="E49">
        <v>1</v>
      </c>
      <c r="G49" s="1"/>
      <c r="K49" t="s">
        <v>24</v>
      </c>
      <c r="L49" s="1" t="s">
        <v>351</v>
      </c>
    </row>
    <row r="50" spans="1:12" x14ac:dyDescent="0.25">
      <c r="A50" s="1" t="s">
        <v>260</v>
      </c>
      <c r="B50" t="s">
        <v>234</v>
      </c>
      <c r="D50" t="s">
        <v>26</v>
      </c>
      <c r="E50">
        <v>0</v>
      </c>
      <c r="G50" s="1"/>
      <c r="K50" t="s">
        <v>24</v>
      </c>
      <c r="L50" s="1" t="s">
        <v>352</v>
      </c>
    </row>
    <row r="51" spans="1:12" x14ac:dyDescent="0.25">
      <c r="A51" s="1" t="s">
        <v>260</v>
      </c>
      <c r="B51" t="s">
        <v>234</v>
      </c>
      <c r="D51" t="s">
        <v>27</v>
      </c>
      <c r="E51">
        <v>0</v>
      </c>
      <c r="F51" t="s">
        <v>329</v>
      </c>
      <c r="G51" s="1"/>
      <c r="K51" t="s">
        <v>24</v>
      </c>
      <c r="L51" s="1" t="s">
        <v>353</v>
      </c>
    </row>
    <row r="52" spans="1:12" x14ac:dyDescent="0.25">
      <c r="A52" s="1" t="s">
        <v>372</v>
      </c>
      <c r="B52" t="s">
        <v>327</v>
      </c>
      <c r="D52" t="s">
        <v>23</v>
      </c>
      <c r="E52">
        <v>1</v>
      </c>
      <c r="G52" s="1"/>
      <c r="K52" t="s">
        <v>24</v>
      </c>
      <c r="L52" s="1" t="s">
        <v>396</v>
      </c>
    </row>
    <row r="53" spans="1:12" x14ac:dyDescent="0.25">
      <c r="A53" s="1" t="s">
        <v>372</v>
      </c>
      <c r="B53" t="s">
        <v>327</v>
      </c>
      <c r="D53" t="s">
        <v>25</v>
      </c>
      <c r="E53">
        <v>2</v>
      </c>
      <c r="G53" s="1"/>
      <c r="K53" t="s">
        <v>24</v>
      </c>
      <c r="L53" s="1" t="s">
        <v>397</v>
      </c>
    </row>
    <row r="54" spans="1:12" x14ac:dyDescent="0.25">
      <c r="A54" s="1" t="s">
        <v>372</v>
      </c>
      <c r="B54" t="s">
        <v>327</v>
      </c>
      <c r="D54" t="s">
        <v>26</v>
      </c>
      <c r="E54">
        <v>3</v>
      </c>
      <c r="G54" s="1"/>
      <c r="K54" t="s">
        <v>24</v>
      </c>
      <c r="L54" s="1" t="s">
        <v>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X131"/>
  <sheetViews>
    <sheetView showGridLines="0" showZeros="0" zoomScaleNormal="100" workbookViewId="0">
      <selection activeCell="E36" sqref="E36"/>
    </sheetView>
  </sheetViews>
  <sheetFormatPr defaultRowHeight="15" x14ac:dyDescent="0.25"/>
  <cols>
    <col min="1" max="1" width="6.28515625" customWidth="1"/>
    <col min="2" max="2" width="33.42578125" customWidth="1"/>
    <col min="3" max="3" width="27.28515625" customWidth="1"/>
    <col min="4" max="5" width="9.28515625" customWidth="1"/>
    <col min="6" max="6" width="17" customWidth="1"/>
    <col min="7" max="7" width="15.42578125" bestFit="1" customWidth="1"/>
    <col min="8" max="8" width="27.42578125" bestFit="1" customWidth="1"/>
    <col min="9" max="9" width="16.42578125" bestFit="1" customWidth="1"/>
    <col min="10" max="10" width="18.28515625" bestFit="1" customWidth="1"/>
    <col min="11" max="11" width="18.5703125" bestFit="1" customWidth="1"/>
    <col min="12" max="16" width="16.140625" customWidth="1"/>
    <col min="18" max="18" width="8.85546875" bestFit="1" customWidth="1"/>
    <col min="19" max="19" width="7.28515625" bestFit="1" customWidth="1"/>
    <col min="20" max="20" width="12.28515625" bestFit="1" customWidth="1"/>
    <col min="21" max="21" width="10.5703125" bestFit="1" customWidth="1"/>
    <col min="22" max="22" width="19.5703125" bestFit="1" customWidth="1"/>
    <col min="23" max="23" width="10.140625" bestFit="1" customWidth="1"/>
    <col min="24" max="24" width="19.140625" bestFit="1" customWidth="1"/>
    <col min="25" max="25" width="21.7109375" bestFit="1" customWidth="1"/>
    <col min="26" max="26" width="20.140625" bestFit="1" customWidth="1"/>
    <col min="27" max="27" width="34.28515625" bestFit="1" customWidth="1"/>
    <col min="28" max="28" width="36" bestFit="1" customWidth="1"/>
    <col min="29" max="29" width="30" bestFit="1" customWidth="1"/>
    <col min="30" max="30" width="35.85546875" bestFit="1" customWidth="1"/>
    <col min="31" max="31" width="9.5703125" bestFit="1" customWidth="1"/>
    <col min="32" max="32" width="33.28515625" bestFit="1" customWidth="1"/>
  </cols>
  <sheetData>
    <row r="1" spans="1:24" x14ac:dyDescent="0.25">
      <c r="A1" s="35">
        <v>13</v>
      </c>
      <c r="B1" s="15" t="s">
        <v>5</v>
      </c>
      <c r="F1" s="27" t="s">
        <v>17</v>
      </c>
      <c r="G1" s="25" t="str">
        <f>_xlfn.XLOOKUP(SelectedFile,supported[Source.Name],supported[Value])</f>
        <v>7.0.201</v>
      </c>
      <c r="I1" s="27" t="s">
        <v>193</v>
      </c>
      <c r="J1" s="25" t="str">
        <f ca="1">(TEXT((_xlfn.XLOOKUP(SelectedFile,Source[Name],Source[Date created])),"mm/dd/yy")) &amp; (" ("&amp;ROUND((TODAY()-(_xlfn.XLOOKUP(SelectedFile,Source[Name],Source[Date created]))),0)&amp;"d)")</f>
        <v>07/13/21 (50d)</v>
      </c>
    </row>
    <row r="2" spans="1:24" x14ac:dyDescent="0.25">
      <c r="A2" s="35" t="s">
        <v>433</v>
      </c>
      <c r="F2" s="27" t="s">
        <v>231</v>
      </c>
      <c r="G2" s="26" t="str">
        <f>_xlfn.XLOOKUP(SelectedFile,global[Source.Name],global[cluster_type])</f>
        <v>VSAN2NODE</v>
      </c>
      <c r="I2" s="27" t="s">
        <v>194</v>
      </c>
      <c r="J2" s="26" t="str">
        <f ca="1">(TEXT((_xlfn.XLOOKUP(SelectedFile,Source[Name],Source[Date modified])),"mm/dd/yy")) &amp; (" ("&amp;ROUND((TODAY()-(_xlfn.XLOOKUP(SelectedFile,Source[Name],Source[Date modified]))),0)&amp;"d)")</f>
        <v>08/31/21 (0d)</v>
      </c>
    </row>
    <row r="3" spans="1:24" x14ac:dyDescent="0.25">
      <c r="A3" s="35" t="str">
        <f>(_xlfn.XLOOKUP(A2,KeywordList[Display],KeywordList[Search prefix]))&amp;A4</f>
        <v>cluster_name:</v>
      </c>
    </row>
    <row r="4" spans="1:24" x14ac:dyDescent="0.25">
      <c r="A4" s="35" t="s">
        <v>84</v>
      </c>
      <c r="B4" s="3" t="s">
        <v>195</v>
      </c>
      <c r="C4" s="30" t="s">
        <v>2</v>
      </c>
      <c r="E4" s="15" t="s">
        <v>331</v>
      </c>
      <c r="F4" s="5" t="s">
        <v>20</v>
      </c>
      <c r="G4" s="6" t="s">
        <v>216</v>
      </c>
      <c r="H4" s="6" t="s">
        <v>360</v>
      </c>
      <c r="I4" s="6" t="s">
        <v>215</v>
      </c>
      <c r="J4" s="6" t="s">
        <v>217</v>
      </c>
      <c r="K4" s="6" t="s">
        <v>219</v>
      </c>
      <c r="L4" s="6" t="s">
        <v>359</v>
      </c>
      <c r="M4" s="6" t="s">
        <v>214</v>
      </c>
      <c r="N4" s="6" t="s">
        <v>213</v>
      </c>
      <c r="O4" s="6" t="s">
        <v>212</v>
      </c>
      <c r="R4" t="s">
        <v>494</v>
      </c>
      <c r="S4" t="s">
        <v>495</v>
      </c>
      <c r="T4" t="s">
        <v>493</v>
      </c>
      <c r="U4" t="s">
        <v>492</v>
      </c>
      <c r="V4" t="s">
        <v>16</v>
      </c>
      <c r="W4" t="s">
        <v>17</v>
      </c>
    </row>
    <row r="5" spans="1:24" x14ac:dyDescent="0.25">
      <c r="B5" s="3" t="s">
        <v>368</v>
      </c>
      <c r="C5" s="30" t="str">
        <f>_xlfn.XLOOKUP(SelectedFile,global[Source.Name],global[top_level_domain])</f>
        <v>example.com</v>
      </c>
      <c r="E5" s="15" t="str" cm="1">
        <f t="array" ref="E5:E10">_xlfn.UNIQUE(_xlfn._xlws.FILTER(network_vds[vlanguid],network_vds[Source.Name]=dashboard!B1))</f>
        <v>5VXRAILDISCOVERYstarter-2N-exisitng-vds.json</v>
      </c>
      <c r="F5" s="28" cm="1">
        <f t="array" ref="F5">_xlfn.XLOOKUP(SelectedFile&amp;$E5,network_vds[Source.Name]&amp;network_vds[vlanguid],network_vds[vds.portgroups.vlan_id],"")</f>
        <v>5</v>
      </c>
      <c r="G5" s="22" t="str" cm="1">
        <f t="array" ref="G5">_xlfn.XLOOKUP(SelectedFile&amp;$E5,network_vds[Source.Name]&amp;network_vds[vlanguid],network_vds[vds.portgroups.type],"")</f>
        <v>VXRAILDISCOVERY</v>
      </c>
      <c r="H5" s="22" t="str" cm="1">
        <f t="array" ref="H5">_xlfn.XLOOKUP(SelectedFile&amp;$E5,network_vds[Source.Name]&amp;network_vds[vlanguid],network_vds[nic_profile],"")</f>
        <v>ADVANCED_CUSTOMER_SUPPLIED_VDS</v>
      </c>
      <c r="I5" s="22" t="str" cm="1">
        <f t="array" ref="I5">_xlfn.XLOOKUP(SelectedFile&amp;$E5,network_vds[Source.Name]&amp;network_vds[vlanguid],network_vds[vds.portgroups.name],"")</f>
        <v>DiscoveryCustomer</v>
      </c>
      <c r="J5" s="22" cm="1">
        <f t="array" ref="J5">_xlfn.XLOOKUP(SelectedFile&amp;$E5,network_vds[Source.Name]&amp;network_vds[vlanguid],network_vds[management_portgroup_binding_type],"")</f>
        <v>0</v>
      </c>
      <c r="K5" s="22" cm="1">
        <f t="array" ref="K5">_xlfn.XLOOKUP(SelectedFile&amp;$E5,network_vds[Source.Name]&amp;network_vds[vlanguid],network_vds[systemvm_portgroup_binding_type],"")</f>
        <v>0</v>
      </c>
      <c r="L5" s="22" cm="1">
        <f t="array" ref="L5">_xlfn.XLOOKUP(SelectedFile&amp;$E5,network_vds[Source.Name]&amp;network_vds[vlanguid],network_vds[vds.portgroups.failover_order],"")</f>
        <v>0</v>
      </c>
      <c r="M5" s="22" t="str" cm="1">
        <f t="array" ref="M5">_xlfn.XLOOKUP(SelectedFile&amp;$E5,network_vds[Source.Name]&amp;network_vds[vlanguid],network_vds[vds.nic_mappings.uplinks.name],"")</f>
        <v>vds1uplink1</v>
      </c>
      <c r="N5" s="22" t="str" cm="1">
        <f t="array" ref="N5">_xlfn.XLOOKUP(SelectedFile&amp;$E5,network_vds[Source.Name]&amp;network_vds[vlanguid],network_vds[vds.nic_mappings.uplinks.physical_nic],"")</f>
        <v>vmnic0</v>
      </c>
      <c r="O5" s="22" t="str" cm="1">
        <f t="array" ref="O5">_xlfn.XLOOKUP(SelectedFile&amp;$E5,network_vds[Source.Name]&amp;network_vds[vlanguid],network_vds[vds.name],"")</f>
        <v>ExistingVDS1</v>
      </c>
      <c r="R5" s="36"/>
      <c r="S5" s="36"/>
      <c r="V5" s="1"/>
    </row>
    <row r="6" spans="1:24" x14ac:dyDescent="0.25">
      <c r="B6" s="3" t="str">
        <f>("cluster_name")</f>
        <v>cluster_name</v>
      </c>
      <c r="C6" s="30" t="str">
        <f>_xlfn.XLOOKUP(SelectedFile,global[Source.Name],global[cluster_name])</f>
        <v>2_node_2VDS</v>
      </c>
      <c r="E6" s="15" t="str">
        <v>0MANAGEMENTstarter-2N-exisitng-vds.json</v>
      </c>
      <c r="F6" s="28" cm="1">
        <f t="array" ref="F6">_xlfn.XLOOKUP(SelectedFile&amp;$E6,network_vds[Source.Name]&amp;network_vds[vlanguid],network_vds[vds.portgroups.vlan_id],"")</f>
        <v>0</v>
      </c>
      <c r="G6" s="22" t="str" cm="1">
        <f t="array" ref="G6">_xlfn.XLOOKUP(SelectedFile&amp;$E6,network_vds[Source.Name]&amp;network_vds[vlanguid],network_vds[vds.portgroups.type],"")</f>
        <v>MANAGEMENT</v>
      </c>
      <c r="H6" s="22" t="str" cm="1">
        <f t="array" ref="H6">_xlfn.XLOOKUP(SelectedFile&amp;$E6,network_vds[Source.Name]&amp;network_vds[vlanguid],network_vds[nic_profile],"")</f>
        <v>ADVANCED_CUSTOMER_SUPPLIED_VDS</v>
      </c>
      <c r="I6" s="22" t="str" cm="1">
        <f t="array" ref="I6">_xlfn.XLOOKUP(SelectedFile&amp;$E6,network_vds[Source.Name]&amp;network_vds[vlanguid],network_vds[vds.portgroups.name],"")</f>
        <v>MgmtCustom</v>
      </c>
      <c r="J6" s="22" cm="1">
        <f t="array" ref="J6">_xlfn.XLOOKUP(SelectedFile&amp;$E6,network_vds[Source.Name]&amp;network_vds[vlanguid],network_vds[management_portgroup_binding_type],"")</f>
        <v>0</v>
      </c>
      <c r="K6" s="22" cm="1">
        <f t="array" ref="K6">_xlfn.XLOOKUP(SelectedFile&amp;$E6,network_vds[Source.Name]&amp;network_vds[vlanguid],network_vds[systemvm_portgroup_binding_type],"")</f>
        <v>0</v>
      </c>
      <c r="L6" s="22" cm="1">
        <f t="array" ref="L6">_xlfn.XLOOKUP(SelectedFile&amp;$E6,network_vds[Source.Name]&amp;network_vds[vlanguid],network_vds[vds.portgroups.failover_order],"")</f>
        <v>0</v>
      </c>
      <c r="M6" s="22" t="str" cm="1">
        <f t="array" ref="M6">_xlfn.XLOOKUP(SelectedFile&amp;$E6,network_vds[Source.Name]&amp;network_vds[vlanguid],network_vds[vds.nic_mappings.uplinks.name],"")</f>
        <v>vds1uplink1</v>
      </c>
      <c r="N6" s="22" t="str" cm="1">
        <f t="array" ref="N6">_xlfn.XLOOKUP(SelectedFile&amp;$E6,network_vds[Source.Name]&amp;network_vds[vlanguid],network_vds[vds.nic_mappings.uplinks.physical_nic],"")</f>
        <v>vmnic0</v>
      </c>
      <c r="O6" s="22" t="str" cm="1">
        <f t="array" ref="O6">_xlfn.XLOOKUP(SelectedFile&amp;$E6,network_vds[Source.Name]&amp;network_vds[vlanguid],network_vds[vds.name],"")</f>
        <v>ExistingVDS1</v>
      </c>
      <c r="R6" s="7"/>
      <c r="S6" s="7"/>
      <c r="T6" s="7"/>
      <c r="U6" s="7"/>
      <c r="V6" s="7"/>
      <c r="W6" s="7"/>
    </row>
    <row r="7" spans="1:24" x14ac:dyDescent="0.25">
      <c r="B7" s="3" t="str">
        <f>"NTP Servers"</f>
        <v>NTP Servers</v>
      </c>
      <c r="C7" s="30" t="str">
        <f>_xlfn.XLOOKUP(SelectedFile,global[Source.Name],global[ntp_servers])</f>
        <v/>
      </c>
      <c r="E7" s="15" t="str">
        <v>4VXRAILSYSTEMVMstarter-2N-exisitng-vds.json</v>
      </c>
      <c r="F7" s="28" cm="1">
        <f t="array" ref="F7">_xlfn.XLOOKUP(SelectedFile&amp;$E7,network_vds[Source.Name]&amp;network_vds[vlanguid],network_vds[vds.portgroups.vlan_id],"")</f>
        <v>4</v>
      </c>
      <c r="G7" s="22" t="str" cm="1">
        <f t="array" ref="G7">_xlfn.XLOOKUP(SelectedFile&amp;$E7,network_vds[Source.Name]&amp;network_vds[vlanguid],network_vds[vds.portgroups.type],"")</f>
        <v>VXRAILSYSTEMVM</v>
      </c>
      <c r="H7" s="22" t="str" cm="1">
        <f t="array" ref="H7">_xlfn.XLOOKUP(SelectedFile&amp;$E7,network_vds[Source.Name]&amp;network_vds[vlanguid],network_vds[nic_profile],"")</f>
        <v>ADVANCED_CUSTOMER_SUPPLIED_VDS</v>
      </c>
      <c r="I7" s="22" t="str" cm="1">
        <f t="array" ref="I7">_xlfn.XLOOKUP(SelectedFile&amp;$E7,network_vds[Source.Name]&amp;network_vds[vlanguid],network_vds[vds.portgroups.name],"")</f>
        <v>vcenterCustom</v>
      </c>
      <c r="J7" s="22" cm="1">
        <f t="array" ref="J7">_xlfn.XLOOKUP(SelectedFile&amp;$E7,network_vds[Source.Name]&amp;network_vds[vlanguid],network_vds[management_portgroup_binding_type],"")</f>
        <v>0</v>
      </c>
      <c r="K7" s="22" cm="1">
        <f t="array" ref="K7">_xlfn.XLOOKUP(SelectedFile&amp;$E7,network_vds[Source.Name]&amp;network_vds[vlanguid],network_vds[systemvm_portgroup_binding_type],"")</f>
        <v>0</v>
      </c>
      <c r="L7" s="22" cm="1">
        <f t="array" ref="L7">_xlfn.XLOOKUP(SelectedFile&amp;$E7,network_vds[Source.Name]&amp;network_vds[vlanguid],network_vds[vds.portgroups.failover_order],"")</f>
        <v>0</v>
      </c>
      <c r="M7" s="22" t="str" cm="1">
        <f t="array" ref="M7">_xlfn.XLOOKUP(SelectedFile&amp;$E7,network_vds[Source.Name]&amp;network_vds[vlanguid],network_vds[vds.nic_mappings.uplinks.name],"")</f>
        <v>vds1uplink1</v>
      </c>
      <c r="N7" s="22" t="str" cm="1">
        <f t="array" ref="N7">_xlfn.XLOOKUP(SelectedFile&amp;$E7,network_vds[Source.Name]&amp;network_vds[vlanguid],network_vds[vds.nic_mappings.uplinks.physical_nic],"")</f>
        <v>vmnic0</v>
      </c>
      <c r="O7" s="22" t="str" cm="1">
        <f t="array" ref="O7">_xlfn.XLOOKUP(SelectedFile&amp;$E7,network_vds[Source.Name]&amp;network_vds[vlanguid],network_vds[vds.name],"")</f>
        <v>ExistingVDS1</v>
      </c>
      <c r="R7" s="7"/>
      <c r="S7" s="7"/>
      <c r="T7" s="7"/>
      <c r="U7" s="7"/>
      <c r="V7" s="7"/>
      <c r="W7" s="7"/>
    </row>
    <row r="8" spans="1:24" x14ac:dyDescent="0.25">
      <c r="B8" s="3" t="str">
        <f>"DNS Servers"</f>
        <v>DNS Servers</v>
      </c>
      <c r="C8" s="30" t="str">
        <f>IF((_xlfn.XLOOKUP(SelectedFile,global[Source.Name],global[is_internal_dns]))=TRUE,"Internal",_xlfn.XLOOKUP(SelectedFile,global[Source.Name],global[dns_servers]))</f>
        <v>192.168.1.1</v>
      </c>
      <c r="E8" s="15" t="str">
        <v>1VSANstarter-2N-exisitng-vds.json</v>
      </c>
      <c r="F8" s="28" cm="1">
        <f t="array" ref="F8">_xlfn.XLOOKUP(SelectedFile&amp;$E8,network_vds[Source.Name]&amp;network_vds[vlanguid],network_vds[vds.portgroups.vlan_id],"")</f>
        <v>1</v>
      </c>
      <c r="G8" s="22" t="str" cm="1">
        <f t="array" ref="G8">_xlfn.XLOOKUP(SelectedFile&amp;$E8,network_vds[Source.Name]&amp;network_vds[vlanguid],network_vds[vds.portgroups.type],"")</f>
        <v>VSAN</v>
      </c>
      <c r="H8" s="22" t="str" cm="1">
        <f t="array" ref="H8">_xlfn.XLOOKUP(SelectedFile&amp;$E8,network_vds[Source.Name]&amp;network_vds[vlanguid],network_vds[nic_profile],"")</f>
        <v>ADVANCED_CUSTOMER_SUPPLIED_VDS</v>
      </c>
      <c r="I8" s="22" t="str" cm="1">
        <f t="array" ref="I8">_xlfn.XLOOKUP(SelectedFile&amp;$E8,network_vds[Source.Name]&amp;network_vds[vlanguid],network_vds[vds.portgroups.name],"")</f>
        <v>vsancustom</v>
      </c>
      <c r="J8" s="22" cm="1">
        <f t="array" ref="J8">_xlfn.XLOOKUP(SelectedFile&amp;$E8,network_vds[Source.Name]&amp;network_vds[vlanguid],network_vds[management_portgroup_binding_type],"")</f>
        <v>0</v>
      </c>
      <c r="K8" s="22" cm="1">
        <f t="array" ref="K8">_xlfn.XLOOKUP(SelectedFile&amp;$E8,network_vds[Source.Name]&amp;network_vds[vlanguid],network_vds[systemvm_portgroup_binding_type],"")</f>
        <v>0</v>
      </c>
      <c r="L8" s="22" cm="1">
        <f t="array" ref="L8">_xlfn.XLOOKUP(SelectedFile&amp;$E8,network_vds[Source.Name]&amp;network_vds[vlanguid],network_vds[vds.portgroups.failover_order],"")</f>
        <v>0</v>
      </c>
      <c r="M8" s="22" t="str" cm="1">
        <f t="array" ref="M8">_xlfn.XLOOKUP(SelectedFile&amp;$E8,network_vds[Source.Name]&amp;network_vds[vlanguid],network_vds[vds.nic_mappings.uplinks.name],"")</f>
        <v>vds2uplink1</v>
      </c>
      <c r="N8" s="22" t="str" cm="1">
        <f t="array" ref="N8">_xlfn.XLOOKUP(SelectedFile&amp;$E8,network_vds[Source.Name]&amp;network_vds[vlanguid],network_vds[vds.nic_mappings.uplinks.physical_nic],"")</f>
        <v>vmnic2</v>
      </c>
      <c r="O8" s="22" t="str" cm="1">
        <f t="array" ref="O8">_xlfn.XLOOKUP(SelectedFile&amp;$E8,network_vds[Source.Name]&amp;network_vds[vlanguid],network_vds[vds.name],"")</f>
        <v>ExistingVDS2</v>
      </c>
      <c r="R8" s="7"/>
      <c r="S8" s="7"/>
      <c r="T8" s="7"/>
      <c r="U8" s="7"/>
      <c r="V8" s="7"/>
      <c r="W8" s="7"/>
    </row>
    <row r="9" spans="1:24" x14ac:dyDescent="0.25">
      <c r="B9" s="3" t="str">
        <f>"Syslog servers"</f>
        <v>Syslog servers</v>
      </c>
      <c r="C9" s="30" t="str">
        <f>_xlfn.XLOOKUP(SelectedFile,global[Source.Name],global[syslog_servers])</f>
        <v/>
      </c>
      <c r="E9" s="15" t="str">
        <v>2VMOTIONstarter-2N-exisitng-vds.json</v>
      </c>
      <c r="F9" s="28" cm="1">
        <f t="array" ref="F9">_xlfn.XLOOKUP(SelectedFile&amp;$E9,network_vds[Source.Name]&amp;network_vds[vlanguid],network_vds[vds.portgroups.vlan_id],"")</f>
        <v>2</v>
      </c>
      <c r="G9" s="22" t="str" cm="1">
        <f t="array" ref="G9">_xlfn.XLOOKUP(SelectedFile&amp;$E9,network_vds[Source.Name]&amp;network_vds[vlanguid],network_vds[vds.portgroups.type],"")</f>
        <v>VMOTION</v>
      </c>
      <c r="H9" s="22" t="str" cm="1">
        <f t="array" ref="H9">_xlfn.XLOOKUP(SelectedFile&amp;$E9,network_vds[Source.Name]&amp;network_vds[vlanguid],network_vds[nic_profile],"")</f>
        <v>ADVANCED_CUSTOMER_SUPPLIED_VDS</v>
      </c>
      <c r="I9" s="22" t="str" cm="1">
        <f t="array" ref="I9">_xlfn.XLOOKUP(SelectedFile&amp;$E9,network_vds[Source.Name]&amp;network_vds[vlanguid],network_vds[vds.portgroups.name],"")</f>
        <v>vmotioncustom</v>
      </c>
      <c r="J9" s="22" cm="1">
        <f t="array" ref="J9">_xlfn.XLOOKUP(SelectedFile&amp;$E9,network_vds[Source.Name]&amp;network_vds[vlanguid],network_vds[management_portgroup_binding_type],"")</f>
        <v>0</v>
      </c>
      <c r="K9" s="22" cm="1">
        <f t="array" ref="K9">_xlfn.XLOOKUP(SelectedFile&amp;$E9,network_vds[Source.Name]&amp;network_vds[vlanguid],network_vds[systemvm_portgroup_binding_type],"")</f>
        <v>0</v>
      </c>
      <c r="L9" s="22" cm="1">
        <f t="array" ref="L9">_xlfn.XLOOKUP(SelectedFile&amp;$E9,network_vds[Source.Name]&amp;network_vds[vlanguid],network_vds[vds.portgroups.failover_order],"")</f>
        <v>0</v>
      </c>
      <c r="M9" s="22" t="str" cm="1">
        <f t="array" ref="M9">_xlfn.XLOOKUP(SelectedFile&amp;$E9,network_vds[Source.Name]&amp;network_vds[vlanguid],network_vds[vds.nic_mappings.uplinks.name],"")</f>
        <v>vds2uplink1</v>
      </c>
      <c r="N9" s="22" t="str" cm="1">
        <f t="array" ref="N9">_xlfn.XLOOKUP(SelectedFile&amp;$E9,network_vds[Source.Name]&amp;network_vds[vlanguid],network_vds[vds.nic_mappings.uplinks.physical_nic],"")</f>
        <v>vmnic2</v>
      </c>
      <c r="O9" s="22" t="str" cm="1">
        <f t="array" ref="O9">_xlfn.XLOOKUP(SelectedFile&amp;$E9,network_vds[Source.Name]&amp;network_vds[vlanguid],network_vds[vds.name],"")</f>
        <v>ExistingVDS2</v>
      </c>
      <c r="R9" s="7"/>
      <c r="S9" s="7"/>
      <c r="T9" s="7"/>
      <c r="U9" s="7"/>
      <c r="V9" s="7"/>
      <c r="W9" s="7"/>
    </row>
    <row r="10" spans="1:24" x14ac:dyDescent="0.25">
      <c r="B10" s="3" t="s">
        <v>256</v>
      </c>
      <c r="C10" s="30" t="str">
        <f>_xlfn.XLOOKUP(SelectedFile,global[Source.Name],global[datacenter_name])</f>
        <v>customdatacentername</v>
      </c>
      <c r="E10" s="15" t="str">
        <v>6WITNESSstarter-2N-exisitng-vds.json</v>
      </c>
      <c r="F10" s="28" cm="1">
        <f t="array" ref="F10">_xlfn.XLOOKUP(SelectedFile&amp;$E10,network_vds[Source.Name]&amp;network_vds[vlanguid],network_vds[vds.portgroups.vlan_id],"")</f>
        <v>6</v>
      </c>
      <c r="G10" s="22" t="str" cm="1">
        <f t="array" ref="G10">_xlfn.XLOOKUP(SelectedFile&amp;$E10,network_vds[Source.Name]&amp;network_vds[vlanguid],network_vds[vds.portgroups.type],"")</f>
        <v>WITNESS</v>
      </c>
      <c r="H10" s="22" t="str" cm="1">
        <f t="array" ref="H10">_xlfn.XLOOKUP(SelectedFile&amp;$E10,network_vds[Source.Name]&amp;network_vds[vlanguid],network_vds[nic_profile],"")</f>
        <v>ADVANCED_CUSTOMER_SUPPLIED_VDS</v>
      </c>
      <c r="I10" s="22" t="str" cm="1">
        <f t="array" ref="I10">_xlfn.XLOOKUP(SelectedFile&amp;$E10,network_vds[Source.Name]&amp;network_vds[vlanguid],network_vds[vds.portgroups.name],"")</f>
        <v>witnesscustom</v>
      </c>
      <c r="J10" s="22" cm="1">
        <f t="array" ref="J10">_xlfn.XLOOKUP(SelectedFile&amp;$E10,network_vds[Source.Name]&amp;network_vds[vlanguid],network_vds[management_portgroup_binding_type],"")</f>
        <v>0</v>
      </c>
      <c r="K10" s="22" cm="1">
        <f t="array" ref="K10">_xlfn.XLOOKUP(SelectedFile&amp;$E10,network_vds[Source.Name]&amp;network_vds[vlanguid],network_vds[systemvm_portgroup_binding_type],"")</f>
        <v>0</v>
      </c>
      <c r="L10" s="22" cm="1">
        <f t="array" ref="L10">_xlfn.XLOOKUP(SelectedFile&amp;$E10,network_vds[Source.Name]&amp;network_vds[vlanguid],network_vds[vds.portgroups.failover_order],"")</f>
        <v>0</v>
      </c>
      <c r="M10" s="22" t="str" cm="1">
        <f t="array" ref="M10">_xlfn.XLOOKUP(SelectedFile&amp;$E10,network_vds[Source.Name]&amp;network_vds[vlanguid],network_vds[vds.nic_mappings.uplinks.name],"")</f>
        <v>vds2uplink1</v>
      </c>
      <c r="N10" s="22" t="str" cm="1">
        <f t="array" ref="N10">_xlfn.XLOOKUP(SelectedFile&amp;$E10,network_vds[Source.Name]&amp;network_vds[vlanguid],network_vds[vds.nic_mappings.uplinks.physical_nic],"")</f>
        <v>vmnic2</v>
      </c>
      <c r="O10" s="22" t="str" cm="1">
        <f t="array" ref="O10">_xlfn.XLOOKUP(SelectedFile&amp;$E10,network_vds[Source.Name]&amp;network_vds[vlanguid],network_vds[vds.name],"")</f>
        <v>ExistingVDS2</v>
      </c>
      <c r="R10" s="7"/>
      <c r="S10" s="7"/>
      <c r="T10" s="7"/>
      <c r="U10" s="7"/>
      <c r="V10" s="7"/>
      <c r="W10" s="7"/>
    </row>
    <row r="11" spans="1:24" x14ac:dyDescent="0.25">
      <c r="B11" s="3" t="str">
        <f>("DiskGroupType")</f>
        <v>DiskGroupType</v>
      </c>
      <c r="C11" s="30">
        <f>_xlfn.XLOOKUP(SelectedFile,global[Source.Name],global[disk_group_type])</f>
        <v>0</v>
      </c>
      <c r="E11" s="15"/>
      <c r="F11" s="28" t="str" cm="1">
        <f t="array" ref="F11">_xlfn.XLOOKUP(SelectedFile&amp;$E11,network_vds[Source.Name]&amp;network_vds[vlanguid],network_vds[vds.portgroups.vlan_id],"")</f>
        <v/>
      </c>
      <c r="G11" s="22" t="str" cm="1">
        <f t="array" ref="G11">_xlfn.XLOOKUP(SelectedFile&amp;$E11,network_vds[Source.Name]&amp;network_vds[vlanguid],network_vds[vds.portgroups.type],"")</f>
        <v/>
      </c>
      <c r="H11" s="22" t="str" cm="1">
        <f t="array" ref="H11">_xlfn.XLOOKUP(SelectedFile&amp;$E11,network_vds[Source.Name]&amp;network_vds[vlanguid],network_vds[nic_profile],"")</f>
        <v/>
      </c>
      <c r="I11" s="22" t="str" cm="1">
        <f t="array" ref="I11">_xlfn.XLOOKUP(SelectedFile&amp;$E11,network_vds[Source.Name]&amp;network_vds[vlanguid],network_vds[vds.portgroups.name],"")</f>
        <v/>
      </c>
      <c r="J11" s="22" t="str" cm="1">
        <f t="array" ref="J11">_xlfn.XLOOKUP(SelectedFile&amp;$E11,network_vds[Source.Name]&amp;network_vds[vlanguid],network_vds[management_portgroup_binding_type],"")</f>
        <v/>
      </c>
      <c r="K11" s="22" t="str" cm="1">
        <f t="array" ref="K11">_xlfn.XLOOKUP(SelectedFile&amp;$E11,network_vds[Source.Name]&amp;network_vds[vlanguid],network_vds[systemvm_portgroup_binding_type],"")</f>
        <v/>
      </c>
      <c r="L11" s="22" t="str" cm="1">
        <f t="array" ref="L11">_xlfn.XLOOKUP(SelectedFile&amp;$E11,network_vds[Source.Name]&amp;network_vds[vlanguid],network_vds[vds.portgroups.failover_order],"")</f>
        <v/>
      </c>
      <c r="M11" s="22" t="str" cm="1">
        <f t="array" ref="M11">_xlfn.XLOOKUP(SelectedFile&amp;$E11,network_vds[Source.Name]&amp;network_vds[vlanguid],network_vds[vds.nic_mappings.uplinks.name],"")</f>
        <v/>
      </c>
      <c r="N11" s="22" t="str" cm="1">
        <f t="array" ref="N11">_xlfn.XLOOKUP(SelectedFile&amp;$E11,network_vds[Source.Name]&amp;network_vds[vlanguid],network_vds[vds.nic_mappings.uplinks.physical_nic],"")</f>
        <v/>
      </c>
      <c r="O11" s="22" t="str" cm="1">
        <f t="array" ref="O11">_xlfn.XLOOKUP(SelectedFile&amp;$E11,network_vds[Source.Name]&amp;network_vds[vlanguid],network_vds[vds.name],"")</f>
        <v/>
      </c>
      <c r="R11" s="7"/>
      <c r="S11" s="7"/>
      <c r="T11" s="7"/>
      <c r="U11" s="7"/>
      <c r="V11" s="7"/>
      <c r="W11" s="7"/>
    </row>
    <row r="12" spans="1:24" x14ac:dyDescent="0.25">
      <c r="B12" s="3"/>
      <c r="C12" s="30"/>
      <c r="E12" s="15"/>
      <c r="F12" s="28" t="str" cm="1">
        <f t="array" ref="F12">_xlfn.XLOOKUP(SelectedFile&amp;$E12,network_vds[Source.Name]&amp;network_vds[vlanguid],network_vds[vds.portgroups.vlan_id],"")</f>
        <v/>
      </c>
      <c r="G12" s="22" t="str" cm="1">
        <f t="array" ref="G12">_xlfn.XLOOKUP(SelectedFile&amp;$E12,network_vds[Source.Name]&amp;network_vds[vlanguid],network_vds[vds.portgroups.type],"")</f>
        <v/>
      </c>
      <c r="H12" s="22" t="str" cm="1">
        <f t="array" ref="H12">_xlfn.XLOOKUP(SelectedFile&amp;$E12,network_vds[Source.Name]&amp;network_vds[vlanguid],network_vds[nic_profile],"")</f>
        <v/>
      </c>
      <c r="I12" s="22" t="str" cm="1">
        <f t="array" ref="I12">_xlfn.XLOOKUP(SelectedFile&amp;$E12,network_vds[Source.Name]&amp;network_vds[vlanguid],network_vds[vds.portgroups.name],"")</f>
        <v/>
      </c>
      <c r="J12" s="22" t="str" cm="1">
        <f t="array" ref="J12">_xlfn.XLOOKUP(SelectedFile&amp;$E12,network_vds[Source.Name]&amp;network_vds[vlanguid],network_vds[management_portgroup_binding_type],"")</f>
        <v/>
      </c>
      <c r="K12" s="22" t="str" cm="1">
        <f t="array" ref="K12">_xlfn.XLOOKUP(SelectedFile&amp;$E12,network_vds[Source.Name]&amp;network_vds[vlanguid],network_vds[systemvm_portgroup_binding_type],"")</f>
        <v/>
      </c>
      <c r="L12" s="22" t="str" cm="1">
        <f t="array" ref="L12">_xlfn.XLOOKUP(SelectedFile&amp;$E12,network_vds[Source.Name]&amp;network_vds[vlanguid],network_vds[vds.portgroups.failover_order],"")</f>
        <v/>
      </c>
      <c r="M12" s="22" t="str" cm="1">
        <f t="array" ref="M12">_xlfn.XLOOKUP(SelectedFile&amp;$E12,network_vds[Source.Name]&amp;network_vds[vlanguid],network_vds[vds.nic_mappings.uplinks.name],"")</f>
        <v/>
      </c>
      <c r="N12" s="22" t="str" cm="1">
        <f t="array" ref="N12">_xlfn.XLOOKUP(SelectedFile&amp;$E12,network_vds[Source.Name]&amp;network_vds[vlanguid],network_vds[vds.nic_mappings.uplinks.physical_nic],"")</f>
        <v/>
      </c>
      <c r="O12" s="22" t="str" cm="1">
        <f t="array" ref="O12">_xlfn.XLOOKUP(SelectedFile&amp;$E12,network_vds[Source.Name]&amp;network_vds[vlanguid],network_vds[vds.name],"")</f>
        <v/>
      </c>
      <c r="R12" s="7"/>
      <c r="S12" s="7"/>
      <c r="T12" s="7"/>
      <c r="U12" s="7"/>
      <c r="V12" s="7"/>
      <c r="W12" s="7"/>
    </row>
    <row r="13" spans="1:24" x14ac:dyDescent="0.25">
      <c r="B13" s="3" t="s">
        <v>220</v>
      </c>
      <c r="C13" s="30" t="b">
        <f>_xlfn.XLOOKUP(SelectedFile,global[Source.Name],global[customer_supplied])</f>
        <v>1</v>
      </c>
      <c r="E13" s="15"/>
      <c r="F13" s="28" t="str" cm="1">
        <f t="array" ref="F13">_xlfn.XLOOKUP(SelectedFile&amp;$E13,network_vds[Source.Name]&amp;network_vds[vlanguid],network_vds[vds.portgroups.vlan_id],"")</f>
        <v/>
      </c>
      <c r="G13" s="22" t="str" cm="1">
        <f t="array" ref="G13">_xlfn.XLOOKUP(SelectedFile&amp;$E13,network_vds[Source.Name]&amp;network_vds[vlanguid],network_vds[vds.portgroups.type],"")</f>
        <v/>
      </c>
      <c r="H13" s="22" t="str" cm="1">
        <f t="array" ref="H13">_xlfn.XLOOKUP(SelectedFile&amp;$E13,network_vds[Source.Name]&amp;network_vds[vlanguid],network_vds[nic_profile],"")</f>
        <v/>
      </c>
      <c r="I13" s="22" t="str" cm="1">
        <f t="array" ref="I13">_xlfn.XLOOKUP(SelectedFile&amp;$E13,network_vds[Source.Name]&amp;network_vds[vlanguid],network_vds[vds.portgroups.name],"")</f>
        <v/>
      </c>
      <c r="J13" s="22" t="str" cm="1">
        <f t="array" ref="J13">_xlfn.XLOOKUP(SelectedFile&amp;$E13,network_vds[Source.Name]&amp;network_vds[vlanguid],network_vds[management_portgroup_binding_type],"")</f>
        <v/>
      </c>
      <c r="K13" s="22" t="str" cm="1">
        <f t="array" ref="K13">_xlfn.XLOOKUP(SelectedFile&amp;$E13,network_vds[Source.Name]&amp;network_vds[vlanguid],network_vds[systemvm_portgroup_binding_type],"")</f>
        <v/>
      </c>
      <c r="L13" s="22" t="str" cm="1">
        <f t="array" ref="L13">_xlfn.XLOOKUP(SelectedFile&amp;$E13,network_vds[Source.Name]&amp;network_vds[vlanguid],network_vds[vds.portgroups.failover_order],"")</f>
        <v/>
      </c>
      <c r="M13" s="22" t="str" cm="1">
        <f t="array" ref="M13">_xlfn.XLOOKUP(SelectedFile&amp;$E13,network_vds[Source.Name]&amp;network_vds[vlanguid],network_vds[vds.nic_mappings.uplinks.name],"")</f>
        <v/>
      </c>
      <c r="N13" s="22" t="str" cm="1">
        <f t="array" ref="N13">_xlfn.XLOOKUP(SelectedFile&amp;$E13,network_vds[Source.Name]&amp;network_vds[vlanguid],network_vds[vds.nic_mappings.uplinks.physical_nic],"")</f>
        <v/>
      </c>
      <c r="O13" s="22" t="str" cm="1">
        <f t="array" ref="O13">_xlfn.XLOOKUP(SelectedFile&amp;$E13,network_vds[Source.Name]&amp;network_vds[vlanguid],network_vds[vds.name],"")</f>
        <v/>
      </c>
      <c r="R13" s="7"/>
      <c r="S13" s="7"/>
      <c r="T13" s="7"/>
      <c r="U13" s="7"/>
      <c r="V13" s="7"/>
      <c r="W13" s="7"/>
      <c r="X13" s="7"/>
    </row>
    <row r="14" spans="1:24" x14ac:dyDescent="0.25">
      <c r="B14" s="3" t="s">
        <v>232</v>
      </c>
      <c r="C14" s="31" t="str">
        <f>IF(C13="TRUE",(_xlfn.XLOOKUP(SelectedFile,global[Source.Name],global[customer_supplied_vc_name_or_ip])),(_xlfn.XLOOKUP(SelectedFile,global[Source.Name],global[customer_supplied_vc_name_or_ip]))&amp;((_xlfn.XLOOKUP(SelectedFile,global[Source.Name],global[vxrail_supplied_vc_name]))&amp;" ("&amp;(_xlfn.XLOOKUP(SelectedFile,global[Source.Name],global[vxrail_supplied_vc_ip]))&amp;")"))</f>
        <v>192.168.1.151 ()</v>
      </c>
      <c r="E14" s="15"/>
      <c r="F14" s="28" t="str" cm="1">
        <f t="array" ref="F14">_xlfn.XLOOKUP(SelectedFile&amp;$E14,network_vds[Source.Name]&amp;network_vds[vlanguid],network_vds[vds.portgroups.vlan_id],"")</f>
        <v/>
      </c>
      <c r="G14" s="22" t="str" cm="1">
        <f t="array" ref="G14">_xlfn.XLOOKUP(SelectedFile&amp;$E14,network_vds[Source.Name]&amp;network_vds[vlanguid],network_vds[vds.portgroups.type],"")</f>
        <v/>
      </c>
      <c r="H14" s="22" t="str" cm="1">
        <f t="array" ref="H14">_xlfn.XLOOKUP(SelectedFile&amp;$E14,network_vds[Source.Name]&amp;network_vds[vlanguid],network_vds[nic_profile],"")</f>
        <v/>
      </c>
      <c r="I14" s="22" t="str" cm="1">
        <f t="array" ref="I14">_xlfn.XLOOKUP(SelectedFile&amp;$E14,network_vds[Source.Name]&amp;network_vds[vlanguid],network_vds[vds.portgroups.name],"")</f>
        <v/>
      </c>
      <c r="J14" s="22" t="str" cm="1">
        <f t="array" ref="J14">_xlfn.XLOOKUP(SelectedFile&amp;$E14,network_vds[Source.Name]&amp;network_vds[vlanguid],network_vds[management_portgroup_binding_type],"")</f>
        <v/>
      </c>
      <c r="K14" s="22" t="str" cm="1">
        <f t="array" ref="K14">_xlfn.XLOOKUP(SelectedFile&amp;$E14,network_vds[Source.Name]&amp;network_vds[vlanguid],network_vds[systemvm_portgroup_binding_type],"")</f>
        <v/>
      </c>
      <c r="L14" s="22" t="str" cm="1">
        <f t="array" ref="L14">_xlfn.XLOOKUP(SelectedFile&amp;$E14,network_vds[Source.Name]&amp;network_vds[vlanguid],network_vds[vds.portgroups.failover_order],"")</f>
        <v/>
      </c>
      <c r="M14" s="22" t="str" cm="1">
        <f t="array" ref="M14">_xlfn.XLOOKUP(SelectedFile&amp;$E14,network_vds[Source.Name]&amp;network_vds[vlanguid],network_vds[vds.nic_mappings.uplinks.name],"")</f>
        <v/>
      </c>
      <c r="N14" s="22" t="str" cm="1">
        <f t="array" ref="N14">_xlfn.XLOOKUP(SelectedFile&amp;$E14,network_vds[Source.Name]&amp;network_vds[vlanguid],network_vds[vds.nic_mappings.uplinks.physical_nic],"")</f>
        <v/>
      </c>
      <c r="O14" s="22" t="str" cm="1">
        <f t="array" ref="O14">_xlfn.XLOOKUP(SelectedFile&amp;$E14,network_vds[Source.Name]&amp;network_vds[vlanguid],network_vds[vds.name],"")</f>
        <v/>
      </c>
      <c r="R14" s="7"/>
      <c r="S14" s="7"/>
      <c r="T14" s="7"/>
      <c r="U14" s="7"/>
      <c r="V14" s="7"/>
      <c r="W14" s="7"/>
      <c r="X14" s="7"/>
    </row>
    <row r="15" spans="1:24" x14ac:dyDescent="0.25">
      <c r="B15" s="3"/>
      <c r="C15" s="30"/>
      <c r="E15" s="15"/>
      <c r="F15" s="28" t="str" cm="1">
        <f t="array" ref="F15">_xlfn.XLOOKUP(SelectedFile&amp;$E15,network_vds[Source.Name]&amp;network_vds[vlanguid],network_vds[vds.portgroups.vlan_id],"")</f>
        <v/>
      </c>
      <c r="G15" s="22" t="str" cm="1">
        <f t="array" ref="G15">_xlfn.XLOOKUP(SelectedFile&amp;$E15,network_vds[Source.Name]&amp;network_vds[vlanguid],network_vds[vds.portgroups.type],"")</f>
        <v/>
      </c>
      <c r="H15" s="22" t="str" cm="1">
        <f t="array" ref="H15">_xlfn.XLOOKUP(SelectedFile&amp;$E15,network_vds[Source.Name]&amp;network_vds[vlanguid],network_vds[nic_profile],"")</f>
        <v/>
      </c>
      <c r="I15" s="22" t="str" cm="1">
        <f t="array" ref="I15">_xlfn.XLOOKUP(SelectedFile&amp;$E15,network_vds[Source.Name]&amp;network_vds[vlanguid],network_vds[vds.portgroups.name],"")</f>
        <v/>
      </c>
      <c r="J15" s="22" t="str" cm="1">
        <f t="array" ref="J15">_xlfn.XLOOKUP(SelectedFile&amp;$E15,network_vds[Source.Name]&amp;network_vds[vlanguid],network_vds[management_portgroup_binding_type],"")</f>
        <v/>
      </c>
      <c r="K15" s="22" t="str" cm="1">
        <f t="array" ref="K15">_xlfn.XLOOKUP(SelectedFile&amp;$E15,network_vds[Source.Name]&amp;network_vds[vlanguid],network_vds[systemvm_portgroup_binding_type],"")</f>
        <v/>
      </c>
      <c r="L15" s="22" t="str" cm="1">
        <f t="array" ref="L15">_xlfn.XLOOKUP(SelectedFile&amp;$E15,network_vds[Source.Name]&amp;network_vds[vlanguid],network_vds[vds.portgroups.failover_order],"")</f>
        <v/>
      </c>
      <c r="M15" s="22" t="str" cm="1">
        <f t="array" ref="M15">_xlfn.XLOOKUP(SelectedFile&amp;$E15,network_vds[Source.Name]&amp;network_vds[vlanguid],network_vds[vds.nic_mappings.uplinks.name],"")</f>
        <v/>
      </c>
      <c r="N15" s="22" t="str" cm="1">
        <f t="array" ref="N15">_xlfn.XLOOKUP(SelectedFile&amp;$E15,network_vds[Source.Name]&amp;network_vds[vlanguid],network_vds[vds.nic_mappings.uplinks.physical_nic],"")</f>
        <v/>
      </c>
      <c r="O15" s="22" t="str" cm="1">
        <f t="array" ref="O15">_xlfn.XLOOKUP(SelectedFile&amp;$E15,network_vds[Source.Name]&amp;network_vds[vlanguid],network_vds[vds.name],"")</f>
        <v/>
      </c>
      <c r="R15" s="7"/>
      <c r="S15" s="7"/>
      <c r="T15" s="7"/>
      <c r="U15" s="7"/>
      <c r="V15" s="7"/>
      <c r="W15" s="7"/>
      <c r="X15" s="7"/>
    </row>
    <row r="16" spans="1:24" x14ac:dyDescent="0.25">
      <c r="B16" s="3" t="s">
        <v>226</v>
      </c>
      <c r="C16" s="30" t="str">
        <f>_xlfn.XLOOKUP(SelectedFile,global[Source.Name],global[cluster_management_gateway])</f>
        <v>192.168.1.1</v>
      </c>
      <c r="E16" s="15"/>
      <c r="F16" s="28" t="str" cm="1">
        <f t="array" ref="F16">_xlfn.XLOOKUP(SelectedFile&amp;$E16,network_vds[Source.Name]&amp;network_vds[vlanguid],network_vds[vds.portgroups.vlan_id],"")</f>
        <v/>
      </c>
      <c r="G16" s="22" t="str" cm="1">
        <f t="array" ref="G16">_xlfn.XLOOKUP(SelectedFile&amp;$E16,network_vds[Source.Name]&amp;network_vds[vlanguid],network_vds[vds.portgroups.type],"")</f>
        <v/>
      </c>
      <c r="H16" s="22" t="str" cm="1">
        <f t="array" ref="H16">_xlfn.XLOOKUP(SelectedFile&amp;$E16,network_vds[Source.Name]&amp;network_vds[vlanguid],network_vds[nic_profile],"")</f>
        <v/>
      </c>
      <c r="I16" s="22" t="str" cm="1">
        <f t="array" ref="I16">_xlfn.XLOOKUP(SelectedFile&amp;$E16,network_vds[Source.Name]&amp;network_vds[vlanguid],network_vds[vds.portgroups.name],"")</f>
        <v/>
      </c>
      <c r="J16" s="22" t="str" cm="1">
        <f t="array" ref="J16">_xlfn.XLOOKUP(SelectedFile&amp;$E16,network_vds[Source.Name]&amp;network_vds[vlanguid],network_vds[management_portgroup_binding_type],"")</f>
        <v/>
      </c>
      <c r="K16" s="22" t="str" cm="1">
        <f t="array" ref="K16">_xlfn.XLOOKUP(SelectedFile&amp;$E16,network_vds[Source.Name]&amp;network_vds[vlanguid],network_vds[systemvm_portgroup_binding_type],"")</f>
        <v/>
      </c>
      <c r="L16" s="22" t="str" cm="1">
        <f t="array" ref="L16">_xlfn.XLOOKUP(SelectedFile&amp;$E16,network_vds[Source.Name]&amp;network_vds[vlanguid],network_vds[vds.portgroups.failover_order],"")</f>
        <v/>
      </c>
      <c r="M16" s="22" t="str" cm="1">
        <f t="array" ref="M16">_xlfn.XLOOKUP(SelectedFile&amp;$E16,network_vds[Source.Name]&amp;network_vds[vlanguid],network_vds[vds.nic_mappings.uplinks.name],"")</f>
        <v/>
      </c>
      <c r="N16" s="22" t="str" cm="1">
        <f t="array" ref="N16">_xlfn.XLOOKUP(SelectedFile&amp;$E16,network_vds[Source.Name]&amp;network_vds[vlanguid],network_vds[vds.nic_mappings.uplinks.physical_nic],"")</f>
        <v/>
      </c>
      <c r="O16" s="22" t="str" cm="1">
        <f t="array" ref="O16">_xlfn.XLOOKUP(SelectedFile&amp;$E16,network_vds[Source.Name]&amp;network_vds[vlanguid],network_vds[vds.name],"")</f>
        <v/>
      </c>
      <c r="Q16" s="7"/>
      <c r="R16" s="7"/>
      <c r="S16" s="7"/>
      <c r="T16" s="7"/>
      <c r="U16" s="7"/>
      <c r="V16" s="7"/>
      <c r="W16" s="7"/>
      <c r="X16" s="7"/>
    </row>
    <row r="17" spans="2:24" x14ac:dyDescent="0.25">
      <c r="B17" s="3" t="s">
        <v>227</v>
      </c>
      <c r="C17" s="30" t="str">
        <f>_xlfn.XLOOKUP(SelectedFile,global[Source.Name],global[cluster_management_netmask])</f>
        <v>255.255.255.0</v>
      </c>
      <c r="E17" s="15"/>
      <c r="F17" s="28" t="str" cm="1">
        <f t="array" ref="F17">_xlfn.XLOOKUP(SelectedFile&amp;$E17,network_vds[Source.Name]&amp;network_vds[vlanguid],network_vds[vds.portgroups.vlan_id],"")</f>
        <v/>
      </c>
      <c r="G17" s="22" t="str" cm="1">
        <f t="array" ref="G17">_xlfn.XLOOKUP(SelectedFile&amp;$E17,network_vds[Source.Name]&amp;network_vds[vlanguid],network_vds[vds.portgroups.type],"")</f>
        <v/>
      </c>
      <c r="H17" s="22" t="str" cm="1">
        <f t="array" ref="H17">_xlfn.XLOOKUP(SelectedFile&amp;$E17,network_vds[Source.Name]&amp;network_vds[vlanguid],network_vds[nic_profile],"")</f>
        <v/>
      </c>
      <c r="I17" s="22" t="str" cm="1">
        <f t="array" ref="I17">_xlfn.XLOOKUP(SelectedFile&amp;$E17,network_vds[Source.Name]&amp;network_vds[vlanguid],network_vds[vds.portgroups.name],"")</f>
        <v/>
      </c>
      <c r="J17" s="22" t="str" cm="1">
        <f t="array" ref="J17">_xlfn.XLOOKUP(SelectedFile&amp;$E17,network_vds[Source.Name]&amp;network_vds[vlanguid],network_vds[management_portgroup_binding_type],"")</f>
        <v/>
      </c>
      <c r="K17" s="22" t="str" cm="1">
        <f t="array" ref="K17">_xlfn.XLOOKUP(SelectedFile&amp;$E17,network_vds[Source.Name]&amp;network_vds[vlanguid],network_vds[systemvm_portgroup_binding_type],"")</f>
        <v/>
      </c>
      <c r="L17" s="22" t="str" cm="1">
        <f t="array" ref="L17">_xlfn.XLOOKUP(SelectedFile&amp;$E17,network_vds[Source.Name]&amp;network_vds[vlanguid],network_vds[vds.portgroups.failover_order],"")</f>
        <v/>
      </c>
      <c r="M17" s="22" t="str" cm="1">
        <f t="array" ref="M17">_xlfn.XLOOKUP(SelectedFile&amp;$E17,network_vds[Source.Name]&amp;network_vds[vlanguid],network_vds[vds.nic_mappings.uplinks.name],"")</f>
        <v/>
      </c>
      <c r="N17" s="22" t="str" cm="1">
        <f t="array" ref="N17">_xlfn.XLOOKUP(SelectedFile&amp;$E17,network_vds[Source.Name]&amp;network_vds[vlanguid],network_vds[vds.nic_mappings.uplinks.physical_nic],"")</f>
        <v/>
      </c>
      <c r="O17" s="22" t="str" cm="1">
        <f t="array" ref="O17">_xlfn.XLOOKUP(SelectedFile&amp;$E17,network_vds[Source.Name]&amp;network_vds[vlanguid],network_vds[vds.name],"")</f>
        <v/>
      </c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3" t="s">
        <v>228</v>
      </c>
      <c r="C18" s="30" t="str">
        <f>_xlfn.XLOOKUP(SelectedFile,global[Source.Name],global[cluster_vsan_netmask])</f>
        <v>255.255.255.0</v>
      </c>
      <c r="E18" s="15"/>
      <c r="F18" s="28" t="str" cm="1">
        <f t="array" ref="F18">_xlfn.XLOOKUP(SelectedFile&amp;$E18,network_vds[Source.Name]&amp;network_vds[vlanguid],network_vds[vds.portgroups.vlan_id],"")</f>
        <v/>
      </c>
      <c r="G18" s="22" t="str" cm="1">
        <f t="array" ref="G18">_xlfn.XLOOKUP(SelectedFile&amp;$E18,network_vds[Source.Name]&amp;network_vds[vlanguid],network_vds[vds.portgroups.type],"")</f>
        <v/>
      </c>
      <c r="H18" s="22" t="str" cm="1">
        <f t="array" ref="H18">_xlfn.XLOOKUP(SelectedFile&amp;$E18,network_vds[Source.Name]&amp;network_vds[vlanguid],network_vds[nic_profile],"")</f>
        <v/>
      </c>
      <c r="I18" s="22" t="str" cm="1">
        <f t="array" ref="I18">_xlfn.XLOOKUP(SelectedFile&amp;$E18,network_vds[Source.Name]&amp;network_vds[vlanguid],network_vds[vds.portgroups.name],"")</f>
        <v/>
      </c>
      <c r="J18" s="22" t="str" cm="1">
        <f t="array" ref="J18">_xlfn.XLOOKUP(SelectedFile&amp;$E18,network_vds[Source.Name]&amp;network_vds[vlanguid],network_vds[management_portgroup_binding_type],"")</f>
        <v/>
      </c>
      <c r="K18" s="22" t="str" cm="1">
        <f t="array" ref="K18">_xlfn.XLOOKUP(SelectedFile&amp;$E18,network_vds[Source.Name]&amp;network_vds[vlanguid],network_vds[systemvm_portgroup_binding_type],"")</f>
        <v/>
      </c>
      <c r="L18" s="22" t="str" cm="1">
        <f t="array" ref="L18">_xlfn.XLOOKUP(SelectedFile&amp;$E18,network_vds[Source.Name]&amp;network_vds[vlanguid],network_vds[vds.portgroups.failover_order],"")</f>
        <v/>
      </c>
      <c r="M18" s="22" t="str" cm="1">
        <f t="array" ref="M18">_xlfn.XLOOKUP(SelectedFile&amp;$E18,network_vds[Source.Name]&amp;network_vds[vlanguid],network_vds[vds.nic_mappings.uplinks.name],"")</f>
        <v/>
      </c>
      <c r="N18" s="22" t="str" cm="1">
        <f t="array" ref="N18">_xlfn.XLOOKUP(SelectedFile&amp;$E18,network_vds[Source.Name]&amp;network_vds[vlanguid],network_vds[vds.nic_mappings.uplinks.physical_nic],"")</f>
        <v/>
      </c>
      <c r="O18" s="22" t="str" cm="1">
        <f t="array" ref="O18">_xlfn.XLOOKUP(SelectedFile&amp;$E18,network_vds[Source.Name]&amp;network_vds[vlanguid],network_vds[vds.name],"")</f>
        <v/>
      </c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3" t="s">
        <v>229</v>
      </c>
      <c r="C19" s="30" t="str">
        <f>_xlfn.XLOOKUP(SelectedFile,global[Source.Name],global[cluster_vsan_netmask])</f>
        <v>255.255.255.0</v>
      </c>
      <c r="E19" s="15"/>
      <c r="F19" s="28" t="str" cm="1">
        <f t="array" ref="F19">_xlfn.XLOOKUP(SelectedFile&amp;$E19,network_vds[Source.Name]&amp;network_vds[vlanguid],network_vds[vds.portgroups.vlan_id],"")</f>
        <v/>
      </c>
      <c r="G19" s="22" t="str" cm="1">
        <f t="array" ref="G19">_xlfn.XLOOKUP(SelectedFile&amp;$E19,network_vds[Source.Name]&amp;network_vds[vlanguid],network_vds[vds.portgroups.type],"")</f>
        <v/>
      </c>
      <c r="H19" s="22" t="str" cm="1">
        <f t="array" ref="H19">_xlfn.XLOOKUP(SelectedFile&amp;$E19,network_vds[Source.Name]&amp;network_vds[vlanguid],network_vds[nic_profile],"")</f>
        <v/>
      </c>
      <c r="I19" s="22" t="str" cm="1">
        <f t="array" ref="I19">_xlfn.XLOOKUP(SelectedFile&amp;$E19,network_vds[Source.Name]&amp;network_vds[vlanguid],network_vds[vds.portgroups.name],"")</f>
        <v/>
      </c>
      <c r="J19" s="22" t="str" cm="1">
        <f t="array" ref="J19">_xlfn.XLOOKUP(SelectedFile&amp;$E19,network_vds[Source.Name]&amp;network_vds[vlanguid],network_vds[management_portgroup_binding_type],"")</f>
        <v/>
      </c>
      <c r="K19" s="22" t="str" cm="1">
        <f t="array" ref="K19">_xlfn.XLOOKUP(SelectedFile&amp;$E19,network_vds[Source.Name]&amp;network_vds[vlanguid],network_vds[systemvm_portgroup_binding_type],"")</f>
        <v/>
      </c>
      <c r="L19" s="22" t="str" cm="1">
        <f t="array" ref="L19">_xlfn.XLOOKUP(SelectedFile&amp;$E19,network_vds[Source.Name]&amp;network_vds[vlanguid],network_vds[vds.portgroups.failover_order],"")</f>
        <v/>
      </c>
      <c r="M19" s="22" t="str" cm="1">
        <f t="array" ref="M19">_xlfn.XLOOKUP(SelectedFile&amp;$E19,network_vds[Source.Name]&amp;network_vds[vlanguid],network_vds[vds.nic_mappings.uplinks.name],"")</f>
        <v/>
      </c>
      <c r="N19" s="22" t="str" cm="1">
        <f t="array" ref="N19">_xlfn.XLOOKUP(SelectedFile&amp;$E19,network_vds[Source.Name]&amp;network_vds[vlanguid],network_vds[vds.nic_mappings.uplinks.physical_nic],"")</f>
        <v/>
      </c>
      <c r="O19" s="22" t="str" cm="1">
        <f t="array" ref="O19">_xlfn.XLOOKUP(SelectedFile&amp;$E19,network_vds[Source.Name]&amp;network_vds[vlanguid],network_vds[vds.name],"")</f>
        <v/>
      </c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3" t="s">
        <v>400</v>
      </c>
      <c r="C20" s="30" t="str">
        <f>_xlfn.XLOOKUP(B1,global[Source.Name],global[network.sfs.configured])</f>
        <v>FALSE</v>
      </c>
      <c r="E20" s="15"/>
      <c r="F20" s="28" t="str" cm="1">
        <f t="array" ref="F20">_xlfn.XLOOKUP(SelectedFile&amp;$E20,network_vds[Source.Name]&amp;network_vds[vlanguid],network_vds[vds.portgroups.vlan_id],"")</f>
        <v/>
      </c>
      <c r="G20" s="22" t="str" cm="1">
        <f t="array" ref="G20">_xlfn.XLOOKUP(SelectedFile&amp;$E20,network_vds[Source.Name]&amp;network_vds[vlanguid],network_vds[vds.portgroups.type],"")</f>
        <v/>
      </c>
      <c r="H20" s="22" t="str" cm="1">
        <f t="array" ref="H20">_xlfn.XLOOKUP(SelectedFile&amp;$E20,network_vds[Source.Name]&amp;network_vds[vlanguid],network_vds[nic_profile],"")</f>
        <v/>
      </c>
      <c r="I20" s="22" t="str" cm="1">
        <f t="array" ref="I20">_xlfn.XLOOKUP(SelectedFile&amp;$E20,network_vds[Source.Name]&amp;network_vds[vlanguid],network_vds[vds.portgroups.name],"")</f>
        <v/>
      </c>
      <c r="J20" s="22" t="str" cm="1">
        <f t="array" ref="J20">_xlfn.XLOOKUP(SelectedFile&amp;$E20,network_vds[Source.Name]&amp;network_vds[vlanguid],network_vds[management_portgroup_binding_type],"")</f>
        <v/>
      </c>
      <c r="K20" s="22" t="str" cm="1">
        <f t="array" ref="K20">_xlfn.XLOOKUP(SelectedFile&amp;$E20,network_vds[Source.Name]&amp;network_vds[vlanguid],network_vds[systemvm_portgroup_binding_type],"")</f>
        <v/>
      </c>
      <c r="L20" s="22" t="str" cm="1">
        <f t="array" ref="L20">_xlfn.XLOOKUP(SelectedFile&amp;$E20,network_vds[Source.Name]&amp;network_vds[vlanguid],network_vds[vds.portgroups.failover_order],"")</f>
        <v/>
      </c>
      <c r="M20" s="22" t="str" cm="1">
        <f t="array" ref="M20">_xlfn.XLOOKUP(SelectedFile&amp;$E20,network_vds[Source.Name]&amp;network_vds[vlanguid],network_vds[vds.nic_mappings.uplinks.name],"")</f>
        <v/>
      </c>
      <c r="N20" s="22" t="str" cm="1">
        <f t="array" ref="N20">_xlfn.XLOOKUP(SelectedFile&amp;$E20,network_vds[Source.Name]&amp;network_vds[vlanguid],network_vds[vds.nic_mappings.uplinks.physical_nic],"")</f>
        <v/>
      </c>
      <c r="O20" s="22" t="str" cm="1">
        <f t="array" ref="O20">_xlfn.XLOOKUP(SelectedFile&amp;$E20,network_vds[Source.Name]&amp;network_vds[vlanguid],network_vds[vds.name],"")</f>
        <v/>
      </c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3"/>
      <c r="C21" s="32"/>
      <c r="E21" s="15"/>
      <c r="F21" s="28" t="str" cm="1">
        <f t="array" ref="F21">_xlfn.XLOOKUP(SelectedFile&amp;$E21,network_vds[Source.Name]&amp;network_vds[vlanguid],network_vds[vds.portgroups.vlan_id],"")</f>
        <v/>
      </c>
      <c r="G21" s="22" t="str" cm="1">
        <f t="array" ref="G21">_xlfn.XLOOKUP(SelectedFile&amp;$E21,network_vds[Source.Name]&amp;network_vds[vlanguid],network_vds[vds.portgroups.type],"")</f>
        <v/>
      </c>
      <c r="H21" s="22" t="str" cm="1">
        <f t="array" ref="H21">_xlfn.XLOOKUP(SelectedFile&amp;$E21,network_vds[Source.Name]&amp;network_vds[vlanguid],network_vds[nic_profile],"")</f>
        <v/>
      </c>
      <c r="I21" s="22" t="str" cm="1">
        <f t="array" ref="I21">_xlfn.XLOOKUP(SelectedFile&amp;$E21,network_vds[Source.Name]&amp;network_vds[vlanguid],network_vds[vds.portgroups.name],"")</f>
        <v/>
      </c>
      <c r="J21" s="22" t="str" cm="1">
        <f t="array" ref="J21">_xlfn.XLOOKUP(SelectedFile&amp;$E21,network_vds[Source.Name]&amp;network_vds[vlanguid],network_vds[management_portgroup_binding_type],"")</f>
        <v/>
      </c>
      <c r="K21" s="22" t="str" cm="1">
        <f t="array" ref="K21">_xlfn.XLOOKUP(SelectedFile&amp;$E21,network_vds[Source.Name]&amp;network_vds[vlanguid],network_vds[systemvm_portgroup_binding_type],"")</f>
        <v/>
      </c>
      <c r="L21" s="22" t="str" cm="1">
        <f t="array" ref="L21">_xlfn.XLOOKUP(SelectedFile&amp;$E21,network_vds[Source.Name]&amp;network_vds[vlanguid],network_vds[vds.portgroups.failover_order],"")</f>
        <v/>
      </c>
      <c r="M21" s="22" t="str" cm="1">
        <f t="array" ref="M21">_xlfn.XLOOKUP(SelectedFile&amp;$E21,network_vds[Source.Name]&amp;network_vds[vlanguid],network_vds[vds.nic_mappings.uplinks.name],"")</f>
        <v/>
      </c>
      <c r="N21" s="22" t="str" cm="1">
        <f t="array" ref="N21">_xlfn.XLOOKUP(SelectedFile&amp;$E21,network_vds[Source.Name]&amp;network_vds[vlanguid],network_vds[vds.nic_mappings.uplinks.physical_nic],"")</f>
        <v/>
      </c>
      <c r="O21" s="22" t="str" cm="1">
        <f t="array" ref="O21">_xlfn.XLOOKUP(SelectedFile&amp;$E21,network_vds[Source.Name]&amp;network_vds[vlanguid],network_vds[vds.name],"")</f>
        <v/>
      </c>
      <c r="Q21" s="7"/>
      <c r="R21" s="7"/>
      <c r="S21" s="7"/>
      <c r="T21" s="7"/>
      <c r="U21" s="7"/>
      <c r="V21" s="7"/>
      <c r="W21" s="7"/>
      <c r="X21" s="7"/>
    </row>
    <row r="22" spans="2:24" x14ac:dyDescent="0.25">
      <c r="B22" s="3" t="s">
        <v>183</v>
      </c>
      <c r="C22" s="30" t="str">
        <f>_xlfn.XLOOKUP(SelectedFile,global[Source.Name],global[vxrm hostname])</f>
        <v>vxrm</v>
      </c>
      <c r="F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3" t="s">
        <v>184</v>
      </c>
      <c r="C23" s="30" t="str">
        <f>_xlfn.XLOOKUP(SelectedFile,global[Source.Name],global[vxrm ip])</f>
        <v>192.168.1.58</v>
      </c>
      <c r="F23" s="12" t="s">
        <v>365</v>
      </c>
      <c r="G23" s="5" t="s">
        <v>197</v>
      </c>
      <c r="H23" s="5" t="s">
        <v>74</v>
      </c>
      <c r="I23" s="5" t="s">
        <v>198</v>
      </c>
      <c r="J23" s="5" t="s">
        <v>199</v>
      </c>
      <c r="K23" s="5" t="s">
        <v>120</v>
      </c>
      <c r="L23" s="5" t="s">
        <v>23</v>
      </c>
      <c r="M23" s="5" t="s">
        <v>25</v>
      </c>
      <c r="N23" s="5" t="s">
        <v>26</v>
      </c>
      <c r="O23" s="5" t="s">
        <v>28</v>
      </c>
      <c r="P23" s="5" t="s">
        <v>218</v>
      </c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3"/>
      <c r="C24" s="30"/>
      <c r="F24" s="23" t="str" cm="1">
        <f t="array" ref="F24:F25">_xlfn.UNIQUE(_xlfn._xlws.FILTER(hosts_2[hostname],hosts_2[Source.Name]=dashboard!B1))</f>
        <v>host-01</v>
      </c>
      <c r="G24" s="24" t="str" cm="1">
        <f t="array" ref="G24">_xlfn.XLOOKUP(SelectedFile&amp;$F24,hosts_2[Source.Name]&amp;hosts_2[hostname],hosts_2[root.username],"")</f>
        <v>root</v>
      </c>
      <c r="H24" s="24" t="str" cm="1">
        <f t="array" ref="H24">_xlfn.XLOOKUP(SelectedFile&amp;$F24,hosts_2[Source.Name]&amp;hosts_2[hostname],hosts_2[management.username],"")</f>
        <v>esximgr</v>
      </c>
      <c r="I24" s="24" t="str" cm="1">
        <f t="array" ref="I24">_xlfn.XLOOKUP(SelectedFile&amp;$F24,hosts_2[Source.Name]&amp;hosts_2[hostname],hosts_2[rack_name],"")</f>
        <v/>
      </c>
      <c r="J24" s="24" cm="1">
        <f t="array" ref="J24">_xlfn.XLOOKUP(SelectedFile&amp;$F24,hosts_2[Source.Name]&amp;hosts_2[hostname],hosts_2[position],"")</f>
        <v>0</v>
      </c>
      <c r="K24" s="24" t="str" cm="1">
        <f t="array" ref="K24">_xlfn.XLOOKUP(SelectedFile&amp;$F24,hosts_2[Source.Name]&amp;hosts_2[hostname],hosts_2[host_psnt],"")</f>
        <v/>
      </c>
      <c r="L24" s="24" t="str" cm="1">
        <f t="array" ref="L24">_xlfn.XLOOKUP(SelectedFile&amp;$F24,hosts_2[Source.Name]&amp;hosts_2[hostname],hosts_2[MANAGEMENT],"")</f>
        <v>192.168.1.50</v>
      </c>
      <c r="M24" s="24" t="str" cm="1">
        <f t="array" ref="M24">_xlfn.XLOOKUP(SelectedFile&amp;$F24,hosts_2[Source.Name]&amp;hosts_2[hostname],hosts_2[VSAN],"")</f>
        <v>192.168.80.1</v>
      </c>
      <c r="N24" s="24" t="str" cm="1">
        <f t="array" ref="N24">_xlfn.XLOOKUP(SelectedFile&amp;$F24,hosts_2[Source.Name]&amp;hosts_2[hostname],hosts_2[VMOTION],"")</f>
        <v>192.168.90.1</v>
      </c>
      <c r="O24" s="24" t="str" cm="1">
        <f t="array" ref="O24">_xlfn.XLOOKUP(SelectedFile&amp;$F24,hosts_2[Source.Name]&amp;hosts_2[hostname],hosts_2[WITNESS],"")</f>
        <v>192.168.100.1</v>
      </c>
      <c r="P24" s="24" cm="1">
        <f t="array" ref="P24">_xlfn.XLOOKUP(SelectedFile&amp;$F24,hosts_2[Source.Name]&amp;hosts_2[hostname],hosts_2[management_ip],"")</f>
        <v>0</v>
      </c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3" t="s">
        <v>86</v>
      </c>
      <c r="C25" s="30" t="str">
        <f>_xlfn.XLOOKUP(SelectedFile,global[Source.Name],global[accounts.root.username])</f>
        <v>root</v>
      </c>
      <c r="F25" s="23" t="str">
        <v>host-02</v>
      </c>
      <c r="G25" s="24" t="str" cm="1">
        <f t="array" ref="G25">_xlfn.XLOOKUP(SelectedFile&amp;$F25,hosts_2[Source.Name]&amp;hosts_2[hostname],hosts_2[root.username],"")</f>
        <v>root</v>
      </c>
      <c r="H25" s="24" t="str" cm="1">
        <f t="array" ref="H25">_xlfn.XLOOKUP(SelectedFile&amp;$F25,hosts_2[Source.Name]&amp;hosts_2[hostname],hosts_2[management.username],"")</f>
        <v>esximgr</v>
      </c>
      <c r="I25" s="24" t="str" cm="1">
        <f t="array" ref="I25">_xlfn.XLOOKUP(SelectedFile&amp;$F25,hosts_2[Source.Name]&amp;hosts_2[hostname],hosts_2[rack_name],"")</f>
        <v/>
      </c>
      <c r="J25" s="24" cm="1">
        <f t="array" ref="J25">_xlfn.XLOOKUP(SelectedFile&amp;$F25,hosts_2[Source.Name]&amp;hosts_2[hostname],hosts_2[position],"")</f>
        <v>0</v>
      </c>
      <c r="K25" s="24" t="str" cm="1">
        <f t="array" ref="K25">_xlfn.XLOOKUP(SelectedFile&amp;$F25,hosts_2[Source.Name]&amp;hosts_2[hostname],hosts_2[host_psnt],"")</f>
        <v/>
      </c>
      <c r="L25" s="24" t="str" cm="1">
        <f t="array" ref="L25">_xlfn.XLOOKUP(SelectedFile&amp;$F25,hosts_2[Source.Name]&amp;hosts_2[hostname],hosts_2[MANAGEMENT],"")</f>
        <v>192.168.1.51</v>
      </c>
      <c r="M25" s="24" t="str" cm="1">
        <f t="array" ref="M25">_xlfn.XLOOKUP(SelectedFile&amp;$F25,hosts_2[Source.Name]&amp;hosts_2[hostname],hosts_2[VSAN],"")</f>
        <v>192.168.80.2</v>
      </c>
      <c r="N25" s="24" t="str" cm="1">
        <f t="array" ref="N25">_xlfn.XLOOKUP(SelectedFile&amp;$F25,hosts_2[Source.Name]&amp;hosts_2[hostname],hosts_2[VMOTION],"")</f>
        <v>192.168.90.2</v>
      </c>
      <c r="O25" s="24" t="str" cm="1">
        <f t="array" ref="O25">_xlfn.XLOOKUP(SelectedFile&amp;$F25,hosts_2[Source.Name]&amp;hosts_2[hostname],hosts_2[WITNESS],"")</f>
        <v>192.168.100.2</v>
      </c>
      <c r="P25" s="24" cm="1">
        <f t="array" ref="P25">_xlfn.XLOOKUP(SelectedFile&amp;$F25,hosts_2[Source.Name]&amp;hosts_2[hostname],hosts_2[management_ip],"")</f>
        <v>0</v>
      </c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3" t="s">
        <v>366</v>
      </c>
      <c r="C26" s="30" t="str">
        <f>_xlfn.XLOOKUP(SelectedFile,global[Source.Name],global[accounts.service.username])</f>
        <v>mystic</v>
      </c>
      <c r="F26" s="23"/>
      <c r="G26" s="24" t="str" cm="1">
        <f t="array" ref="G26">_xlfn.XLOOKUP(SelectedFile&amp;$F26,hosts_2[Source.Name]&amp;hosts_2[hostname],hosts_2[root.username],"")</f>
        <v/>
      </c>
      <c r="H26" s="24" t="str" cm="1">
        <f t="array" ref="H26">_xlfn.XLOOKUP(SelectedFile&amp;$F26,hosts_2[Source.Name]&amp;hosts_2[hostname],hosts_2[management.username],"")</f>
        <v/>
      </c>
      <c r="I26" s="24" t="str" cm="1">
        <f t="array" ref="I26">_xlfn.XLOOKUP(SelectedFile&amp;$F26,hosts_2[Source.Name]&amp;hosts_2[hostname],hosts_2[rack_name],"")</f>
        <v/>
      </c>
      <c r="J26" s="24" t="str" cm="1">
        <f t="array" ref="J26">_xlfn.XLOOKUP(SelectedFile&amp;$F26,hosts_2[Source.Name]&amp;hosts_2[hostname],hosts_2[position],"")</f>
        <v/>
      </c>
      <c r="K26" s="24" t="str" cm="1">
        <f t="array" ref="K26">_xlfn.XLOOKUP(SelectedFile&amp;$F26,hosts_2[Source.Name]&amp;hosts_2[hostname],hosts_2[host_psnt],"")</f>
        <v/>
      </c>
      <c r="L26" s="24" t="str" cm="1">
        <f t="array" ref="L26">_xlfn.XLOOKUP(SelectedFile&amp;$F26,hosts_2[Source.Name]&amp;hosts_2[hostname],hosts_2[MANAGEMENT],"")</f>
        <v/>
      </c>
      <c r="M26" s="24" t="str" cm="1">
        <f t="array" ref="M26">_xlfn.XLOOKUP(SelectedFile&amp;$F26,hosts_2[Source.Name]&amp;hosts_2[hostname],hosts_2[VSAN],"")</f>
        <v/>
      </c>
      <c r="N26" s="24" t="str" cm="1">
        <f t="array" ref="N26">_xlfn.XLOOKUP(SelectedFile&amp;$F26,hosts_2[Source.Name]&amp;hosts_2[hostname],hosts_2[VMOTION],"")</f>
        <v/>
      </c>
      <c r="O26" s="24" t="str" cm="1">
        <f t="array" ref="O26">_xlfn.XLOOKUP(SelectedFile&amp;$F26,hosts_2[Source.Name]&amp;hosts_2[hostname],hosts_2[WITNESS],"")</f>
        <v/>
      </c>
      <c r="P26" s="24" t="str" cm="1">
        <f t="array" ref="P26">_xlfn.XLOOKUP(SelectedFile&amp;$F26,hosts_2[Source.Name]&amp;hosts_2[hostname],hosts_2[management_ip],"")</f>
        <v/>
      </c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3" t="s">
        <v>238</v>
      </c>
      <c r="C27" s="30" t="str">
        <f>_xlfn.XLOOKUP(SelectedFile,global[Source.Name],global[administrator.username])</f>
        <v>vcenteruser@vcadmin.com</v>
      </c>
      <c r="F27" s="23"/>
      <c r="G27" s="24" t="str" cm="1">
        <f t="array" ref="G27">_xlfn.XLOOKUP(SelectedFile&amp;$F27,hosts_2[Source.Name]&amp;hosts_2[hostname],hosts_2[root.username],"")</f>
        <v/>
      </c>
      <c r="H27" s="24" t="str" cm="1">
        <f t="array" ref="H27">_xlfn.XLOOKUP(SelectedFile&amp;$F27,hosts_2[Source.Name]&amp;hosts_2[hostname],hosts_2[management.username],"")</f>
        <v/>
      </c>
      <c r="I27" s="24" t="str" cm="1">
        <f t="array" ref="I27">_xlfn.XLOOKUP(SelectedFile&amp;$F27,hosts_2[Source.Name]&amp;hosts_2[hostname],hosts_2[rack_name],"")</f>
        <v/>
      </c>
      <c r="J27" s="24" t="str" cm="1">
        <f t="array" ref="J27">_xlfn.XLOOKUP(SelectedFile&amp;$F27,hosts_2[Source.Name]&amp;hosts_2[hostname],hosts_2[position],"")</f>
        <v/>
      </c>
      <c r="K27" s="24" t="str" cm="1">
        <f t="array" ref="K27">_xlfn.XLOOKUP(SelectedFile&amp;$F27,hosts_2[Source.Name]&amp;hosts_2[hostname],hosts_2[host_psnt],"")</f>
        <v/>
      </c>
      <c r="L27" s="24" t="str" cm="1">
        <f t="array" ref="L27">_xlfn.XLOOKUP(SelectedFile&amp;$F27,hosts_2[Source.Name]&amp;hosts_2[hostname],hosts_2[MANAGEMENT],"")</f>
        <v/>
      </c>
      <c r="M27" s="24" t="str" cm="1">
        <f t="array" ref="M27">_xlfn.XLOOKUP(SelectedFile&amp;$F27,hosts_2[Source.Name]&amp;hosts_2[hostname],hosts_2[VSAN],"")</f>
        <v/>
      </c>
      <c r="N27" s="24" t="str" cm="1">
        <f t="array" ref="N27">_xlfn.XLOOKUP(SelectedFile&amp;$F27,hosts_2[Source.Name]&amp;hosts_2[hostname],hosts_2[VMOTION],"")</f>
        <v/>
      </c>
      <c r="O27" s="24" t="str" cm="1">
        <f t="array" ref="O27">_xlfn.XLOOKUP(SelectedFile&amp;$F27,hosts_2[Source.Name]&amp;hosts_2[hostname],hosts_2[WITNESS],"")</f>
        <v/>
      </c>
      <c r="P27" s="24" t="str" cm="1">
        <f t="array" ref="P27">_xlfn.XLOOKUP(SelectedFile&amp;$F27,hosts_2[Source.Name]&amp;hosts_2[hostname],hosts_2[management_ip],"")</f>
        <v/>
      </c>
      <c r="Q27" s="7"/>
      <c r="R27" s="7"/>
      <c r="S27" s="7"/>
      <c r="T27" s="7"/>
      <c r="U27" s="7"/>
      <c r="V27" s="7"/>
      <c r="W27" s="7"/>
      <c r="X27" s="7"/>
    </row>
    <row r="28" spans="2:24" x14ac:dyDescent="0.25">
      <c r="B28" s="3" t="s">
        <v>367</v>
      </c>
      <c r="C28" s="30" t="str">
        <f>_xlfn.XLOOKUP(SelectedFile,global[Source.Name],global[management.username])</f>
        <v>vcentermgr</v>
      </c>
      <c r="F28" s="23"/>
      <c r="G28" s="24" t="str" cm="1">
        <f t="array" ref="G28">_xlfn.XLOOKUP(SelectedFile&amp;$F28,hosts_2[Source.Name]&amp;hosts_2[hostname],hosts_2[root.username],"")</f>
        <v/>
      </c>
      <c r="H28" s="24" t="str" cm="1">
        <f t="array" ref="H28">_xlfn.XLOOKUP(SelectedFile&amp;$F28,hosts_2[Source.Name]&amp;hosts_2[hostname],hosts_2[management.username],"")</f>
        <v/>
      </c>
      <c r="I28" s="24" t="str" cm="1">
        <f t="array" ref="I28">_xlfn.XLOOKUP(SelectedFile&amp;$F28,hosts_2[Source.Name]&amp;hosts_2[hostname],hosts_2[rack_name],"")</f>
        <v/>
      </c>
      <c r="J28" s="24" t="str" cm="1">
        <f t="array" ref="J28">_xlfn.XLOOKUP(SelectedFile&amp;$F28,hosts_2[Source.Name]&amp;hosts_2[hostname],hosts_2[position],"")</f>
        <v/>
      </c>
      <c r="K28" s="24" t="str" cm="1">
        <f t="array" ref="K28">_xlfn.XLOOKUP(SelectedFile&amp;$F28,hosts_2[Source.Name]&amp;hosts_2[hostname],hosts_2[host_psnt],"")</f>
        <v/>
      </c>
      <c r="L28" s="24" t="str" cm="1">
        <f t="array" ref="L28">_xlfn.XLOOKUP(SelectedFile&amp;$F28,hosts_2[Source.Name]&amp;hosts_2[hostname],hosts_2[MANAGEMENT],"")</f>
        <v/>
      </c>
      <c r="M28" s="24" t="str" cm="1">
        <f t="array" ref="M28">_xlfn.XLOOKUP(SelectedFile&amp;$F28,hosts_2[Source.Name]&amp;hosts_2[hostname],hosts_2[VSAN],"")</f>
        <v/>
      </c>
      <c r="N28" s="24" t="str" cm="1">
        <f t="array" ref="N28">_xlfn.XLOOKUP(SelectedFile&amp;$F28,hosts_2[Source.Name]&amp;hosts_2[hostname],hosts_2[VMOTION],"")</f>
        <v/>
      </c>
      <c r="O28" s="24" t="str" cm="1">
        <f t="array" ref="O28">_xlfn.XLOOKUP(SelectedFile&amp;$F28,hosts_2[Source.Name]&amp;hosts_2[hostname],hosts_2[WITNESS],"")</f>
        <v/>
      </c>
      <c r="P28" s="24" t="str" cm="1">
        <f t="array" ref="P28">_xlfn.XLOOKUP(SelectedFile&amp;$F28,hosts_2[Source.Name]&amp;hosts_2[hostname],hosts_2[management_ip],"")</f>
        <v/>
      </c>
      <c r="Q28" s="7"/>
      <c r="R28" s="7"/>
      <c r="S28" s="7"/>
      <c r="T28" s="7"/>
      <c r="U28" s="7"/>
      <c r="V28" s="7"/>
      <c r="W28" s="7"/>
      <c r="X28" s="7"/>
    </row>
    <row r="29" spans="2:24" x14ac:dyDescent="0.25">
      <c r="B29" s="3"/>
      <c r="C29" s="30"/>
      <c r="F29" s="23"/>
      <c r="G29" s="24" t="str" cm="1">
        <f t="array" ref="G29">_xlfn.XLOOKUP(SelectedFile&amp;$F29,hosts_2[Source.Name]&amp;hosts_2[hostname],hosts_2[root.username],"")</f>
        <v/>
      </c>
      <c r="H29" s="24" t="str" cm="1">
        <f t="array" ref="H29">_xlfn.XLOOKUP(SelectedFile&amp;$F29,hosts_2[Source.Name]&amp;hosts_2[hostname],hosts_2[management.username],"")</f>
        <v/>
      </c>
      <c r="I29" s="24" t="str" cm="1">
        <f t="array" ref="I29">_xlfn.XLOOKUP(SelectedFile&amp;$F29,hosts_2[Source.Name]&amp;hosts_2[hostname],hosts_2[rack_name],"")</f>
        <v/>
      </c>
      <c r="J29" s="24" t="str" cm="1">
        <f t="array" ref="J29">_xlfn.XLOOKUP(SelectedFile&amp;$F29,hosts_2[Source.Name]&amp;hosts_2[hostname],hosts_2[position],"")</f>
        <v/>
      </c>
      <c r="K29" s="24" t="str" cm="1">
        <f t="array" ref="K29">_xlfn.XLOOKUP(SelectedFile&amp;$F29,hosts_2[Source.Name]&amp;hosts_2[hostname],hosts_2[host_psnt],"")</f>
        <v/>
      </c>
      <c r="L29" s="24" t="str" cm="1">
        <f t="array" ref="L29">_xlfn.XLOOKUP(SelectedFile&amp;$F29,hosts_2[Source.Name]&amp;hosts_2[hostname],hosts_2[MANAGEMENT],"")</f>
        <v/>
      </c>
      <c r="M29" s="24" t="str" cm="1">
        <f t="array" ref="M29">_xlfn.XLOOKUP(SelectedFile&amp;$F29,hosts_2[Source.Name]&amp;hosts_2[hostname],hosts_2[VSAN],"")</f>
        <v/>
      </c>
      <c r="N29" s="24" t="str" cm="1">
        <f t="array" ref="N29">_xlfn.XLOOKUP(SelectedFile&amp;$F29,hosts_2[Source.Name]&amp;hosts_2[hostname],hosts_2[VMOTION],"")</f>
        <v/>
      </c>
      <c r="O29" s="24" t="str" cm="1">
        <f t="array" ref="O29">_xlfn.XLOOKUP(SelectedFile&amp;$F29,hosts_2[Source.Name]&amp;hosts_2[hostname],hosts_2[WITNESS],"")</f>
        <v/>
      </c>
      <c r="P29" s="24" t="str" cm="1">
        <f t="array" ref="P29">_xlfn.XLOOKUP(SelectedFile&amp;$F29,hosts_2[Source.Name]&amp;hosts_2[hostname],hosts_2[management_ip],"")</f>
        <v/>
      </c>
      <c r="Q29" s="7"/>
      <c r="R29" s="7"/>
      <c r="S29" s="7"/>
      <c r="T29" s="7"/>
      <c r="U29" s="7"/>
      <c r="V29" s="7"/>
      <c r="W29" s="7"/>
      <c r="X29" s="7"/>
    </row>
    <row r="30" spans="2:24" x14ac:dyDescent="0.25">
      <c r="B30" s="3" t="str">
        <f>("witness.gateway")</f>
        <v>witness.gateway</v>
      </c>
      <c r="C30" s="30" t="str">
        <f>_xlfn.XLOOKUP(SelectedFile,global[Source.Name],global[witness.gateway])</f>
        <v>192.168.100.1</v>
      </c>
      <c r="F30" s="23"/>
      <c r="G30" s="24" t="str" cm="1">
        <f t="array" ref="G30">_xlfn.XLOOKUP(SelectedFile&amp;$F30,hosts_2[Source.Name]&amp;hosts_2[hostname],hosts_2[root.username],"")</f>
        <v/>
      </c>
      <c r="H30" s="24" t="str" cm="1">
        <f t="array" ref="H30">_xlfn.XLOOKUP(SelectedFile&amp;$F30,hosts_2[Source.Name]&amp;hosts_2[hostname],hosts_2[management.username],"")</f>
        <v/>
      </c>
      <c r="I30" s="24" t="str" cm="1">
        <f t="array" ref="I30">_xlfn.XLOOKUP(SelectedFile&amp;$F30,hosts_2[Source.Name]&amp;hosts_2[hostname],hosts_2[rack_name],"")</f>
        <v/>
      </c>
      <c r="J30" s="24" t="str" cm="1">
        <f t="array" ref="J30">_xlfn.XLOOKUP(SelectedFile&amp;$F30,hosts_2[Source.Name]&amp;hosts_2[hostname],hosts_2[position],"")</f>
        <v/>
      </c>
      <c r="K30" s="24" t="str" cm="1">
        <f t="array" ref="K30">_xlfn.XLOOKUP(SelectedFile&amp;$F30,hosts_2[Source.Name]&amp;hosts_2[hostname],hosts_2[host_psnt],"")</f>
        <v/>
      </c>
      <c r="L30" s="24" t="str" cm="1">
        <f t="array" ref="L30">_xlfn.XLOOKUP(SelectedFile&amp;$F30,hosts_2[Source.Name]&amp;hosts_2[hostname],hosts_2[MANAGEMENT],"")</f>
        <v/>
      </c>
      <c r="M30" s="24" t="str" cm="1">
        <f t="array" ref="M30">_xlfn.XLOOKUP(SelectedFile&amp;$F30,hosts_2[Source.Name]&amp;hosts_2[hostname],hosts_2[VSAN],"")</f>
        <v/>
      </c>
      <c r="N30" s="24" t="str" cm="1">
        <f t="array" ref="N30">_xlfn.XLOOKUP(SelectedFile&amp;$F30,hosts_2[Source.Name]&amp;hosts_2[hostname],hosts_2[VMOTION],"")</f>
        <v/>
      </c>
      <c r="O30" s="24" t="str" cm="1">
        <f t="array" ref="O30">_xlfn.XLOOKUP(SelectedFile&amp;$F30,hosts_2[Source.Name]&amp;hosts_2[hostname],hosts_2[WITNESS],"")</f>
        <v/>
      </c>
      <c r="P30" s="24" t="str" cm="1">
        <f t="array" ref="P30">_xlfn.XLOOKUP(SelectedFile&amp;$F30,hosts_2[Source.Name]&amp;hosts_2[hostname],hosts_2[management_ip],"")</f>
        <v/>
      </c>
      <c r="Q30" s="7"/>
      <c r="R30" s="7"/>
      <c r="S30" s="7"/>
      <c r="T30" s="7"/>
      <c r="U30" s="7"/>
      <c r="V30" s="7"/>
      <c r="W30" s="7"/>
      <c r="X30" s="7"/>
    </row>
    <row r="31" spans="2:24" x14ac:dyDescent="0.25">
      <c r="B31" s="3" t="str">
        <f>("witness.management_ip")</f>
        <v>witness.management_ip</v>
      </c>
      <c r="C31" s="30" t="str">
        <f>_xlfn.XLOOKUP(SelectedFile,global[Source.Name],global[witness.management_ip])</f>
        <v>192.168.100.3</v>
      </c>
      <c r="F31" s="23"/>
      <c r="G31" s="24" t="str" cm="1">
        <f t="array" ref="G31">_xlfn.XLOOKUP(SelectedFile&amp;$F31,hosts_2[Source.Name]&amp;hosts_2[hostname],hosts_2[root.username],"")</f>
        <v/>
      </c>
      <c r="H31" s="24" t="str" cm="1">
        <f t="array" ref="H31">_xlfn.XLOOKUP(SelectedFile&amp;$F31,hosts_2[Source.Name]&amp;hosts_2[hostname],hosts_2[management.username],"")</f>
        <v/>
      </c>
      <c r="I31" s="24" t="str" cm="1">
        <f t="array" ref="I31">_xlfn.XLOOKUP(SelectedFile&amp;$F31,hosts_2[Source.Name]&amp;hosts_2[hostname],hosts_2[rack_name],"")</f>
        <v/>
      </c>
      <c r="J31" s="24" t="str" cm="1">
        <f t="array" ref="J31">_xlfn.XLOOKUP(SelectedFile&amp;$F31,hosts_2[Source.Name]&amp;hosts_2[hostname],hosts_2[position],"")</f>
        <v/>
      </c>
      <c r="K31" s="24" t="str" cm="1">
        <f t="array" ref="K31">_xlfn.XLOOKUP(SelectedFile&amp;$F31,hosts_2[Source.Name]&amp;hosts_2[hostname],hosts_2[host_psnt],"")</f>
        <v/>
      </c>
      <c r="L31" s="24" t="str" cm="1">
        <f t="array" ref="L31">_xlfn.XLOOKUP(SelectedFile&amp;$F31,hosts_2[Source.Name]&amp;hosts_2[hostname],hosts_2[MANAGEMENT],"")</f>
        <v/>
      </c>
      <c r="M31" s="24" t="str" cm="1">
        <f t="array" ref="M31">_xlfn.XLOOKUP(SelectedFile&amp;$F31,hosts_2[Source.Name]&amp;hosts_2[hostname],hosts_2[VSAN],"")</f>
        <v/>
      </c>
      <c r="N31" s="24" t="str" cm="1">
        <f t="array" ref="N31">_xlfn.XLOOKUP(SelectedFile&amp;$F31,hosts_2[Source.Name]&amp;hosts_2[hostname],hosts_2[VMOTION],"")</f>
        <v/>
      </c>
      <c r="O31" s="24" t="str" cm="1">
        <f t="array" ref="O31">_xlfn.XLOOKUP(SelectedFile&amp;$F31,hosts_2[Source.Name]&amp;hosts_2[hostname],hosts_2[WITNESS],"")</f>
        <v/>
      </c>
      <c r="P31" s="24" t="str" cm="1">
        <f t="array" ref="P31">_xlfn.XLOOKUP(SelectedFile&amp;$F31,hosts_2[Source.Name]&amp;hosts_2[hostname],hosts_2[management_ip],"")</f>
        <v/>
      </c>
      <c r="Q31" s="7"/>
      <c r="R31" s="7"/>
      <c r="S31" s="7"/>
      <c r="T31" s="7"/>
      <c r="U31" s="7"/>
      <c r="V31" s="7"/>
      <c r="W31" s="7"/>
      <c r="X31" s="7"/>
    </row>
    <row r="32" spans="2:24" x14ac:dyDescent="0.25">
      <c r="B32" s="3" t="str">
        <f>("witness.netmask")</f>
        <v>witness.netmask</v>
      </c>
      <c r="C32" s="30" t="str">
        <f>_xlfn.XLOOKUP(SelectedFile,global[Source.Name],global[witness.netmask])</f>
        <v>255.255.255.0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7"/>
      <c r="R32" s="7"/>
      <c r="S32" s="7"/>
      <c r="T32" s="7"/>
      <c r="U32" s="7"/>
      <c r="V32" s="7"/>
      <c r="W32" s="7"/>
      <c r="X32" s="7"/>
    </row>
    <row r="33" spans="2:24" x14ac:dyDescent="0.25">
      <c r="B33" s="3" t="str">
        <f>("witness.username")</f>
        <v>witness.username</v>
      </c>
      <c r="C33" s="30" t="str">
        <f>_xlfn.XLOOKUP(SelectedFile,global[Source.Name],global[witness.username])</f>
        <v>witnessuser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"/>
      <c r="R33" s="7"/>
      <c r="S33" s="7"/>
      <c r="T33" s="7"/>
      <c r="U33" s="7"/>
      <c r="V33" s="7"/>
      <c r="W33" s="7"/>
      <c r="X33" s="7"/>
    </row>
    <row r="34" spans="2:24" x14ac:dyDescent="0.25">
      <c r="B34" s="3" t="str">
        <f>("witness.witness_ip")</f>
        <v>witness.witness_ip</v>
      </c>
      <c r="C34" s="30" t="str">
        <f>_xlfn.XLOOKUP(SelectedFile,global[Source.Name],global[witness.witness_ip])</f>
        <v>192.168.100.4</v>
      </c>
      <c r="F34" s="23"/>
      <c r="G34" s="24" t="str" cm="1">
        <f t="array" ref="G34">_xlfn.XLOOKUP(SelectedFile&amp;$F34,hosts_2[Source.Name]&amp;hosts_2[hostname],hosts_2[root.username],"")</f>
        <v/>
      </c>
      <c r="H34" s="24" t="str" cm="1">
        <f t="array" ref="H34">_xlfn.XLOOKUP(SelectedFile&amp;$F34,hosts_2[Source.Name]&amp;hosts_2[hostname],hosts_2[management.username],"")</f>
        <v/>
      </c>
      <c r="I34" s="24" t="str" cm="1">
        <f t="array" ref="I34">_xlfn.XLOOKUP(SelectedFile&amp;$F34,hosts_2[Source.Name]&amp;hosts_2[hostname],hosts_2[rack_name],"")</f>
        <v/>
      </c>
      <c r="J34" s="24" t="str" cm="1">
        <f t="array" ref="J34">_xlfn.XLOOKUP(SelectedFile&amp;$F34,hosts_2[Source.Name]&amp;hosts_2[hostname],hosts_2[position],"")</f>
        <v/>
      </c>
      <c r="K34" s="24" t="str" cm="1">
        <f t="array" ref="K34">_xlfn.XLOOKUP(SelectedFile&amp;$F34,hosts_2[Source.Name]&amp;hosts_2[hostname],hosts_2[host_psnt],"")</f>
        <v/>
      </c>
      <c r="L34" s="24" t="str" cm="1">
        <f t="array" ref="L34">_xlfn.XLOOKUP(SelectedFile&amp;$F34,hosts_2[Source.Name]&amp;hosts_2[hostname],hosts_2[MANAGEMENT],"")</f>
        <v/>
      </c>
      <c r="M34" s="24" t="str" cm="1">
        <f t="array" ref="M34">_xlfn.XLOOKUP(SelectedFile&amp;$F34,hosts_2[Source.Name]&amp;hosts_2[hostname],hosts_2[VSAN],"")</f>
        <v/>
      </c>
      <c r="N34" s="24" t="str" cm="1">
        <f t="array" ref="N34">_xlfn.XLOOKUP(SelectedFile&amp;$F34,hosts_2[Source.Name]&amp;hosts_2[hostname],hosts_2[VMOTION],"")</f>
        <v/>
      </c>
      <c r="O34" s="24" t="str" cm="1">
        <f t="array" ref="O34">_xlfn.XLOOKUP(SelectedFile&amp;$F34,hosts_2[Source.Name]&amp;hosts_2[hostname],hosts_2[WITNESS],"")</f>
        <v/>
      </c>
      <c r="P34" s="24" t="str" cm="1">
        <f t="array" ref="P34">_xlfn.XLOOKUP(SelectedFile&amp;$F34,hosts_2[Source.Name]&amp;hosts_2[hostname],hosts_2[management_ip],"")</f>
        <v/>
      </c>
      <c r="Q34" s="7"/>
      <c r="R34" s="7"/>
      <c r="S34" s="7"/>
      <c r="T34" s="7"/>
      <c r="U34" s="7"/>
      <c r="V34" s="7"/>
      <c r="W34" s="7"/>
      <c r="X34" s="7"/>
    </row>
    <row r="35" spans="2:24" x14ac:dyDescent="0.25">
      <c r="F35" s="23"/>
      <c r="G35" s="24" t="str" cm="1">
        <f t="array" ref="G35">_xlfn.XLOOKUP(SelectedFile&amp;$F35,hosts_2[Source.Name]&amp;hosts_2[hostname],hosts_2[root.username],"")</f>
        <v/>
      </c>
      <c r="H35" s="24" t="str" cm="1">
        <f t="array" ref="H35">_xlfn.XLOOKUP(SelectedFile&amp;$F35,hosts_2[Source.Name]&amp;hosts_2[hostname],hosts_2[management.username],"")</f>
        <v/>
      </c>
      <c r="I35" s="24" t="str" cm="1">
        <f t="array" ref="I35">_xlfn.XLOOKUP(SelectedFile&amp;$F35,hosts_2[Source.Name]&amp;hosts_2[hostname],hosts_2[rack_name],"")</f>
        <v/>
      </c>
      <c r="J35" s="24" t="str" cm="1">
        <f t="array" ref="J35">_xlfn.XLOOKUP(SelectedFile&amp;$F35,hosts_2[Source.Name]&amp;hosts_2[hostname],hosts_2[position],"")</f>
        <v/>
      </c>
      <c r="K35" s="24" t="str" cm="1">
        <f t="array" ref="K35">_xlfn.XLOOKUP(SelectedFile&amp;$F35,hosts_2[Source.Name]&amp;hosts_2[hostname],hosts_2[host_psnt],"")</f>
        <v/>
      </c>
      <c r="L35" s="24" t="str" cm="1">
        <f t="array" ref="L35">_xlfn.XLOOKUP(SelectedFile&amp;$F35,hosts_2[Source.Name]&amp;hosts_2[hostname],hosts_2[MANAGEMENT],"")</f>
        <v/>
      </c>
      <c r="M35" s="24" t="str" cm="1">
        <f t="array" ref="M35">_xlfn.XLOOKUP(SelectedFile&amp;$F35,hosts_2[Source.Name]&amp;hosts_2[hostname],hosts_2[VSAN],"")</f>
        <v/>
      </c>
      <c r="N35" s="24" t="str" cm="1">
        <f t="array" ref="N35">_xlfn.XLOOKUP(SelectedFile&amp;$F35,hosts_2[Source.Name]&amp;hosts_2[hostname],hosts_2[VMOTION],"")</f>
        <v/>
      </c>
      <c r="O35" s="24" t="str" cm="1">
        <f t="array" ref="O35">_xlfn.XLOOKUP(SelectedFile&amp;$F35,hosts_2[Source.Name]&amp;hosts_2[hostname],hosts_2[WITNESS],"")</f>
        <v/>
      </c>
      <c r="P35" s="24" t="str" cm="1">
        <f t="array" ref="P35">_xlfn.XLOOKUP(SelectedFile&amp;$F35,hosts_2[Source.Name]&amp;hosts_2[hostname],hosts_2[management_ip],"")</f>
        <v/>
      </c>
      <c r="Q35" s="7"/>
      <c r="R35" s="7"/>
      <c r="S35" s="7"/>
      <c r="T35" s="7"/>
      <c r="U35" s="7"/>
      <c r="V35" s="7"/>
      <c r="W35" s="7"/>
      <c r="X35" s="7"/>
    </row>
    <row r="36" spans="2:24" x14ac:dyDescent="0.25"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7"/>
      <c r="R36" s="7"/>
      <c r="S36" s="7"/>
      <c r="T36" s="7"/>
      <c r="U36" s="7"/>
      <c r="V36" s="7"/>
      <c r="W36" s="7"/>
      <c r="X36" s="7"/>
    </row>
    <row r="37" spans="2:24" x14ac:dyDescent="0.25">
      <c r="C37" s="37" t="str">
        <f>_xlfn.XLOOKUP(A2,KeywordList[Display],KeywordList[Search example])</f>
        <v>ex: EU-GER-BER-01-CL01</v>
      </c>
      <c r="F37" s="23"/>
      <c r="G37" s="24" t="str" cm="1">
        <f t="array" ref="G37">_xlfn.XLOOKUP(SelectedFile&amp;$F37,hosts_2[Source.Name]&amp;hosts_2[hostname],hosts_2[root.username],"")</f>
        <v/>
      </c>
      <c r="H37" s="24" t="str" cm="1">
        <f t="array" ref="H37">_xlfn.XLOOKUP(SelectedFile&amp;$F37,hosts_2[Source.Name]&amp;hosts_2[hostname],hosts_2[management.username],"")</f>
        <v/>
      </c>
      <c r="I37" s="24" t="s">
        <v>84</v>
      </c>
      <c r="J37" s="24" t="str" cm="1">
        <f t="array" ref="J37">_xlfn.XLOOKUP(SelectedFile&amp;$F37,hosts_2[Source.Name]&amp;hosts_2[hostname],hosts_2[position],"")</f>
        <v/>
      </c>
      <c r="K37" s="24" t="str" cm="1">
        <f t="array" ref="K37">_xlfn.XLOOKUP(SelectedFile&amp;$F37,hosts_2[Source.Name]&amp;hosts_2[hostname],hosts_2[host_psnt],"")</f>
        <v/>
      </c>
      <c r="L37" s="24" t="str" cm="1">
        <f t="array" ref="L37">_xlfn.XLOOKUP(SelectedFile&amp;$F37,hosts_2[Source.Name]&amp;hosts_2[hostname],hosts_2[MANAGEMENT],"")</f>
        <v/>
      </c>
      <c r="M37" s="24" t="str" cm="1">
        <f t="array" ref="M37">_xlfn.XLOOKUP(SelectedFile&amp;$F37,hosts_2[Source.Name]&amp;hosts_2[hostname],hosts_2[VSAN],"")</f>
        <v/>
      </c>
      <c r="N37" s="24" t="str" cm="1">
        <f t="array" ref="N37">_xlfn.XLOOKUP(SelectedFile&amp;$F37,hosts_2[Source.Name]&amp;hosts_2[hostname],hosts_2[VMOTION],"")</f>
        <v/>
      </c>
      <c r="O37" s="24" t="str" cm="1">
        <f t="array" ref="O37">_xlfn.XLOOKUP(SelectedFile&amp;$F37,hosts_2[Source.Name]&amp;hosts_2[hostname],hosts_2[WITNESS],"")</f>
        <v/>
      </c>
      <c r="P37" s="24" t="str" cm="1">
        <f t="array" ref="P37">_xlfn.XLOOKUP(SelectedFile&amp;$F37,hosts_2[Source.Name]&amp;hosts_2[hostname],hosts_2[management_ip],"")</f>
        <v/>
      </c>
      <c r="Q37" s="7"/>
      <c r="R37" s="7"/>
      <c r="S37" s="7"/>
      <c r="T37" s="7"/>
      <c r="U37" s="7"/>
      <c r="V37" s="7"/>
      <c r="W37" s="7"/>
      <c r="X37" s="7"/>
    </row>
    <row r="38" spans="2:24" ht="15" customHeight="1" x14ac:dyDescent="0.25">
      <c r="B38" s="40" t="s">
        <v>364</v>
      </c>
      <c r="C38" s="40"/>
      <c r="F38" s="23"/>
      <c r="G38" s="24" t="str" cm="1">
        <f t="array" ref="G38">_xlfn.XLOOKUP(SelectedFile&amp;$F38,hosts_2[Source.Name]&amp;hosts_2[hostname],hosts_2[root.username],"")</f>
        <v/>
      </c>
      <c r="H38" s="24" t="str" cm="1">
        <f t="array" ref="H38">_xlfn.XLOOKUP(SelectedFile&amp;$F38,hosts_2[Source.Name]&amp;hosts_2[hostname],hosts_2[management.username],"")</f>
        <v/>
      </c>
      <c r="I38" s="24" t="str" cm="1">
        <f t="array" ref="I38">_xlfn.XLOOKUP(SelectedFile&amp;$F38,hosts_2[Source.Name]&amp;hosts_2[hostname],hosts_2[rack_name],"")</f>
        <v/>
      </c>
      <c r="J38" s="24" t="str" cm="1">
        <f t="array" ref="J38">_xlfn.XLOOKUP(SelectedFile&amp;$F38,hosts_2[Source.Name]&amp;hosts_2[hostname],hosts_2[position],"")</f>
        <v/>
      </c>
      <c r="K38" s="24" t="str" cm="1">
        <f t="array" ref="K38">_xlfn.XLOOKUP(SelectedFile&amp;$F38,hosts_2[Source.Name]&amp;hosts_2[hostname],hosts_2[host_psnt],"")</f>
        <v/>
      </c>
      <c r="L38" s="24" t="str" cm="1">
        <f t="array" ref="L38">_xlfn.XLOOKUP(SelectedFile&amp;$F38,hosts_2[Source.Name]&amp;hosts_2[hostname],hosts_2[MANAGEMENT],"")</f>
        <v/>
      </c>
      <c r="M38" s="24" t="str" cm="1">
        <f t="array" ref="M38">_xlfn.XLOOKUP(SelectedFile&amp;$F38,hosts_2[Source.Name]&amp;hosts_2[hostname],hosts_2[VSAN],"")</f>
        <v/>
      </c>
      <c r="N38" s="24" t="str" cm="1">
        <f t="array" ref="N38">_xlfn.XLOOKUP(SelectedFile&amp;$F38,hosts_2[Source.Name]&amp;hosts_2[hostname],hosts_2[VMOTION],"")</f>
        <v/>
      </c>
      <c r="O38" s="24" t="str" cm="1">
        <f t="array" ref="O38">_xlfn.XLOOKUP(SelectedFile&amp;$F38,hosts_2[Source.Name]&amp;hosts_2[hostname],hosts_2[WITNESS],"")</f>
        <v/>
      </c>
      <c r="P38" s="24" t="str" cm="1">
        <f t="array" ref="P38">_xlfn.XLOOKUP(SelectedFile&amp;$F38,hosts_2[Source.Name]&amp;hosts_2[hostname],hosts_2[management_ip],"")</f>
        <v/>
      </c>
      <c r="Q38" s="7"/>
      <c r="R38" s="7"/>
      <c r="S38" s="7"/>
      <c r="T38" s="7"/>
      <c r="U38" s="7"/>
      <c r="V38" s="7"/>
      <c r="W38" s="7"/>
      <c r="X38" s="7"/>
    </row>
    <row r="39" spans="2:24" x14ac:dyDescent="0.25">
      <c r="B39" s="21" t="str" cm="1">
        <f t="array" ref="B39:B46">_xlfn._xlws.FILTER(searchtable[Source.Name],ISNUMBER(SEARCH(A4,searchtable[Global Search])),"No Results")</f>
        <v>starter-2N-exisitng-vds.json</v>
      </c>
      <c r="F39" s="23"/>
      <c r="G39" s="24" t="str" cm="1">
        <f t="array" ref="G39">_xlfn.XLOOKUP(SelectedFile&amp;$F39,hosts_2[Source.Name]&amp;hosts_2[hostname],hosts_2[root.username],"")</f>
        <v/>
      </c>
      <c r="H39" s="24" t="str" cm="1">
        <f t="array" ref="H39">_xlfn.XLOOKUP(SelectedFile&amp;$F39,hosts_2[Source.Name]&amp;hosts_2[hostname],hosts_2[management.username],"")</f>
        <v/>
      </c>
      <c r="I39" s="24" t="str" cm="1">
        <f t="array" ref="I39">_xlfn.XLOOKUP(SelectedFile&amp;$F39,hosts_2[Source.Name]&amp;hosts_2[hostname],hosts_2[rack_name],"")</f>
        <v/>
      </c>
      <c r="J39" s="24" t="str" cm="1">
        <f t="array" ref="J39">_xlfn.XLOOKUP(SelectedFile&amp;$F39,hosts_2[Source.Name]&amp;hosts_2[hostname],hosts_2[position],"")</f>
        <v/>
      </c>
      <c r="K39" s="24" t="str" cm="1">
        <f t="array" ref="K39">_xlfn.XLOOKUP(SelectedFile&amp;$F39,hosts_2[Source.Name]&amp;hosts_2[hostname],hosts_2[host_psnt],"")</f>
        <v/>
      </c>
      <c r="L39" s="24" t="str" cm="1">
        <f t="array" ref="L39">_xlfn.XLOOKUP(SelectedFile&amp;$F39,hosts_2[Source.Name]&amp;hosts_2[hostname],hosts_2[MANAGEMENT],"")</f>
        <v/>
      </c>
      <c r="M39" s="24" t="str" cm="1">
        <f t="array" ref="M39">_xlfn.XLOOKUP(SelectedFile&amp;$F39,hosts_2[Source.Name]&amp;hosts_2[hostname],hosts_2[VSAN],"")</f>
        <v/>
      </c>
      <c r="N39" s="24" t="str" cm="1">
        <f t="array" ref="N39">_xlfn.XLOOKUP(SelectedFile&amp;$F39,hosts_2[Source.Name]&amp;hosts_2[hostname],hosts_2[VMOTION],"")</f>
        <v/>
      </c>
      <c r="O39" s="24" t="str" cm="1">
        <f t="array" ref="O39">_xlfn.XLOOKUP(SelectedFile&amp;$F39,hosts_2[Source.Name]&amp;hosts_2[hostname],hosts_2[WITNESS],"")</f>
        <v/>
      </c>
      <c r="P39" s="24" t="str" cm="1">
        <f t="array" ref="P39">_xlfn.XLOOKUP(SelectedFile&amp;$F39,hosts_2[Source.Name]&amp;hosts_2[hostname],hosts_2[management_ip],"")</f>
        <v/>
      </c>
      <c r="Q39" s="7"/>
      <c r="R39" s="7"/>
      <c r="S39" s="7"/>
      <c r="T39" s="7"/>
      <c r="U39" s="7"/>
      <c r="V39" s="7"/>
      <c r="W39" s="7"/>
      <c r="X39" s="7"/>
    </row>
    <row r="40" spans="2:24" x14ac:dyDescent="0.25">
      <c r="B40" s="21" t="str">
        <v>starter-2N-novds.json</v>
      </c>
      <c r="F40" s="23"/>
      <c r="G40" s="24" t="str" cm="1">
        <f t="array" ref="G40">_xlfn.XLOOKUP(SelectedFile&amp;$F40,hosts_2[Source.Name]&amp;hosts_2[hostname],hosts_2[root.username],"")</f>
        <v/>
      </c>
      <c r="H40" s="24" t="str" cm="1">
        <f t="array" ref="H40">_xlfn.XLOOKUP(SelectedFile&amp;$F40,hosts_2[Source.Name]&amp;hosts_2[hostname],hosts_2[management.username],"")</f>
        <v/>
      </c>
      <c r="I40" s="24" t="str" cm="1">
        <f t="array" ref="I40">_xlfn.XLOOKUP(SelectedFile&amp;$F40,hosts_2[Source.Name]&amp;hosts_2[hostname],hosts_2[rack_name],"")</f>
        <v/>
      </c>
      <c r="J40" s="24" t="str" cm="1">
        <f t="array" ref="J40">_xlfn.XLOOKUP(SelectedFile&amp;$F40,hosts_2[Source.Name]&amp;hosts_2[hostname],hosts_2[position],"")</f>
        <v/>
      </c>
      <c r="K40" s="24" t="str" cm="1">
        <f t="array" ref="K40">_xlfn.XLOOKUP(SelectedFile&amp;$F40,hosts_2[Source.Name]&amp;hosts_2[hostname],hosts_2[host_psnt],"")</f>
        <v/>
      </c>
      <c r="L40" s="24" t="str" cm="1">
        <f t="array" ref="L40">_xlfn.XLOOKUP(SelectedFile&amp;$F40,hosts_2[Source.Name]&amp;hosts_2[hostname],hosts_2[MANAGEMENT],"")</f>
        <v/>
      </c>
      <c r="M40" s="24" t="str" cm="1">
        <f t="array" ref="M40">_xlfn.XLOOKUP(SelectedFile&amp;$F40,hosts_2[Source.Name]&amp;hosts_2[hostname],hosts_2[VSAN],"")</f>
        <v/>
      </c>
      <c r="N40" s="24" t="str" cm="1">
        <f t="array" ref="N40">_xlfn.XLOOKUP(SelectedFile&amp;$F40,hosts_2[Source.Name]&amp;hosts_2[hostname],hosts_2[VMOTION],"")</f>
        <v/>
      </c>
      <c r="O40" s="24" t="str" cm="1">
        <f t="array" ref="O40">_xlfn.XLOOKUP(SelectedFile&amp;$F40,hosts_2[Source.Name]&amp;hosts_2[hostname],hosts_2[WITNESS],"")</f>
        <v/>
      </c>
      <c r="P40" s="24" t="str" cm="1">
        <f t="array" ref="P40">_xlfn.XLOOKUP(SelectedFile&amp;$F40,hosts_2[Source.Name]&amp;hosts_2[hostname],hosts_2[management_ip],"")</f>
        <v/>
      </c>
      <c r="Q40" s="7"/>
      <c r="R40" s="7"/>
      <c r="S40" s="7"/>
      <c r="T40" s="7"/>
      <c r="U40" s="7"/>
      <c r="V40" s="7"/>
      <c r="W40" s="7"/>
      <c r="X40" s="7"/>
    </row>
    <row r="41" spans="2:24" x14ac:dyDescent="0.25">
      <c r="B41" s="21" t="str">
        <v>starter-6nodes.json</v>
      </c>
      <c r="F41" s="23"/>
      <c r="G41" s="24" t="str" cm="1">
        <f t="array" ref="G41">_xlfn.XLOOKUP(SelectedFile&amp;$F41,hosts_2[Source.Name]&amp;hosts_2[hostname],hosts_2[root.username],"")</f>
        <v/>
      </c>
      <c r="H41" s="24" t="str" cm="1">
        <f t="array" ref="H41">_xlfn.XLOOKUP(SelectedFile&amp;$F41,hosts_2[Source.Name]&amp;hosts_2[hostname],hosts_2[management.username],"")</f>
        <v/>
      </c>
      <c r="I41" s="24" t="str" cm="1">
        <f t="array" ref="I41">_xlfn.XLOOKUP(SelectedFile&amp;$F41,hosts_2[Source.Name]&amp;hosts_2[hostname],hosts_2[rack_name],"")</f>
        <v/>
      </c>
      <c r="J41" s="24" t="str" cm="1">
        <f t="array" ref="J41">_xlfn.XLOOKUP(SelectedFile&amp;$F41,hosts_2[Source.Name]&amp;hosts_2[hostname],hosts_2[position],"")</f>
        <v/>
      </c>
      <c r="K41" s="24" t="str" cm="1">
        <f t="array" ref="K41">_xlfn.XLOOKUP(SelectedFile&amp;$F41,hosts_2[Source.Name]&amp;hosts_2[hostname],hosts_2[host_psnt],"")</f>
        <v/>
      </c>
      <c r="L41" s="24" t="str" cm="1">
        <f t="array" ref="L41">_xlfn.XLOOKUP(SelectedFile&amp;$F41,hosts_2[Source.Name]&amp;hosts_2[hostname],hosts_2[MANAGEMENT],"")</f>
        <v/>
      </c>
      <c r="M41" s="24" t="str" cm="1">
        <f t="array" ref="M41">_xlfn.XLOOKUP(SelectedFile&amp;$F41,hosts_2[Source.Name]&amp;hosts_2[hostname],hosts_2[VSAN],"")</f>
        <v/>
      </c>
      <c r="N41" s="24" t="str" cm="1">
        <f t="array" ref="N41">_xlfn.XLOOKUP(SelectedFile&amp;$F41,hosts_2[Source.Name]&amp;hosts_2[hostname],hosts_2[VMOTION],"")</f>
        <v/>
      </c>
      <c r="O41" s="24" t="str" cm="1">
        <f t="array" ref="O41">_xlfn.XLOOKUP(SelectedFile&amp;$F41,hosts_2[Source.Name]&amp;hosts_2[hostname],hosts_2[WITNESS],"")</f>
        <v/>
      </c>
      <c r="P41" s="24" t="str" cm="1">
        <f t="array" ref="P41">_xlfn.XLOOKUP(SelectedFile&amp;$F41,hosts_2[Source.Name]&amp;hosts_2[hostname],hosts_2[management_ip],"")</f>
        <v/>
      </c>
      <c r="Q41" s="7"/>
      <c r="R41" s="7"/>
      <c r="S41" s="7"/>
      <c r="T41" s="7"/>
      <c r="U41" s="7"/>
      <c r="V41" s="7"/>
      <c r="W41" s="7"/>
      <c r="X41" s="7"/>
    </row>
    <row r="42" spans="2:24" x14ac:dyDescent="0.25">
      <c r="B42" s="21" t="str">
        <v>starter-7.0.100-2.json</v>
      </c>
      <c r="F42" s="23"/>
      <c r="G42" s="24" t="str" cm="1">
        <f t="array" ref="G42">_xlfn.XLOOKUP(SelectedFile&amp;$F42,hosts_2[Source.Name]&amp;hosts_2[hostname],hosts_2[root.username],"")</f>
        <v/>
      </c>
      <c r="H42" s="24" t="str" cm="1">
        <f t="array" ref="H42">_xlfn.XLOOKUP(SelectedFile&amp;$F42,hosts_2[Source.Name]&amp;hosts_2[hostname],hosts_2[management.username],"")</f>
        <v/>
      </c>
      <c r="I42" s="24" t="str" cm="1">
        <f t="array" ref="I42">_xlfn.XLOOKUP(SelectedFile&amp;$F42,hosts_2[Source.Name]&amp;hosts_2[hostname],hosts_2[rack_name],"")</f>
        <v/>
      </c>
      <c r="J42" s="24" t="str" cm="1">
        <f t="array" ref="J42">_xlfn.XLOOKUP(SelectedFile&amp;$F42,hosts_2[Source.Name]&amp;hosts_2[hostname],hosts_2[position],"")</f>
        <v/>
      </c>
      <c r="K42" s="24" t="str" cm="1">
        <f t="array" ref="K42">_xlfn.XLOOKUP(SelectedFile&amp;$F42,hosts_2[Source.Name]&amp;hosts_2[hostname],hosts_2[host_psnt],"")</f>
        <v/>
      </c>
      <c r="L42" s="24" t="str" cm="1">
        <f t="array" ref="L42">_xlfn.XLOOKUP(SelectedFile&amp;$F42,hosts_2[Source.Name]&amp;hosts_2[hostname],hosts_2[MANAGEMENT],"")</f>
        <v/>
      </c>
      <c r="M42" s="24" t="str" cm="1">
        <f t="array" ref="M42">_xlfn.XLOOKUP(SelectedFile&amp;$F42,hosts_2[Source.Name]&amp;hosts_2[hostname],hosts_2[VSAN],"")</f>
        <v/>
      </c>
      <c r="N42" s="24" t="str" cm="1">
        <f t="array" ref="N42">_xlfn.XLOOKUP(SelectedFile&amp;$F42,hosts_2[Source.Name]&amp;hosts_2[hostname],hosts_2[VMOTION],"")</f>
        <v/>
      </c>
      <c r="O42" s="24" t="str" cm="1">
        <f t="array" ref="O42">_xlfn.XLOOKUP(SelectedFile&amp;$F42,hosts_2[Source.Name]&amp;hosts_2[hostname],hosts_2[WITNESS],"")</f>
        <v/>
      </c>
      <c r="P42" s="24" t="str" cm="1">
        <f t="array" ref="P42">_xlfn.XLOOKUP(SelectedFile&amp;$F42,hosts_2[Source.Name]&amp;hosts_2[hostname],hosts_2[management_ip],"")</f>
        <v/>
      </c>
      <c r="Q42" s="7"/>
      <c r="R42" s="7"/>
      <c r="S42" s="7"/>
      <c r="T42" s="7"/>
      <c r="U42" s="7"/>
      <c r="V42" s="7"/>
      <c r="W42" s="7"/>
      <c r="X42" s="7"/>
    </row>
    <row r="43" spans="2:24" x14ac:dyDescent="0.25">
      <c r="B43" s="21" t="str">
        <v>starter-7.0.210.json</v>
      </c>
      <c r="F43" s="23"/>
      <c r="G43" s="24" t="str" cm="1">
        <f t="array" ref="G43">_xlfn.XLOOKUP(SelectedFile&amp;$F43,hosts_2[Source.Name]&amp;hosts_2[hostname],hosts_2[root.username],"")</f>
        <v/>
      </c>
      <c r="H43" s="24" t="str" cm="1">
        <f t="array" ref="H43">_xlfn.XLOOKUP(SelectedFile&amp;$F43,hosts_2[Source.Name]&amp;hosts_2[hostname],hosts_2[management.username],"")</f>
        <v/>
      </c>
      <c r="I43" s="24" t="str" cm="1">
        <f t="array" ref="I43">_xlfn.XLOOKUP(SelectedFile&amp;$F43,hosts_2[Source.Name]&amp;hosts_2[hostname],hosts_2[rack_name],"")</f>
        <v/>
      </c>
      <c r="J43" s="24" t="str" cm="1">
        <f t="array" ref="J43">_xlfn.XLOOKUP(SelectedFile&amp;$F43,hosts_2[Source.Name]&amp;hosts_2[hostname],hosts_2[position],"")</f>
        <v/>
      </c>
      <c r="K43" s="24" t="str" cm="1">
        <f t="array" ref="K43">_xlfn.XLOOKUP(SelectedFile&amp;$F43,hosts_2[Source.Name]&amp;hosts_2[hostname],hosts_2[host_psnt],"")</f>
        <v/>
      </c>
      <c r="L43" s="24" t="str" cm="1">
        <f t="array" ref="L43">_xlfn.XLOOKUP(SelectedFile&amp;$F43,hosts_2[Source.Name]&amp;hosts_2[hostname],hosts_2[MANAGEMENT],"")</f>
        <v/>
      </c>
      <c r="M43" s="24" t="str" cm="1">
        <f t="array" ref="M43">_xlfn.XLOOKUP(SelectedFile&amp;$F43,hosts_2[Source.Name]&amp;hosts_2[hostname],hosts_2[VSAN],"")</f>
        <v/>
      </c>
      <c r="N43" s="24" t="str" cm="1">
        <f t="array" ref="N43">_xlfn.XLOOKUP(SelectedFile&amp;$F43,hosts_2[Source.Name]&amp;hosts_2[hostname],hosts_2[VMOTION],"")</f>
        <v/>
      </c>
      <c r="O43" s="24" t="str" cm="1">
        <f t="array" ref="O43">_xlfn.XLOOKUP(SelectedFile&amp;$F43,hosts_2[Source.Name]&amp;hosts_2[hostname],hosts_2[WITNESS],"")</f>
        <v/>
      </c>
      <c r="P43" s="24" t="str" cm="1">
        <f t="array" ref="P43">_xlfn.XLOOKUP(SelectedFile&amp;$F43,hosts_2[Source.Name]&amp;hosts_2[hostname],hosts_2[management_ip],"")</f>
        <v/>
      </c>
      <c r="Q43" s="7"/>
      <c r="R43" s="7"/>
      <c r="S43" s="7"/>
      <c r="T43" s="7"/>
      <c r="U43" s="7"/>
      <c r="V43" s="7"/>
      <c r="W43" s="7"/>
      <c r="X43" s="7"/>
    </row>
    <row r="44" spans="2:24" x14ac:dyDescent="0.25">
      <c r="B44" s="21" t="str">
        <v>starter-sfstest.json</v>
      </c>
      <c r="F44" s="23"/>
      <c r="G44" s="24" t="str" cm="1">
        <f t="array" ref="G44">_xlfn.XLOOKUP(SelectedFile&amp;$F44,hosts_2[Source.Name]&amp;hosts_2[hostname],hosts_2[root.username],"")</f>
        <v/>
      </c>
      <c r="H44" s="24" t="str" cm="1">
        <f t="array" ref="H44">_xlfn.XLOOKUP(SelectedFile&amp;$F44,hosts_2[Source.Name]&amp;hosts_2[hostname],hosts_2[management.username],"")</f>
        <v/>
      </c>
      <c r="I44" s="24" t="str" cm="1">
        <f t="array" ref="I44">_xlfn.XLOOKUP(SelectedFile&amp;$F44,hosts_2[Source.Name]&amp;hosts_2[hostname],hosts_2[rack_name],"")</f>
        <v/>
      </c>
      <c r="J44" s="24" t="str" cm="1">
        <f t="array" ref="J44">_xlfn.XLOOKUP(SelectedFile&amp;$F44,hosts_2[Source.Name]&amp;hosts_2[hostname],hosts_2[position],"")</f>
        <v/>
      </c>
      <c r="K44" s="24" t="str" cm="1">
        <f t="array" ref="K44">_xlfn.XLOOKUP(SelectedFile&amp;$F44,hosts_2[Source.Name]&amp;hosts_2[hostname],hosts_2[host_psnt],"")</f>
        <v/>
      </c>
      <c r="L44" s="24" t="str" cm="1">
        <f t="array" ref="L44">_xlfn.XLOOKUP(SelectedFile&amp;$F44,hosts_2[Source.Name]&amp;hosts_2[hostname],hosts_2[MANAGEMENT],"")</f>
        <v/>
      </c>
      <c r="M44" s="24" t="str" cm="1">
        <f t="array" ref="M44">_xlfn.XLOOKUP(SelectedFile&amp;$F44,hosts_2[Source.Name]&amp;hosts_2[hostname],hosts_2[VSAN],"")</f>
        <v/>
      </c>
      <c r="N44" s="24" t="str" cm="1">
        <f t="array" ref="N44">_xlfn.XLOOKUP(SelectedFile&amp;$F44,hosts_2[Source.Name]&amp;hosts_2[hostname],hosts_2[VMOTION],"")</f>
        <v/>
      </c>
      <c r="O44" s="24" t="str" cm="1">
        <f t="array" ref="O44">_xlfn.XLOOKUP(SelectedFile&amp;$F44,hosts_2[Source.Name]&amp;hosts_2[hostname],hosts_2[WITNESS],"")</f>
        <v/>
      </c>
      <c r="P44" s="24" t="str" cm="1">
        <f t="array" ref="P44">_xlfn.XLOOKUP(SelectedFile&amp;$F44,hosts_2[Source.Name]&amp;hosts_2[hostname],hosts_2[management_ip],"")</f>
        <v/>
      </c>
      <c r="Q44" s="7"/>
      <c r="R44" s="7"/>
      <c r="S44" s="7"/>
      <c r="T44" s="7"/>
      <c r="U44" s="7"/>
      <c r="V44" s="7"/>
      <c r="W44" s="7"/>
      <c r="X44" s="7"/>
    </row>
    <row r="45" spans="2:24" x14ac:dyDescent="0.25">
      <c r="B45" s="21" t="str">
        <v>starter.7.0.010.json</v>
      </c>
      <c r="F45" s="23"/>
      <c r="G45" s="24" t="str" cm="1">
        <f t="array" ref="G45">_xlfn.XLOOKUP(SelectedFile&amp;$F45,hosts_2[Source.Name]&amp;hosts_2[hostname],hosts_2[root.username],"")</f>
        <v/>
      </c>
      <c r="H45" s="24" t="str" cm="1">
        <f t="array" ref="H45">_xlfn.XLOOKUP(SelectedFile&amp;$F45,hosts_2[Source.Name]&amp;hosts_2[hostname],hosts_2[management.username],"")</f>
        <v/>
      </c>
      <c r="I45" s="24" t="str" cm="1">
        <f t="array" ref="I45">_xlfn.XLOOKUP(SelectedFile&amp;$F45,hosts_2[Source.Name]&amp;hosts_2[hostname],hosts_2[rack_name],"")</f>
        <v/>
      </c>
      <c r="J45" s="24" t="str" cm="1">
        <f t="array" ref="J45">_xlfn.XLOOKUP(SelectedFile&amp;$F45,hosts_2[Source.Name]&amp;hosts_2[hostname],hosts_2[position],"")</f>
        <v/>
      </c>
      <c r="K45" s="24" t="str" cm="1">
        <f t="array" ref="K45">_xlfn.XLOOKUP(SelectedFile&amp;$F45,hosts_2[Source.Name]&amp;hosts_2[hostname],hosts_2[host_psnt],"")</f>
        <v/>
      </c>
      <c r="L45" s="24" t="str" cm="1">
        <f t="array" ref="L45">_xlfn.XLOOKUP(SelectedFile&amp;$F45,hosts_2[Source.Name]&amp;hosts_2[hostname],hosts_2[MANAGEMENT],"")</f>
        <v/>
      </c>
      <c r="M45" s="24" t="str" cm="1">
        <f t="array" ref="M45">_xlfn.XLOOKUP(SelectedFile&amp;$F45,hosts_2[Source.Name]&amp;hosts_2[hostname],hosts_2[VSAN],"")</f>
        <v/>
      </c>
      <c r="N45" s="24" t="str" cm="1">
        <f t="array" ref="N45">_xlfn.XLOOKUP(SelectedFile&amp;$F45,hosts_2[Source.Name]&amp;hosts_2[hostname],hosts_2[VMOTION],"")</f>
        <v/>
      </c>
      <c r="O45" s="24" t="str" cm="1">
        <f t="array" ref="O45">_xlfn.XLOOKUP(SelectedFile&amp;$F45,hosts_2[Source.Name]&amp;hosts_2[hostname],hosts_2[WITNESS],"")</f>
        <v/>
      </c>
      <c r="P45" s="24" t="str" cm="1">
        <f t="array" ref="P45">_xlfn.XLOOKUP(SelectedFile&amp;$F45,hosts_2[Source.Name]&amp;hosts_2[hostname],hosts_2[management_ip],"")</f>
        <v/>
      </c>
      <c r="Q45" s="7"/>
      <c r="R45" s="7"/>
      <c r="S45" s="7"/>
      <c r="T45" s="7"/>
      <c r="U45" s="7"/>
      <c r="V45" s="7"/>
      <c r="W45" s="7"/>
      <c r="X45" s="7"/>
    </row>
    <row r="46" spans="2:24" x14ac:dyDescent="0.25">
      <c r="B46" s="21" t="str">
        <v>starter7.0.100-1.json</v>
      </c>
      <c r="F46" s="23"/>
      <c r="G46" s="24" t="str" cm="1">
        <f t="array" ref="G46">_xlfn.XLOOKUP(SelectedFile&amp;$F46,hosts_2[Source.Name]&amp;hosts_2[hostname],hosts_2[root.username],"")</f>
        <v/>
      </c>
      <c r="H46" s="24" t="str" cm="1">
        <f t="array" ref="H46">_xlfn.XLOOKUP(SelectedFile&amp;$F46,hosts_2[Source.Name]&amp;hosts_2[hostname],hosts_2[management.username],"")</f>
        <v/>
      </c>
      <c r="I46" s="24" t="str" cm="1">
        <f t="array" ref="I46">_xlfn.XLOOKUP(SelectedFile&amp;$F46,hosts_2[Source.Name]&amp;hosts_2[hostname],hosts_2[rack_name],"")</f>
        <v/>
      </c>
      <c r="J46" s="24" t="str" cm="1">
        <f t="array" ref="J46">_xlfn.XLOOKUP(SelectedFile&amp;$F46,hosts_2[Source.Name]&amp;hosts_2[hostname],hosts_2[position],"")</f>
        <v/>
      </c>
      <c r="K46" s="24" t="str" cm="1">
        <f t="array" ref="K46">_xlfn.XLOOKUP(SelectedFile&amp;$F46,hosts_2[Source.Name]&amp;hosts_2[hostname],hosts_2[host_psnt],"")</f>
        <v/>
      </c>
      <c r="L46" s="24" t="str" cm="1">
        <f t="array" ref="L46">_xlfn.XLOOKUP(SelectedFile&amp;$F46,hosts_2[Source.Name]&amp;hosts_2[hostname],hosts_2[MANAGEMENT],"")</f>
        <v/>
      </c>
      <c r="M46" s="24" t="str" cm="1">
        <f t="array" ref="M46">_xlfn.XLOOKUP(SelectedFile&amp;$F46,hosts_2[Source.Name]&amp;hosts_2[hostname],hosts_2[VSAN],"")</f>
        <v/>
      </c>
      <c r="N46" s="24" t="str" cm="1">
        <f t="array" ref="N46">_xlfn.XLOOKUP(SelectedFile&amp;$F46,hosts_2[Source.Name]&amp;hosts_2[hostname],hosts_2[VMOTION],"")</f>
        <v/>
      </c>
      <c r="O46" s="24" t="str" cm="1">
        <f t="array" ref="O46">_xlfn.XLOOKUP(SelectedFile&amp;$F46,hosts_2[Source.Name]&amp;hosts_2[hostname],hosts_2[WITNESS],"")</f>
        <v/>
      </c>
      <c r="P46" s="24" t="str" cm="1">
        <f t="array" ref="P46">_xlfn.XLOOKUP(SelectedFile&amp;$F46,hosts_2[Source.Name]&amp;hosts_2[hostname],hosts_2[management_ip],"")</f>
        <v/>
      </c>
      <c r="Q46" s="7"/>
      <c r="R46" s="7"/>
      <c r="S46" s="7"/>
      <c r="T46" s="7"/>
      <c r="U46" s="7"/>
      <c r="V46" s="7"/>
      <c r="W46" s="7"/>
      <c r="X46" s="7"/>
    </row>
    <row r="47" spans="2:24" x14ac:dyDescent="0.25">
      <c r="B47" s="21"/>
      <c r="F47" s="23"/>
      <c r="G47" s="24" t="str" cm="1">
        <f t="array" ref="G47">_xlfn.XLOOKUP(SelectedFile&amp;$F47,hosts_2[Source.Name]&amp;hosts_2[hostname],hosts_2[root.username],"")</f>
        <v/>
      </c>
      <c r="H47" s="24" t="str" cm="1">
        <f t="array" ref="H47">_xlfn.XLOOKUP(SelectedFile&amp;$F47,hosts_2[Source.Name]&amp;hosts_2[hostname],hosts_2[management.username],"")</f>
        <v/>
      </c>
      <c r="I47" s="24" t="str" cm="1">
        <f t="array" ref="I47">_xlfn.XLOOKUP(SelectedFile&amp;$F47,hosts_2[Source.Name]&amp;hosts_2[hostname],hosts_2[rack_name],"")</f>
        <v/>
      </c>
      <c r="J47" s="24" t="str" cm="1">
        <f t="array" ref="J47">_xlfn.XLOOKUP(SelectedFile&amp;$F47,hosts_2[Source.Name]&amp;hosts_2[hostname],hosts_2[position],"")</f>
        <v/>
      </c>
      <c r="K47" s="24" t="str" cm="1">
        <f t="array" ref="K47">_xlfn.XLOOKUP(SelectedFile&amp;$F47,hosts_2[Source.Name]&amp;hosts_2[hostname],hosts_2[host_psnt],"")</f>
        <v/>
      </c>
      <c r="L47" s="24" t="str" cm="1">
        <f t="array" ref="L47">_xlfn.XLOOKUP(SelectedFile&amp;$F47,hosts_2[Source.Name]&amp;hosts_2[hostname],hosts_2[MANAGEMENT],"")</f>
        <v/>
      </c>
      <c r="M47" s="24" t="str" cm="1">
        <f t="array" ref="M47">_xlfn.XLOOKUP(SelectedFile&amp;$F47,hosts_2[Source.Name]&amp;hosts_2[hostname],hosts_2[VSAN],"")</f>
        <v/>
      </c>
      <c r="N47" s="24" t="str" cm="1">
        <f t="array" ref="N47">_xlfn.XLOOKUP(SelectedFile&amp;$F47,hosts_2[Source.Name]&amp;hosts_2[hostname],hosts_2[VMOTION],"")</f>
        <v/>
      </c>
      <c r="O47" s="24" t="str" cm="1">
        <f t="array" ref="O47">_xlfn.XLOOKUP(SelectedFile&amp;$F47,hosts_2[Source.Name]&amp;hosts_2[hostname],hosts_2[WITNESS],"")</f>
        <v/>
      </c>
      <c r="P47" s="24" t="str" cm="1">
        <f t="array" ref="P47">_xlfn.XLOOKUP(SelectedFile&amp;$F47,hosts_2[Source.Name]&amp;hosts_2[hostname],hosts_2[management_ip],"")</f>
        <v/>
      </c>
      <c r="Q47" s="7"/>
      <c r="R47" s="7"/>
      <c r="S47" s="7"/>
      <c r="T47" s="7"/>
      <c r="U47" s="7"/>
      <c r="V47" s="7"/>
      <c r="W47" s="7"/>
      <c r="X47" s="7"/>
    </row>
    <row r="48" spans="2:24" x14ac:dyDescent="0.25">
      <c r="B48" s="21"/>
      <c r="F48" s="23"/>
      <c r="G48" s="24" t="str" cm="1">
        <f t="array" ref="G48">_xlfn.XLOOKUP(SelectedFile&amp;$F48,hosts_2[Source.Name]&amp;hosts_2[hostname],hosts_2[root.username],"")</f>
        <v/>
      </c>
      <c r="H48" s="24" t="str" cm="1">
        <f t="array" ref="H48">_xlfn.XLOOKUP(SelectedFile&amp;$F48,hosts_2[Source.Name]&amp;hosts_2[hostname],hosts_2[management.username],"")</f>
        <v/>
      </c>
      <c r="I48" s="24" t="str" cm="1">
        <f t="array" ref="I48">_xlfn.XLOOKUP(SelectedFile&amp;$F48,hosts_2[Source.Name]&amp;hosts_2[hostname],hosts_2[rack_name],"")</f>
        <v/>
      </c>
      <c r="J48" s="24" t="str" cm="1">
        <f t="array" ref="J48">_xlfn.XLOOKUP(SelectedFile&amp;$F48,hosts_2[Source.Name]&amp;hosts_2[hostname],hosts_2[position],"")</f>
        <v/>
      </c>
      <c r="K48" s="24" t="str" cm="1">
        <f t="array" ref="K48">_xlfn.XLOOKUP(SelectedFile&amp;$F48,hosts_2[Source.Name]&amp;hosts_2[hostname],hosts_2[host_psnt],"")</f>
        <v/>
      </c>
      <c r="L48" s="24" t="str" cm="1">
        <f t="array" ref="L48">_xlfn.XLOOKUP(SelectedFile&amp;$F48,hosts_2[Source.Name]&amp;hosts_2[hostname],hosts_2[MANAGEMENT],"")</f>
        <v/>
      </c>
      <c r="M48" s="24" t="str" cm="1">
        <f t="array" ref="M48">_xlfn.XLOOKUP(SelectedFile&amp;$F48,hosts_2[Source.Name]&amp;hosts_2[hostname],hosts_2[VSAN],"")</f>
        <v/>
      </c>
      <c r="N48" s="24" t="str" cm="1">
        <f t="array" ref="N48">_xlfn.XLOOKUP(SelectedFile&amp;$F48,hosts_2[Source.Name]&amp;hosts_2[hostname],hosts_2[VMOTION],"")</f>
        <v/>
      </c>
      <c r="O48" s="24" t="str" cm="1">
        <f t="array" ref="O48">_xlfn.XLOOKUP(SelectedFile&amp;$F48,hosts_2[Source.Name]&amp;hosts_2[hostname],hosts_2[WITNESS],"")</f>
        <v/>
      </c>
      <c r="P48" s="24" t="str" cm="1">
        <f t="array" ref="P48">_xlfn.XLOOKUP(SelectedFile&amp;$F48,hosts_2[Source.Name]&amp;hosts_2[hostname],hosts_2[management_ip],"")</f>
        <v/>
      </c>
      <c r="Q48" s="7"/>
      <c r="R48" s="7"/>
      <c r="S48" s="7"/>
      <c r="T48" s="7"/>
      <c r="U48" s="7"/>
      <c r="V48" s="7"/>
      <c r="W48" s="7"/>
      <c r="X48" s="7"/>
    </row>
    <row r="49" spans="2:24" x14ac:dyDescent="0.25">
      <c r="B49" s="21"/>
      <c r="F49" s="23"/>
      <c r="G49" s="24" t="str" cm="1">
        <f t="array" ref="G49">_xlfn.XLOOKUP(SelectedFile&amp;$F49,hosts_2[Source.Name]&amp;hosts_2[hostname],hosts_2[root.username],"")</f>
        <v/>
      </c>
      <c r="H49" s="24" t="str" cm="1">
        <f t="array" ref="H49">_xlfn.XLOOKUP(SelectedFile&amp;$F49,hosts_2[Source.Name]&amp;hosts_2[hostname],hosts_2[management.username],"")</f>
        <v/>
      </c>
      <c r="I49" s="24" t="str" cm="1">
        <f t="array" ref="I49">_xlfn.XLOOKUP(SelectedFile&amp;$F49,hosts_2[Source.Name]&amp;hosts_2[hostname],hosts_2[rack_name],"")</f>
        <v/>
      </c>
      <c r="J49" s="24" t="str" cm="1">
        <f t="array" ref="J49">_xlfn.XLOOKUP(SelectedFile&amp;$F49,hosts_2[Source.Name]&amp;hosts_2[hostname],hosts_2[position],"")</f>
        <v/>
      </c>
      <c r="K49" s="24" t="str" cm="1">
        <f t="array" ref="K49">_xlfn.XLOOKUP(SelectedFile&amp;$F49,hosts_2[Source.Name]&amp;hosts_2[hostname],hosts_2[host_psnt],"")</f>
        <v/>
      </c>
      <c r="L49" s="24" t="str" cm="1">
        <f t="array" ref="L49">_xlfn.XLOOKUP(SelectedFile&amp;$F49,hosts_2[Source.Name]&amp;hosts_2[hostname],hosts_2[MANAGEMENT],"")</f>
        <v/>
      </c>
      <c r="M49" s="24" t="str" cm="1">
        <f t="array" ref="M49">_xlfn.XLOOKUP(SelectedFile&amp;$F49,hosts_2[Source.Name]&amp;hosts_2[hostname],hosts_2[VSAN],"")</f>
        <v/>
      </c>
      <c r="N49" s="24" t="str" cm="1">
        <f t="array" ref="N49">_xlfn.XLOOKUP(SelectedFile&amp;$F49,hosts_2[Source.Name]&amp;hosts_2[hostname],hosts_2[VMOTION],"")</f>
        <v/>
      </c>
      <c r="O49" s="24" t="str" cm="1">
        <f t="array" ref="O49">_xlfn.XLOOKUP(SelectedFile&amp;$F49,hosts_2[Source.Name]&amp;hosts_2[hostname],hosts_2[WITNESS],"")</f>
        <v/>
      </c>
      <c r="P49" s="24" t="str" cm="1">
        <f t="array" ref="P49">_xlfn.XLOOKUP(SelectedFile&amp;$F49,hosts_2[Source.Name]&amp;hosts_2[hostname],hosts_2[management_ip],"")</f>
        <v/>
      </c>
      <c r="Q49" s="7"/>
      <c r="R49" s="7"/>
      <c r="S49" s="7"/>
      <c r="T49" s="7"/>
      <c r="U49" s="7"/>
      <c r="V49" s="7"/>
      <c r="W49" s="7"/>
      <c r="X49" s="7"/>
    </row>
    <row r="50" spans="2:24" x14ac:dyDescent="0.25">
      <c r="B50" s="21"/>
      <c r="F50" s="23"/>
      <c r="G50" s="24" t="str" cm="1">
        <f t="array" ref="G50">_xlfn.XLOOKUP(SelectedFile&amp;$E51,hosts_2[Source.Name]&amp;hosts_2[hostname],hosts_2[root.username],"")</f>
        <v/>
      </c>
      <c r="H50" s="24" t="str" cm="1">
        <f t="array" ref="H50">_xlfn.XLOOKUP(SelectedFile&amp;$E51,hosts_2[Source.Name]&amp;hosts_2[hostname],hosts_2[management.username],"")</f>
        <v/>
      </c>
      <c r="I50" s="24" t="str" cm="1">
        <f t="array" ref="I50">_xlfn.XLOOKUP(SelectedFile&amp;$E51,hosts_2[Source.Name]&amp;hosts_2[hostname],hosts_2[rack_name],"")</f>
        <v/>
      </c>
      <c r="J50" s="24" t="str" cm="1">
        <f t="array" ref="J50">_xlfn.XLOOKUP(SelectedFile&amp;$E51,hosts_2[Source.Name]&amp;hosts_2[hostname],hosts_2[position],"")</f>
        <v/>
      </c>
      <c r="K50" s="24" t="str" cm="1">
        <f t="array" ref="K50">_xlfn.XLOOKUP(SelectedFile&amp;$E51,hosts_2[Source.Name]&amp;hosts_2[hostname],hosts_2[host_psnt],"")</f>
        <v/>
      </c>
      <c r="L50" s="24" t="str" cm="1">
        <f t="array" ref="L50">_xlfn.XLOOKUP(SelectedFile&amp;$E51,hosts_2[Source.Name]&amp;hosts_2[hostname],hosts_2[MANAGEMENT],"")</f>
        <v/>
      </c>
      <c r="M50" s="24" t="str" cm="1">
        <f t="array" ref="M50">_xlfn.XLOOKUP(SelectedFile&amp;$E51,hosts_2[Source.Name]&amp;hosts_2[hostname],hosts_2[VSAN],"")</f>
        <v/>
      </c>
      <c r="N50" s="24" t="str" cm="1">
        <f t="array" ref="N50">_xlfn.XLOOKUP(SelectedFile&amp;$E51,hosts_2[Source.Name]&amp;hosts_2[hostname],hosts_2[VMOTION],"")</f>
        <v/>
      </c>
      <c r="O50" s="24" t="str" cm="1">
        <f t="array" ref="O50">_xlfn.XLOOKUP(SelectedFile&amp;$E51,hosts_2[Source.Name]&amp;hosts_2[hostname],hosts_2[WITNESS],"")</f>
        <v/>
      </c>
      <c r="P50" s="24" t="str" cm="1">
        <f t="array" ref="P50">_xlfn.XLOOKUP(SelectedFile&amp;$E51,hosts_2[Source.Name]&amp;hosts_2[hostname],hosts_2[management_ip],"")</f>
        <v/>
      </c>
      <c r="Q50" s="7"/>
      <c r="R50" s="7"/>
      <c r="S50" s="7"/>
      <c r="T50" s="7"/>
      <c r="U50" s="7"/>
      <c r="V50" s="7"/>
      <c r="W50" s="7"/>
      <c r="X50" s="7"/>
    </row>
    <row r="51" spans="2:24" x14ac:dyDescent="0.25">
      <c r="B51" s="21"/>
      <c r="F51" s="23"/>
      <c r="G51" s="24" t="str" cm="1">
        <f t="array" ref="G51">_xlfn.XLOOKUP(SelectedFile&amp;$E52,hosts_2[Source.Name]&amp;hosts_2[hostname],hosts_2[root.username],"")</f>
        <v/>
      </c>
      <c r="H51" s="24" t="str" cm="1">
        <f t="array" ref="H51">_xlfn.XLOOKUP(SelectedFile&amp;$E52,hosts_2[Source.Name]&amp;hosts_2[hostname],hosts_2[management.username],"")</f>
        <v/>
      </c>
      <c r="I51" s="24" t="str" cm="1">
        <f t="array" ref="I51">_xlfn.XLOOKUP(SelectedFile&amp;$E52,hosts_2[Source.Name]&amp;hosts_2[hostname],hosts_2[rack_name],"")</f>
        <v/>
      </c>
      <c r="J51" s="24" t="str" cm="1">
        <f t="array" ref="J51">_xlfn.XLOOKUP(SelectedFile&amp;$E52,hosts_2[Source.Name]&amp;hosts_2[hostname],hosts_2[position],"")</f>
        <v/>
      </c>
      <c r="K51" s="24" t="str" cm="1">
        <f t="array" ref="K51">_xlfn.XLOOKUP(SelectedFile&amp;$E52,hosts_2[Source.Name]&amp;hosts_2[hostname],hosts_2[host_psnt],"")</f>
        <v/>
      </c>
      <c r="L51" s="24" t="str" cm="1">
        <f t="array" ref="L51">_xlfn.XLOOKUP(SelectedFile&amp;$E52,hosts_2[Source.Name]&amp;hosts_2[hostname],hosts_2[MANAGEMENT],"")</f>
        <v/>
      </c>
      <c r="M51" s="24" t="str" cm="1">
        <f t="array" ref="M51">_xlfn.XLOOKUP(SelectedFile&amp;$E52,hosts_2[Source.Name]&amp;hosts_2[hostname],hosts_2[VSAN],"")</f>
        <v/>
      </c>
      <c r="N51" s="24" t="str" cm="1">
        <f t="array" ref="N51">_xlfn.XLOOKUP(SelectedFile&amp;$E52,hosts_2[Source.Name]&amp;hosts_2[hostname],hosts_2[VMOTION],"")</f>
        <v/>
      </c>
      <c r="O51" s="24" t="str" cm="1">
        <f t="array" ref="O51">_xlfn.XLOOKUP(SelectedFile&amp;$E52,hosts_2[Source.Name]&amp;hosts_2[hostname],hosts_2[WITNESS],"")</f>
        <v/>
      </c>
      <c r="P51" s="24" t="str" cm="1">
        <f t="array" ref="P51">_xlfn.XLOOKUP(SelectedFile&amp;$E52,hosts_2[Source.Name]&amp;hosts_2[hostname],hosts_2[management_ip],"")</f>
        <v/>
      </c>
      <c r="Q51" s="7"/>
      <c r="R51" s="7"/>
      <c r="S51" s="7"/>
      <c r="T51" s="7"/>
      <c r="U51" s="7"/>
      <c r="V51" s="7"/>
      <c r="W51" s="7"/>
      <c r="X51" s="7"/>
    </row>
    <row r="52" spans="2:24" x14ac:dyDescent="0.25">
      <c r="B52" s="21"/>
      <c r="F52" s="23"/>
      <c r="G52" s="24" t="str" cm="1">
        <f t="array" ref="G52">_xlfn.XLOOKUP(SelectedFile&amp;$E53,hosts_2[Source.Name]&amp;hosts_2[hostname],hosts_2[root.username],"")</f>
        <v/>
      </c>
      <c r="H52" s="24" t="str" cm="1">
        <f t="array" ref="H52">_xlfn.XLOOKUP(SelectedFile&amp;$E53,hosts_2[Source.Name]&amp;hosts_2[hostname],hosts_2[management.username],"")</f>
        <v/>
      </c>
      <c r="I52" s="24" t="str" cm="1">
        <f t="array" ref="I52">_xlfn.XLOOKUP(SelectedFile&amp;$E53,hosts_2[Source.Name]&amp;hosts_2[hostname],hosts_2[rack_name],"")</f>
        <v/>
      </c>
      <c r="J52" s="24" t="str" cm="1">
        <f t="array" ref="J52">_xlfn.XLOOKUP(SelectedFile&amp;$E53,hosts_2[Source.Name]&amp;hosts_2[hostname],hosts_2[position],"")</f>
        <v/>
      </c>
      <c r="K52" s="24" t="str" cm="1">
        <f t="array" ref="K52">_xlfn.XLOOKUP(SelectedFile&amp;$E53,hosts_2[Source.Name]&amp;hosts_2[hostname],hosts_2[host_psnt],"")</f>
        <v/>
      </c>
      <c r="L52" s="24" t="str" cm="1">
        <f t="array" ref="L52">_xlfn.XLOOKUP(SelectedFile&amp;$E53,hosts_2[Source.Name]&amp;hosts_2[hostname],hosts_2[MANAGEMENT],"")</f>
        <v/>
      </c>
      <c r="M52" s="24" t="str" cm="1">
        <f t="array" ref="M52">_xlfn.XLOOKUP(SelectedFile&amp;$E53,hosts_2[Source.Name]&amp;hosts_2[hostname],hosts_2[VSAN],"")</f>
        <v/>
      </c>
      <c r="N52" s="24" t="str" cm="1">
        <f t="array" ref="N52">_xlfn.XLOOKUP(SelectedFile&amp;$E53,hosts_2[Source.Name]&amp;hosts_2[hostname],hosts_2[VMOTION],"")</f>
        <v/>
      </c>
      <c r="O52" s="24" t="str" cm="1">
        <f t="array" ref="O52">_xlfn.XLOOKUP(SelectedFile&amp;$E53,hosts_2[Source.Name]&amp;hosts_2[hostname],hosts_2[WITNESS],"")</f>
        <v/>
      </c>
      <c r="P52" s="24" t="str" cm="1">
        <f t="array" ref="P52">_xlfn.XLOOKUP(SelectedFile&amp;$E53,hosts_2[Source.Name]&amp;hosts_2[hostname],hosts_2[management_ip],"")</f>
        <v/>
      </c>
      <c r="Q52" s="7"/>
      <c r="R52" s="7"/>
      <c r="S52" s="7"/>
      <c r="T52" s="7"/>
      <c r="U52" s="7"/>
      <c r="V52" s="7"/>
      <c r="W52" s="7"/>
      <c r="X52" s="7"/>
    </row>
    <row r="53" spans="2:24" x14ac:dyDescent="0.25">
      <c r="B53" s="21"/>
      <c r="F53" s="23"/>
      <c r="G53" s="24" t="str" cm="1">
        <f t="array" ref="G53">_xlfn.XLOOKUP(SelectedFile&amp;$E54,hosts_2[Source.Name]&amp;hosts_2[hostname],hosts_2[root.username],"")</f>
        <v/>
      </c>
      <c r="H53" s="24" t="str" cm="1">
        <f t="array" ref="H53">_xlfn.XLOOKUP(SelectedFile&amp;$E54,hosts_2[Source.Name]&amp;hosts_2[hostname],hosts_2[management.username],"")</f>
        <v/>
      </c>
      <c r="I53" s="24" t="str" cm="1">
        <f t="array" ref="I53">_xlfn.XLOOKUP(SelectedFile&amp;$E54,hosts_2[Source.Name]&amp;hosts_2[hostname],hosts_2[rack_name],"")</f>
        <v/>
      </c>
      <c r="J53" s="24" t="str" cm="1">
        <f t="array" ref="J53">_xlfn.XLOOKUP(SelectedFile&amp;$E54,hosts_2[Source.Name]&amp;hosts_2[hostname],hosts_2[position],"")</f>
        <v/>
      </c>
      <c r="K53" s="24" t="str" cm="1">
        <f t="array" ref="K53">_xlfn.XLOOKUP(SelectedFile&amp;$E54,hosts_2[Source.Name]&amp;hosts_2[hostname],hosts_2[host_psnt],"")</f>
        <v/>
      </c>
      <c r="L53" s="24" t="str" cm="1">
        <f t="array" ref="L53">_xlfn.XLOOKUP(SelectedFile&amp;$E54,hosts_2[Source.Name]&amp;hosts_2[hostname],hosts_2[MANAGEMENT],"")</f>
        <v/>
      </c>
      <c r="M53" s="24" t="str" cm="1">
        <f t="array" ref="M53">_xlfn.XLOOKUP(SelectedFile&amp;$E54,hosts_2[Source.Name]&amp;hosts_2[hostname],hosts_2[VSAN],"")</f>
        <v/>
      </c>
      <c r="N53" s="24" t="str" cm="1">
        <f t="array" ref="N53">_xlfn.XLOOKUP(SelectedFile&amp;$E54,hosts_2[Source.Name]&amp;hosts_2[hostname],hosts_2[VMOTION],"")</f>
        <v/>
      </c>
      <c r="O53" s="24" t="str" cm="1">
        <f t="array" ref="O53">_xlfn.XLOOKUP(SelectedFile&amp;$E54,hosts_2[Source.Name]&amp;hosts_2[hostname],hosts_2[WITNESS],"")</f>
        <v/>
      </c>
      <c r="P53" s="24" t="str" cm="1">
        <f t="array" ref="P53">_xlfn.XLOOKUP(SelectedFile&amp;$E54,hosts_2[Source.Name]&amp;hosts_2[hostname],hosts_2[management_ip],"")</f>
        <v/>
      </c>
      <c r="Q53" s="7"/>
      <c r="R53" s="7"/>
      <c r="S53" s="7"/>
      <c r="T53" s="7"/>
      <c r="U53" s="7"/>
      <c r="V53" s="7"/>
      <c r="W53" s="7"/>
      <c r="X53" s="7"/>
    </row>
    <row r="54" spans="2:24" x14ac:dyDescent="0.25">
      <c r="B54" s="21"/>
      <c r="F54" s="23"/>
      <c r="G54" s="24" t="str" cm="1">
        <f t="array" ref="G54">_xlfn.XLOOKUP(SelectedFile&amp;$E55,hosts_2[Source.Name]&amp;hosts_2[hostname],hosts_2[root.username],"")</f>
        <v/>
      </c>
      <c r="H54" s="24" t="str" cm="1">
        <f t="array" ref="H54">_xlfn.XLOOKUP(SelectedFile&amp;$E55,hosts_2[Source.Name]&amp;hosts_2[hostname],hosts_2[management.username],"")</f>
        <v/>
      </c>
      <c r="I54" s="24" t="str" cm="1">
        <f t="array" ref="I54">_xlfn.XLOOKUP(SelectedFile&amp;$E55,hosts_2[Source.Name]&amp;hosts_2[hostname],hosts_2[rack_name],"")</f>
        <v/>
      </c>
      <c r="J54" s="24" t="str" cm="1">
        <f t="array" ref="J54">_xlfn.XLOOKUP(SelectedFile&amp;$E55,hosts_2[Source.Name]&amp;hosts_2[hostname],hosts_2[position],"")</f>
        <v/>
      </c>
      <c r="K54" s="24" t="str" cm="1">
        <f t="array" ref="K54">_xlfn.XLOOKUP(SelectedFile&amp;$E55,hosts_2[Source.Name]&amp;hosts_2[hostname],hosts_2[host_psnt],"")</f>
        <v/>
      </c>
      <c r="L54" s="24" t="str" cm="1">
        <f t="array" ref="L54">_xlfn.XLOOKUP(SelectedFile&amp;$E55,hosts_2[Source.Name]&amp;hosts_2[hostname],hosts_2[MANAGEMENT],"")</f>
        <v/>
      </c>
      <c r="M54" s="24" t="str" cm="1">
        <f t="array" ref="M54">_xlfn.XLOOKUP(SelectedFile&amp;$E55,hosts_2[Source.Name]&amp;hosts_2[hostname],hosts_2[VSAN],"")</f>
        <v/>
      </c>
      <c r="N54" s="24" t="str" cm="1">
        <f t="array" ref="N54">_xlfn.XLOOKUP(SelectedFile&amp;$E55,hosts_2[Source.Name]&amp;hosts_2[hostname],hosts_2[VMOTION],"")</f>
        <v/>
      </c>
      <c r="O54" s="24" t="str" cm="1">
        <f t="array" ref="O54">_xlfn.XLOOKUP(SelectedFile&amp;$E55,hosts_2[Source.Name]&amp;hosts_2[hostname],hosts_2[WITNESS],"")</f>
        <v/>
      </c>
      <c r="P54" s="24" t="str" cm="1">
        <f t="array" ref="P54">_xlfn.XLOOKUP(SelectedFile&amp;$E55,hosts_2[Source.Name]&amp;hosts_2[hostname],hosts_2[management_ip],"")</f>
        <v/>
      </c>
      <c r="Q54" s="7"/>
      <c r="R54" s="7"/>
      <c r="S54" s="7"/>
      <c r="T54" s="7"/>
      <c r="U54" s="7"/>
      <c r="V54" s="7"/>
      <c r="W54" s="7"/>
      <c r="X54" s="7"/>
    </row>
    <row r="55" spans="2:24" x14ac:dyDescent="0.25">
      <c r="B55" s="21"/>
      <c r="F55" s="23"/>
      <c r="G55" s="24" t="str" cm="1">
        <f t="array" ref="G55">_xlfn.XLOOKUP(SelectedFile&amp;$E56,hosts_2[Source.Name]&amp;hosts_2[hostname],hosts_2[root.username],"")</f>
        <v/>
      </c>
      <c r="H55" s="24" t="str" cm="1">
        <f t="array" ref="H55">_xlfn.XLOOKUP(SelectedFile&amp;$E56,hosts_2[Source.Name]&amp;hosts_2[hostname],hosts_2[management.username],"")</f>
        <v/>
      </c>
      <c r="I55" s="24" t="str" cm="1">
        <f t="array" ref="I55">_xlfn.XLOOKUP(SelectedFile&amp;$E56,hosts_2[Source.Name]&amp;hosts_2[hostname],hosts_2[rack_name],"")</f>
        <v/>
      </c>
      <c r="J55" s="24" t="str" cm="1">
        <f t="array" ref="J55">_xlfn.XLOOKUP(SelectedFile&amp;$E56,hosts_2[Source.Name]&amp;hosts_2[hostname],hosts_2[position],"")</f>
        <v/>
      </c>
      <c r="K55" s="24" t="str" cm="1">
        <f t="array" ref="K55">_xlfn.XLOOKUP(SelectedFile&amp;$E56,hosts_2[Source.Name]&amp;hosts_2[hostname],hosts_2[host_psnt],"")</f>
        <v/>
      </c>
      <c r="L55" s="24" t="str" cm="1">
        <f t="array" ref="L55">_xlfn.XLOOKUP(SelectedFile&amp;$E56,hosts_2[Source.Name]&amp;hosts_2[hostname],hosts_2[MANAGEMENT],"")</f>
        <v/>
      </c>
      <c r="M55" s="24" t="str" cm="1">
        <f t="array" ref="M55">_xlfn.XLOOKUP(SelectedFile&amp;$E56,hosts_2[Source.Name]&amp;hosts_2[hostname],hosts_2[VSAN],"")</f>
        <v/>
      </c>
      <c r="N55" s="24" t="str" cm="1">
        <f t="array" ref="N55">_xlfn.XLOOKUP(SelectedFile&amp;$E56,hosts_2[Source.Name]&amp;hosts_2[hostname],hosts_2[VMOTION],"")</f>
        <v/>
      </c>
      <c r="O55" s="24" t="str" cm="1">
        <f t="array" ref="O55">_xlfn.XLOOKUP(SelectedFile&amp;$E56,hosts_2[Source.Name]&amp;hosts_2[hostname],hosts_2[WITNESS],"")</f>
        <v/>
      </c>
      <c r="P55" s="24" t="str" cm="1">
        <f t="array" ref="P55">_xlfn.XLOOKUP(SelectedFile&amp;$E56,hosts_2[Source.Name]&amp;hosts_2[hostname],hosts_2[management_ip],"")</f>
        <v/>
      </c>
      <c r="Q55" s="7"/>
      <c r="R55" s="7"/>
      <c r="S55" s="7"/>
      <c r="T55" s="7"/>
      <c r="U55" s="7"/>
      <c r="V55" s="7"/>
      <c r="W55" s="7"/>
      <c r="X55" s="7"/>
    </row>
    <row r="56" spans="2:24" x14ac:dyDescent="0.25">
      <c r="B56" s="21"/>
      <c r="F56" s="23"/>
      <c r="G56" s="24" t="str" cm="1">
        <f t="array" ref="G56">_xlfn.XLOOKUP(SelectedFile&amp;$E57,hosts_2[Source.Name]&amp;hosts_2[hostname],hosts_2[root.username],"")</f>
        <v/>
      </c>
      <c r="H56" s="24" t="str" cm="1">
        <f t="array" ref="H56">_xlfn.XLOOKUP(SelectedFile&amp;$E57,hosts_2[Source.Name]&amp;hosts_2[hostname],hosts_2[management.username],"")</f>
        <v/>
      </c>
      <c r="I56" s="24" t="str" cm="1">
        <f t="array" ref="I56">_xlfn.XLOOKUP(SelectedFile&amp;$E57,hosts_2[Source.Name]&amp;hosts_2[hostname],hosts_2[rack_name],"")</f>
        <v/>
      </c>
      <c r="J56" s="24" t="str" cm="1">
        <f t="array" ref="J56">_xlfn.XLOOKUP(SelectedFile&amp;$E57,hosts_2[Source.Name]&amp;hosts_2[hostname],hosts_2[position],"")</f>
        <v/>
      </c>
      <c r="K56" s="24" t="str" cm="1">
        <f t="array" ref="K56">_xlfn.XLOOKUP(SelectedFile&amp;$E57,hosts_2[Source.Name]&amp;hosts_2[hostname],hosts_2[host_psnt],"")</f>
        <v/>
      </c>
      <c r="L56" s="24" t="str" cm="1">
        <f t="array" ref="L56">_xlfn.XLOOKUP(SelectedFile&amp;$E57,hosts_2[Source.Name]&amp;hosts_2[hostname],hosts_2[MANAGEMENT],"")</f>
        <v/>
      </c>
      <c r="M56" s="24" t="str" cm="1">
        <f t="array" ref="M56">_xlfn.XLOOKUP(SelectedFile&amp;$E57,hosts_2[Source.Name]&amp;hosts_2[hostname],hosts_2[VSAN],"")</f>
        <v/>
      </c>
      <c r="N56" s="24" t="str" cm="1">
        <f t="array" ref="N56">_xlfn.XLOOKUP(SelectedFile&amp;$E57,hosts_2[Source.Name]&amp;hosts_2[hostname],hosts_2[VMOTION],"")</f>
        <v/>
      </c>
      <c r="O56" s="24" t="str" cm="1">
        <f t="array" ref="O56">_xlfn.XLOOKUP(SelectedFile&amp;$E57,hosts_2[Source.Name]&amp;hosts_2[hostname],hosts_2[WITNESS],"")</f>
        <v/>
      </c>
      <c r="P56" s="24" t="str" cm="1">
        <f t="array" ref="P56">_xlfn.XLOOKUP(SelectedFile&amp;$E57,hosts_2[Source.Name]&amp;hosts_2[hostname],hosts_2[management_ip],"")</f>
        <v/>
      </c>
      <c r="Q56" s="7"/>
      <c r="R56" s="7"/>
      <c r="S56" s="7"/>
      <c r="T56" s="7"/>
      <c r="U56" s="7"/>
      <c r="V56" s="7"/>
      <c r="W56" s="7"/>
      <c r="X56" s="7"/>
    </row>
    <row r="57" spans="2:24" x14ac:dyDescent="0.25">
      <c r="B57" s="21"/>
      <c r="F57" s="23"/>
      <c r="G57" s="24" t="str" cm="1">
        <f t="array" ref="G57">_xlfn.XLOOKUP(SelectedFile&amp;$E58,hosts_2[Source.Name]&amp;hosts_2[hostname],hosts_2[root.username],"")</f>
        <v/>
      </c>
      <c r="H57" s="24" t="str" cm="1">
        <f t="array" ref="H57">_xlfn.XLOOKUP(SelectedFile&amp;$E58,hosts_2[Source.Name]&amp;hosts_2[hostname],hosts_2[management.username],"")</f>
        <v/>
      </c>
      <c r="I57" s="24" t="str" cm="1">
        <f t="array" ref="I57">_xlfn.XLOOKUP(SelectedFile&amp;$E58,hosts_2[Source.Name]&amp;hosts_2[hostname],hosts_2[rack_name],"")</f>
        <v/>
      </c>
      <c r="J57" s="24" t="str" cm="1">
        <f t="array" ref="J57">_xlfn.XLOOKUP(SelectedFile&amp;$E58,hosts_2[Source.Name]&amp;hosts_2[hostname],hosts_2[position],"")</f>
        <v/>
      </c>
      <c r="K57" s="24" t="str" cm="1">
        <f t="array" ref="K57">_xlfn.XLOOKUP(SelectedFile&amp;$E58,hosts_2[Source.Name]&amp;hosts_2[hostname],hosts_2[host_psnt],"")</f>
        <v/>
      </c>
      <c r="L57" s="24" t="str" cm="1">
        <f t="array" ref="L57">_xlfn.XLOOKUP(SelectedFile&amp;$E58,hosts_2[Source.Name]&amp;hosts_2[hostname],hosts_2[MANAGEMENT],"")</f>
        <v/>
      </c>
      <c r="M57" s="24" t="str" cm="1">
        <f t="array" ref="M57">_xlfn.XLOOKUP(SelectedFile&amp;$E58,hosts_2[Source.Name]&amp;hosts_2[hostname],hosts_2[VSAN],"")</f>
        <v/>
      </c>
      <c r="N57" s="24" t="str" cm="1">
        <f t="array" ref="N57">_xlfn.XLOOKUP(SelectedFile&amp;$E58,hosts_2[Source.Name]&amp;hosts_2[hostname],hosts_2[VMOTION],"")</f>
        <v/>
      </c>
      <c r="O57" s="24" t="str" cm="1">
        <f t="array" ref="O57">_xlfn.XLOOKUP(SelectedFile&amp;$E58,hosts_2[Source.Name]&amp;hosts_2[hostname],hosts_2[WITNESS],"")</f>
        <v/>
      </c>
      <c r="P57" s="24" t="str" cm="1">
        <f t="array" ref="P57">_xlfn.XLOOKUP(SelectedFile&amp;$E58,hosts_2[Source.Name]&amp;hosts_2[hostname],hosts_2[management_ip],"")</f>
        <v/>
      </c>
      <c r="Q57" s="7"/>
      <c r="R57" s="7"/>
      <c r="S57" s="7"/>
      <c r="T57" s="7"/>
      <c r="U57" s="7"/>
      <c r="V57" s="7"/>
      <c r="W57" s="7"/>
      <c r="X57" s="7"/>
    </row>
    <row r="58" spans="2:24" x14ac:dyDescent="0.25">
      <c r="B58" s="21"/>
      <c r="F58" s="23"/>
      <c r="G58" s="24" t="str" cm="1">
        <f t="array" ref="G58">_xlfn.XLOOKUP(SelectedFile&amp;$E59,hosts_2[Source.Name]&amp;hosts_2[hostname],hosts_2[root.username],"")</f>
        <v/>
      </c>
      <c r="H58" s="24" t="str" cm="1">
        <f t="array" ref="H58">_xlfn.XLOOKUP(SelectedFile&amp;$E59,hosts_2[Source.Name]&amp;hosts_2[hostname],hosts_2[management.username],"")</f>
        <v/>
      </c>
      <c r="I58" s="24" t="str" cm="1">
        <f t="array" ref="I58">_xlfn.XLOOKUP(SelectedFile&amp;$E59,hosts_2[Source.Name]&amp;hosts_2[hostname],hosts_2[rack_name],"")</f>
        <v/>
      </c>
      <c r="J58" s="24" t="str" cm="1">
        <f t="array" ref="J58">_xlfn.XLOOKUP(SelectedFile&amp;$E59,hosts_2[Source.Name]&amp;hosts_2[hostname],hosts_2[position],"")</f>
        <v/>
      </c>
      <c r="K58" s="24" t="str" cm="1">
        <f t="array" ref="K58">_xlfn.XLOOKUP(SelectedFile&amp;$E59,hosts_2[Source.Name]&amp;hosts_2[hostname],hosts_2[host_psnt],"")</f>
        <v/>
      </c>
      <c r="L58" s="24" t="str" cm="1">
        <f t="array" ref="L58">_xlfn.XLOOKUP(SelectedFile&amp;$E59,hosts_2[Source.Name]&amp;hosts_2[hostname],hosts_2[MANAGEMENT],"")</f>
        <v/>
      </c>
      <c r="M58" s="24" t="str" cm="1">
        <f t="array" ref="M58">_xlfn.XLOOKUP(SelectedFile&amp;$E59,hosts_2[Source.Name]&amp;hosts_2[hostname],hosts_2[VSAN],"")</f>
        <v/>
      </c>
      <c r="N58" s="24" t="str" cm="1">
        <f t="array" ref="N58">_xlfn.XLOOKUP(SelectedFile&amp;$E59,hosts_2[Source.Name]&amp;hosts_2[hostname],hosts_2[VMOTION],"")</f>
        <v/>
      </c>
      <c r="O58" s="24" t="str" cm="1">
        <f t="array" ref="O58">_xlfn.XLOOKUP(SelectedFile&amp;$E59,hosts_2[Source.Name]&amp;hosts_2[hostname],hosts_2[WITNESS],"")</f>
        <v/>
      </c>
      <c r="P58" s="24" t="str" cm="1">
        <f t="array" ref="P58">_xlfn.XLOOKUP(SelectedFile&amp;$E59,hosts_2[Source.Name]&amp;hosts_2[hostname],hosts_2[management_ip],"")</f>
        <v/>
      </c>
      <c r="Q58" s="7"/>
      <c r="R58" s="7"/>
      <c r="S58" s="7"/>
      <c r="T58" s="7"/>
      <c r="U58" s="7"/>
      <c r="V58" s="7"/>
      <c r="W58" s="7"/>
      <c r="X58" s="7"/>
    </row>
    <row r="59" spans="2:24" x14ac:dyDescent="0.25">
      <c r="B59" s="21"/>
      <c r="F59" s="23"/>
      <c r="G59" s="24" t="str" cm="1">
        <f t="array" ref="G59">_xlfn.XLOOKUP(SelectedFile&amp;$E60,hosts_2[Source.Name]&amp;hosts_2[hostname],hosts_2[root.username],"")</f>
        <v/>
      </c>
      <c r="H59" s="24" t="str" cm="1">
        <f t="array" ref="H59">_xlfn.XLOOKUP(SelectedFile&amp;$E60,hosts_2[Source.Name]&amp;hosts_2[hostname],hosts_2[management.username],"")</f>
        <v/>
      </c>
      <c r="I59" s="24" t="str" cm="1">
        <f t="array" ref="I59">_xlfn.XLOOKUP(SelectedFile&amp;$E60,hosts_2[Source.Name]&amp;hosts_2[hostname],hosts_2[rack_name],"")</f>
        <v/>
      </c>
      <c r="J59" s="24" t="str" cm="1">
        <f t="array" ref="J59">_xlfn.XLOOKUP(SelectedFile&amp;$E60,hosts_2[Source.Name]&amp;hosts_2[hostname],hosts_2[position],"")</f>
        <v/>
      </c>
      <c r="K59" s="24" t="str" cm="1">
        <f t="array" ref="K59">_xlfn.XLOOKUP(SelectedFile&amp;$E60,hosts_2[Source.Name]&amp;hosts_2[hostname],hosts_2[host_psnt],"")</f>
        <v/>
      </c>
      <c r="L59" s="24" t="str" cm="1">
        <f t="array" ref="L59">_xlfn.XLOOKUP(SelectedFile&amp;$E60,hosts_2[Source.Name]&amp;hosts_2[hostname],hosts_2[MANAGEMENT],"")</f>
        <v/>
      </c>
      <c r="M59" s="24" t="str" cm="1">
        <f t="array" ref="M59">_xlfn.XLOOKUP(SelectedFile&amp;$E60,hosts_2[Source.Name]&amp;hosts_2[hostname],hosts_2[VSAN],"")</f>
        <v/>
      </c>
      <c r="N59" s="24" t="str" cm="1">
        <f t="array" ref="N59">_xlfn.XLOOKUP(SelectedFile&amp;$E60,hosts_2[Source.Name]&amp;hosts_2[hostname],hosts_2[VMOTION],"")</f>
        <v/>
      </c>
      <c r="O59" s="24" t="str" cm="1">
        <f t="array" ref="O59">_xlfn.XLOOKUP(SelectedFile&amp;$E60,hosts_2[Source.Name]&amp;hosts_2[hostname],hosts_2[WITNESS],"")</f>
        <v/>
      </c>
      <c r="P59" s="24" t="str" cm="1">
        <f t="array" ref="P59">_xlfn.XLOOKUP(SelectedFile&amp;$E60,hosts_2[Source.Name]&amp;hosts_2[hostname],hosts_2[management_ip],"")</f>
        <v/>
      </c>
      <c r="Q59" s="7"/>
      <c r="R59" s="7"/>
      <c r="S59" s="7"/>
      <c r="T59" s="7"/>
      <c r="U59" s="7"/>
      <c r="V59" s="7"/>
      <c r="W59" s="7"/>
      <c r="X59" s="7"/>
    </row>
    <row r="60" spans="2:24" x14ac:dyDescent="0.25">
      <c r="B60" s="21"/>
      <c r="F60" s="23"/>
      <c r="G60" s="24" t="str" cm="1">
        <f t="array" ref="G60">_xlfn.XLOOKUP(SelectedFile&amp;$F60,hosts_2[Source.Name]&amp;hosts_2[hostname],hosts_2[root.username],"")</f>
        <v/>
      </c>
      <c r="H60" s="24" t="str" cm="1">
        <f t="array" ref="H60">_xlfn.XLOOKUP(SelectedFile&amp;$F60,hosts_2[Source.Name]&amp;hosts_2[hostname],hosts_2[management.username],"")</f>
        <v/>
      </c>
      <c r="I60" s="24" t="str" cm="1">
        <f t="array" ref="I60">_xlfn.XLOOKUP(SelectedFile&amp;$F60,hosts_2[Source.Name]&amp;hosts_2[hostname],hosts_2[rack_name],"")</f>
        <v/>
      </c>
      <c r="J60" s="24" t="str" cm="1">
        <f t="array" ref="J60">_xlfn.XLOOKUP(SelectedFile&amp;$F60,hosts_2[Source.Name]&amp;hosts_2[hostname],hosts_2[position],"")</f>
        <v/>
      </c>
      <c r="K60" s="24" t="str" cm="1">
        <f t="array" ref="K60">_xlfn.XLOOKUP(SelectedFile&amp;$F60,hosts_2[Source.Name]&amp;hosts_2[hostname],hosts_2[host_psnt],"")</f>
        <v/>
      </c>
      <c r="L60" s="24" t="str" cm="1">
        <f t="array" ref="L60">_xlfn.XLOOKUP(SelectedFile&amp;$F60,hosts_2[Source.Name]&amp;hosts_2[hostname],hosts_2[MANAGEMENT],"")</f>
        <v/>
      </c>
      <c r="M60" s="24" t="str" cm="1">
        <f t="array" ref="M60">_xlfn.XLOOKUP(SelectedFile&amp;$F60,hosts_2[Source.Name]&amp;hosts_2[hostname],hosts_2[VSAN],"")</f>
        <v/>
      </c>
      <c r="N60" s="24" t="str" cm="1">
        <f t="array" ref="N60">_xlfn.XLOOKUP(SelectedFile&amp;$F60,hosts_2[Source.Name]&amp;hosts_2[hostname],hosts_2[VMOTION],"")</f>
        <v/>
      </c>
      <c r="O60" s="24" t="str" cm="1">
        <f t="array" ref="O60">_xlfn.XLOOKUP(SelectedFile&amp;$F60,hosts_2[Source.Name]&amp;hosts_2[hostname],hosts_2[WITNESS],"")</f>
        <v/>
      </c>
      <c r="P60" s="24" t="str" cm="1">
        <f t="array" ref="P60">_xlfn.XLOOKUP(SelectedFile&amp;$F60,hosts_2[Source.Name]&amp;hosts_2[hostname],hosts_2[management_ip],"")</f>
        <v/>
      </c>
      <c r="Q60" s="7"/>
      <c r="R60" s="7"/>
      <c r="S60" s="7"/>
      <c r="T60" s="7"/>
      <c r="U60" s="7"/>
      <c r="V60" s="7"/>
      <c r="W60" s="7"/>
      <c r="X60" s="7"/>
    </row>
    <row r="61" spans="2:24" x14ac:dyDescent="0.25">
      <c r="B61" s="21"/>
      <c r="F61" s="23"/>
      <c r="G61" s="24" t="str" cm="1">
        <f t="array" ref="G61">_xlfn.XLOOKUP(SelectedFile&amp;$F61,hosts_2[Source.Name]&amp;hosts_2[hostname],hosts_2[root.username],"")</f>
        <v/>
      </c>
      <c r="H61" s="24" t="str" cm="1">
        <f t="array" ref="H61">_xlfn.XLOOKUP(SelectedFile&amp;$F61,hosts_2[Source.Name]&amp;hosts_2[hostname],hosts_2[management.username],"")</f>
        <v/>
      </c>
      <c r="I61" s="24" t="str" cm="1">
        <f t="array" ref="I61">_xlfn.XLOOKUP(SelectedFile&amp;$F61,hosts_2[Source.Name]&amp;hosts_2[hostname],hosts_2[rack_name],"")</f>
        <v/>
      </c>
      <c r="J61" s="24" t="str" cm="1">
        <f t="array" ref="J61">_xlfn.XLOOKUP(SelectedFile&amp;$F61,hosts_2[Source.Name]&amp;hosts_2[hostname],hosts_2[position],"")</f>
        <v/>
      </c>
      <c r="K61" s="24" t="str" cm="1">
        <f t="array" ref="K61">_xlfn.XLOOKUP(SelectedFile&amp;$F61,hosts_2[Source.Name]&amp;hosts_2[hostname],hosts_2[host_psnt],"")</f>
        <v/>
      </c>
      <c r="L61" s="24" t="str" cm="1">
        <f t="array" ref="L61">_xlfn.XLOOKUP(SelectedFile&amp;$F61,hosts_2[Source.Name]&amp;hosts_2[hostname],hosts_2[MANAGEMENT],"")</f>
        <v/>
      </c>
      <c r="M61" s="24" t="str" cm="1">
        <f t="array" ref="M61">_xlfn.XLOOKUP(SelectedFile&amp;$F61,hosts_2[Source.Name]&amp;hosts_2[hostname],hosts_2[VSAN],"")</f>
        <v/>
      </c>
      <c r="N61" s="24" t="str" cm="1">
        <f t="array" ref="N61">_xlfn.XLOOKUP(SelectedFile&amp;$F61,hosts_2[Source.Name]&amp;hosts_2[hostname],hosts_2[VMOTION],"")</f>
        <v/>
      </c>
      <c r="O61" s="24" t="str" cm="1">
        <f t="array" ref="O61">_xlfn.XLOOKUP(SelectedFile&amp;$F61,hosts_2[Source.Name]&amp;hosts_2[hostname],hosts_2[WITNESS],"")</f>
        <v/>
      </c>
      <c r="P61" s="24" t="str" cm="1">
        <f t="array" ref="P61">_xlfn.XLOOKUP(SelectedFile&amp;$F61,hosts_2[Source.Name]&amp;hosts_2[hostname],hosts_2[management_ip],"")</f>
        <v/>
      </c>
      <c r="Q61" s="7"/>
      <c r="R61" s="7"/>
      <c r="S61" s="7"/>
      <c r="T61" s="7"/>
      <c r="U61" s="7"/>
      <c r="V61" s="7"/>
      <c r="W61" s="7"/>
      <c r="X61" s="7"/>
    </row>
    <row r="62" spans="2:24" x14ac:dyDescent="0.25">
      <c r="B62" s="21"/>
      <c r="F62" s="23"/>
      <c r="G62" s="24" t="str" cm="1">
        <f t="array" ref="G62">_xlfn.XLOOKUP(SelectedFile&amp;$F62,hosts_2[Source.Name]&amp;hosts_2[hostname],hosts_2[root.username],"")</f>
        <v/>
      </c>
      <c r="H62" s="24" t="str" cm="1">
        <f t="array" ref="H62">_xlfn.XLOOKUP(SelectedFile&amp;$F62,hosts_2[Source.Name]&amp;hosts_2[hostname],hosts_2[management.username],"")</f>
        <v/>
      </c>
      <c r="I62" s="24" t="str" cm="1">
        <f t="array" ref="I62">_xlfn.XLOOKUP(SelectedFile&amp;$F62,hosts_2[Source.Name]&amp;hosts_2[hostname],hosts_2[rack_name],"")</f>
        <v/>
      </c>
      <c r="J62" s="24" t="str" cm="1">
        <f t="array" ref="J62">_xlfn.XLOOKUP(SelectedFile&amp;$F62,hosts_2[Source.Name]&amp;hosts_2[hostname],hosts_2[position],"")</f>
        <v/>
      </c>
      <c r="K62" s="24" t="str" cm="1">
        <f t="array" ref="K62">_xlfn.XLOOKUP(SelectedFile&amp;$F62,hosts_2[Source.Name]&amp;hosts_2[hostname],hosts_2[host_psnt],"")</f>
        <v/>
      </c>
      <c r="L62" s="24" t="str" cm="1">
        <f t="array" ref="L62">_xlfn.XLOOKUP(SelectedFile&amp;$F62,hosts_2[Source.Name]&amp;hosts_2[hostname],hosts_2[MANAGEMENT],"")</f>
        <v/>
      </c>
      <c r="M62" s="24" t="str" cm="1">
        <f t="array" ref="M62">_xlfn.XLOOKUP(SelectedFile&amp;$F62,hosts_2[Source.Name]&amp;hosts_2[hostname],hosts_2[VSAN],"")</f>
        <v/>
      </c>
      <c r="N62" s="24" t="str" cm="1">
        <f t="array" ref="N62">_xlfn.XLOOKUP(SelectedFile&amp;$F62,hosts_2[Source.Name]&amp;hosts_2[hostname],hosts_2[VMOTION],"")</f>
        <v/>
      </c>
      <c r="O62" s="24" t="str" cm="1">
        <f t="array" ref="O62">_xlfn.XLOOKUP(SelectedFile&amp;$F62,hosts_2[Source.Name]&amp;hosts_2[hostname],hosts_2[WITNESS],"")</f>
        <v/>
      </c>
      <c r="P62" s="24" t="str" cm="1">
        <f t="array" ref="P62">_xlfn.XLOOKUP(SelectedFile&amp;$F62,hosts_2[Source.Name]&amp;hosts_2[hostname],hosts_2[management_ip],"")</f>
        <v/>
      </c>
      <c r="Q62" s="7"/>
      <c r="R62" s="7"/>
      <c r="S62" s="7"/>
      <c r="T62" s="7"/>
      <c r="U62" s="7"/>
      <c r="V62" s="7"/>
      <c r="W62" s="7"/>
      <c r="X62" s="7"/>
    </row>
    <row r="63" spans="2:24" x14ac:dyDescent="0.25">
      <c r="B63" s="21"/>
      <c r="F63" s="23"/>
      <c r="G63" s="24" t="str" cm="1">
        <f t="array" ref="G63">_xlfn.XLOOKUP(SelectedFile&amp;$F63,hosts_2[Source.Name]&amp;hosts_2[hostname],hosts_2[root.username],"")</f>
        <v/>
      </c>
      <c r="H63" s="24" t="str" cm="1">
        <f t="array" ref="H63">_xlfn.XLOOKUP(SelectedFile&amp;$F63,hosts_2[Source.Name]&amp;hosts_2[hostname],hosts_2[management.username],"")</f>
        <v/>
      </c>
      <c r="I63" s="24" t="str" cm="1">
        <f t="array" ref="I63">_xlfn.XLOOKUP(SelectedFile&amp;$F63,hosts_2[Source.Name]&amp;hosts_2[hostname],hosts_2[rack_name],"")</f>
        <v/>
      </c>
      <c r="J63" s="24" t="str" cm="1">
        <f t="array" ref="J63">_xlfn.XLOOKUP(SelectedFile&amp;$F63,hosts_2[Source.Name]&amp;hosts_2[hostname],hosts_2[position],"")</f>
        <v/>
      </c>
      <c r="K63" s="24" t="str" cm="1">
        <f t="array" ref="K63">_xlfn.XLOOKUP(SelectedFile&amp;$F63,hosts_2[Source.Name]&amp;hosts_2[hostname],hosts_2[host_psnt],"")</f>
        <v/>
      </c>
      <c r="L63" s="24" t="str" cm="1">
        <f t="array" ref="L63">_xlfn.XLOOKUP(SelectedFile&amp;$F63,hosts_2[Source.Name]&amp;hosts_2[hostname],hosts_2[MANAGEMENT],"")</f>
        <v/>
      </c>
      <c r="M63" s="24" t="str" cm="1">
        <f t="array" ref="M63">_xlfn.XLOOKUP(SelectedFile&amp;$F63,hosts_2[Source.Name]&amp;hosts_2[hostname],hosts_2[VSAN],"")</f>
        <v/>
      </c>
      <c r="N63" s="24" t="str" cm="1">
        <f t="array" ref="N63">_xlfn.XLOOKUP(SelectedFile&amp;$F63,hosts_2[Source.Name]&amp;hosts_2[hostname],hosts_2[VMOTION],"")</f>
        <v/>
      </c>
      <c r="O63" s="24" t="str" cm="1">
        <f t="array" ref="O63">_xlfn.XLOOKUP(SelectedFile&amp;$F63,hosts_2[Source.Name]&amp;hosts_2[hostname],hosts_2[WITNESS],"")</f>
        <v/>
      </c>
      <c r="P63" s="24" t="str" cm="1">
        <f t="array" ref="P63">_xlfn.XLOOKUP(SelectedFile&amp;$F63,hosts_2[Source.Name]&amp;hosts_2[hostname],hosts_2[management_ip],"")</f>
        <v/>
      </c>
      <c r="Q63" s="7"/>
      <c r="R63" s="7"/>
      <c r="S63" s="7"/>
      <c r="T63" s="7"/>
      <c r="U63" s="7"/>
      <c r="V63" s="7"/>
      <c r="W63" s="7"/>
      <c r="X63" s="7"/>
    </row>
    <row r="64" spans="2:24" x14ac:dyDescent="0.25">
      <c r="B64" s="21"/>
      <c r="F64" s="23"/>
      <c r="G64" s="24" t="str" cm="1">
        <f t="array" ref="G64">_xlfn.XLOOKUP(SelectedFile&amp;$F64,hosts_2[Source.Name]&amp;hosts_2[hostname],hosts_2[root.username],"")</f>
        <v/>
      </c>
      <c r="H64" s="24" t="str" cm="1">
        <f t="array" ref="H64">_xlfn.XLOOKUP(SelectedFile&amp;$F64,hosts_2[Source.Name]&amp;hosts_2[hostname],hosts_2[management.username],"")</f>
        <v/>
      </c>
      <c r="I64" s="24" t="str" cm="1">
        <f t="array" ref="I64">_xlfn.XLOOKUP(SelectedFile&amp;$F64,hosts_2[Source.Name]&amp;hosts_2[hostname],hosts_2[rack_name],"")</f>
        <v/>
      </c>
      <c r="J64" s="24" t="str" cm="1">
        <f t="array" ref="J64">_xlfn.XLOOKUP(SelectedFile&amp;$F64,hosts_2[Source.Name]&amp;hosts_2[hostname],hosts_2[position],"")</f>
        <v/>
      </c>
      <c r="K64" s="24" t="str" cm="1">
        <f t="array" ref="K64">_xlfn.XLOOKUP(SelectedFile&amp;$F64,hosts_2[Source.Name]&amp;hosts_2[hostname],hosts_2[host_psnt],"")</f>
        <v/>
      </c>
      <c r="L64" s="24" t="str" cm="1">
        <f t="array" ref="L64">_xlfn.XLOOKUP(SelectedFile&amp;$F64,hosts_2[Source.Name]&amp;hosts_2[hostname],hosts_2[MANAGEMENT],"")</f>
        <v/>
      </c>
      <c r="M64" s="24" t="str" cm="1">
        <f t="array" ref="M64">_xlfn.XLOOKUP(SelectedFile&amp;$F64,hosts_2[Source.Name]&amp;hosts_2[hostname],hosts_2[VSAN],"")</f>
        <v/>
      </c>
      <c r="N64" s="24" t="str" cm="1">
        <f t="array" ref="N64">_xlfn.XLOOKUP(SelectedFile&amp;$F64,hosts_2[Source.Name]&amp;hosts_2[hostname],hosts_2[VMOTION],"")</f>
        <v/>
      </c>
      <c r="O64" s="24" t="str" cm="1">
        <f t="array" ref="O64">_xlfn.XLOOKUP(SelectedFile&amp;$F64,hosts_2[Source.Name]&amp;hosts_2[hostname],hosts_2[WITNESS],"")</f>
        <v/>
      </c>
      <c r="P64" s="24" t="str" cm="1">
        <f t="array" ref="P64">_xlfn.XLOOKUP(SelectedFile&amp;$F64,hosts_2[Source.Name]&amp;hosts_2[hostname],hosts_2[management_ip],"")</f>
        <v/>
      </c>
      <c r="Q64" s="7"/>
      <c r="R64" s="7"/>
      <c r="S64" s="7"/>
      <c r="T64" s="7"/>
      <c r="U64" s="7"/>
      <c r="V64" s="7"/>
      <c r="W64" s="7"/>
      <c r="X64" s="7"/>
    </row>
    <row r="65" spans="2:24" x14ac:dyDescent="0.25">
      <c r="B65" s="21"/>
      <c r="F65" s="23"/>
      <c r="G65" s="24" t="str" cm="1">
        <f t="array" ref="G65">_xlfn.XLOOKUP(SelectedFile&amp;$F65,hosts_2[Source.Name]&amp;hosts_2[hostname],hosts_2[root.username],"")</f>
        <v/>
      </c>
      <c r="H65" s="24" t="str" cm="1">
        <f t="array" ref="H65">_xlfn.XLOOKUP(SelectedFile&amp;$F65,hosts_2[Source.Name]&amp;hosts_2[hostname],hosts_2[management.username],"")</f>
        <v/>
      </c>
      <c r="I65" s="24" t="str" cm="1">
        <f t="array" ref="I65">_xlfn.XLOOKUP(SelectedFile&amp;$F65,hosts_2[Source.Name]&amp;hosts_2[hostname],hosts_2[rack_name],"")</f>
        <v/>
      </c>
      <c r="J65" s="24" t="str" cm="1">
        <f t="array" ref="J65">_xlfn.XLOOKUP(SelectedFile&amp;$F65,hosts_2[Source.Name]&amp;hosts_2[hostname],hosts_2[position],"")</f>
        <v/>
      </c>
      <c r="K65" s="24" t="str" cm="1">
        <f t="array" ref="K65">_xlfn.XLOOKUP(SelectedFile&amp;$F65,hosts_2[Source.Name]&amp;hosts_2[hostname],hosts_2[host_psnt],"")</f>
        <v/>
      </c>
      <c r="L65" s="24" t="str" cm="1">
        <f t="array" ref="L65">_xlfn.XLOOKUP(SelectedFile&amp;$F65,hosts_2[Source.Name]&amp;hosts_2[hostname],hosts_2[MANAGEMENT],"")</f>
        <v/>
      </c>
      <c r="M65" s="24" t="str" cm="1">
        <f t="array" ref="M65">_xlfn.XLOOKUP(SelectedFile&amp;$F65,hosts_2[Source.Name]&amp;hosts_2[hostname],hosts_2[VSAN],"")</f>
        <v/>
      </c>
      <c r="N65" s="24" t="str" cm="1">
        <f t="array" ref="N65">_xlfn.XLOOKUP(SelectedFile&amp;$F65,hosts_2[Source.Name]&amp;hosts_2[hostname],hosts_2[VMOTION],"")</f>
        <v/>
      </c>
      <c r="O65" s="24" t="str" cm="1">
        <f t="array" ref="O65">_xlfn.XLOOKUP(SelectedFile&amp;$F65,hosts_2[Source.Name]&amp;hosts_2[hostname],hosts_2[WITNESS],"")</f>
        <v/>
      </c>
      <c r="P65" s="24" t="str" cm="1">
        <f t="array" ref="P65">_xlfn.XLOOKUP(SelectedFile&amp;$F65,hosts_2[Source.Name]&amp;hosts_2[hostname],hosts_2[management_ip],"")</f>
        <v/>
      </c>
      <c r="Q65" s="7"/>
      <c r="R65" s="7"/>
      <c r="S65" s="7"/>
      <c r="T65" s="7"/>
      <c r="U65" s="7"/>
      <c r="V65" s="7"/>
      <c r="W65" s="7"/>
      <c r="X65" s="7"/>
    </row>
    <row r="66" spans="2:24" x14ac:dyDescent="0.25">
      <c r="B66" s="21"/>
      <c r="F66" s="23"/>
      <c r="G66" s="24" t="str" cm="1">
        <f t="array" ref="G66">_xlfn.XLOOKUP(SelectedFile&amp;$F66,hosts_2[Source.Name]&amp;hosts_2[hostname],hosts_2[root.username],"")</f>
        <v/>
      </c>
      <c r="H66" s="24" t="str" cm="1">
        <f t="array" ref="H66">_xlfn.XLOOKUP(SelectedFile&amp;$F66,hosts_2[Source.Name]&amp;hosts_2[hostname],hosts_2[management.username],"")</f>
        <v/>
      </c>
      <c r="I66" s="24" t="str" cm="1">
        <f t="array" ref="I66">_xlfn.XLOOKUP(SelectedFile&amp;$F66,hosts_2[Source.Name]&amp;hosts_2[hostname],hosts_2[rack_name],"")</f>
        <v/>
      </c>
      <c r="J66" s="24" t="str" cm="1">
        <f t="array" ref="J66">_xlfn.XLOOKUP(SelectedFile&amp;$F66,hosts_2[Source.Name]&amp;hosts_2[hostname],hosts_2[position],"")</f>
        <v/>
      </c>
      <c r="K66" s="24" t="str" cm="1">
        <f t="array" ref="K66">_xlfn.XLOOKUP(SelectedFile&amp;$F66,hosts_2[Source.Name]&amp;hosts_2[hostname],hosts_2[host_psnt],"")</f>
        <v/>
      </c>
      <c r="L66" s="24" t="str" cm="1">
        <f t="array" ref="L66">_xlfn.XLOOKUP(SelectedFile&amp;$F66,hosts_2[Source.Name]&amp;hosts_2[hostname],hosts_2[MANAGEMENT],"")</f>
        <v/>
      </c>
      <c r="M66" s="24" t="str" cm="1">
        <f t="array" ref="M66">_xlfn.XLOOKUP(SelectedFile&amp;$F66,hosts_2[Source.Name]&amp;hosts_2[hostname],hosts_2[VSAN],"")</f>
        <v/>
      </c>
      <c r="N66" s="24" t="str" cm="1">
        <f t="array" ref="N66">_xlfn.XLOOKUP(SelectedFile&amp;$F66,hosts_2[Source.Name]&amp;hosts_2[hostname],hosts_2[VMOTION],"")</f>
        <v/>
      </c>
      <c r="O66" s="24" t="str" cm="1">
        <f t="array" ref="O66">_xlfn.XLOOKUP(SelectedFile&amp;$F66,hosts_2[Source.Name]&amp;hosts_2[hostname],hosts_2[WITNESS],"")</f>
        <v/>
      </c>
      <c r="P66" s="24" t="str" cm="1">
        <f t="array" ref="P66">_xlfn.XLOOKUP(SelectedFile&amp;$F66,hosts_2[Source.Name]&amp;hosts_2[hostname],hosts_2[management_ip],"")</f>
        <v/>
      </c>
      <c r="Q66" s="7"/>
      <c r="R66" s="7"/>
      <c r="S66" s="7"/>
      <c r="T66" s="7"/>
      <c r="U66" s="7"/>
      <c r="V66" s="7"/>
      <c r="W66" s="7"/>
      <c r="X66" s="7"/>
    </row>
    <row r="67" spans="2:24" x14ac:dyDescent="0.25">
      <c r="B67" s="21"/>
      <c r="F67" s="23"/>
      <c r="G67" s="24" t="str" cm="1">
        <f t="array" ref="G67">_xlfn.XLOOKUP(SelectedFile&amp;$F67,hosts_2[Source.Name]&amp;hosts_2[hostname],hosts_2[root.username],"")</f>
        <v/>
      </c>
      <c r="H67" s="24" t="str" cm="1">
        <f t="array" ref="H67">_xlfn.XLOOKUP(SelectedFile&amp;$F67,hosts_2[Source.Name]&amp;hosts_2[hostname],hosts_2[management.username],"")</f>
        <v/>
      </c>
      <c r="I67" s="24" t="str" cm="1">
        <f t="array" ref="I67">_xlfn.XLOOKUP(SelectedFile&amp;$F67,hosts_2[Source.Name]&amp;hosts_2[hostname],hosts_2[rack_name],"")</f>
        <v/>
      </c>
      <c r="J67" s="24" t="str" cm="1">
        <f t="array" ref="J67">_xlfn.XLOOKUP(SelectedFile&amp;$F67,hosts_2[Source.Name]&amp;hosts_2[hostname],hosts_2[position],"")</f>
        <v/>
      </c>
      <c r="K67" s="24" t="str" cm="1">
        <f t="array" ref="K67">_xlfn.XLOOKUP(SelectedFile&amp;$F67,hosts_2[Source.Name]&amp;hosts_2[hostname],hosts_2[host_psnt],"")</f>
        <v/>
      </c>
      <c r="L67" s="24" t="str" cm="1">
        <f t="array" ref="L67">_xlfn.XLOOKUP(SelectedFile&amp;$F67,hosts_2[Source.Name]&amp;hosts_2[hostname],hosts_2[MANAGEMENT],"")</f>
        <v/>
      </c>
      <c r="M67" s="24" t="str" cm="1">
        <f t="array" ref="M67">_xlfn.XLOOKUP(SelectedFile&amp;$F67,hosts_2[Source.Name]&amp;hosts_2[hostname],hosts_2[VSAN],"")</f>
        <v/>
      </c>
      <c r="N67" s="24" t="str" cm="1">
        <f t="array" ref="N67">_xlfn.XLOOKUP(SelectedFile&amp;$F67,hosts_2[Source.Name]&amp;hosts_2[hostname],hosts_2[VMOTION],"")</f>
        <v/>
      </c>
      <c r="O67" s="24" t="str" cm="1">
        <f t="array" ref="O67">_xlfn.XLOOKUP(SelectedFile&amp;$F67,hosts_2[Source.Name]&amp;hosts_2[hostname],hosts_2[WITNESS],"")</f>
        <v/>
      </c>
      <c r="P67" s="24" t="str" cm="1">
        <f t="array" ref="P67">_xlfn.XLOOKUP(SelectedFile&amp;$F67,hosts_2[Source.Name]&amp;hosts_2[hostname],hosts_2[management_ip],"")</f>
        <v/>
      </c>
      <c r="Q67" s="7"/>
      <c r="R67" s="7"/>
      <c r="S67" s="7"/>
      <c r="T67" s="7"/>
      <c r="U67" s="7"/>
      <c r="V67" s="7"/>
      <c r="W67" s="7"/>
      <c r="X67" s="7"/>
    </row>
    <row r="68" spans="2:24" x14ac:dyDescent="0.25">
      <c r="B68" s="21"/>
      <c r="F68" s="23"/>
      <c r="G68" s="24" t="str" cm="1">
        <f t="array" ref="G68">_xlfn.XLOOKUP(SelectedFile&amp;$F68,hosts_2[Source.Name]&amp;hosts_2[hostname],hosts_2[root.username],"")</f>
        <v/>
      </c>
      <c r="H68" s="24" t="str" cm="1">
        <f t="array" ref="H68">_xlfn.XLOOKUP(SelectedFile&amp;$F68,hosts_2[Source.Name]&amp;hosts_2[hostname],hosts_2[management.username],"")</f>
        <v/>
      </c>
      <c r="I68" s="24" t="str" cm="1">
        <f t="array" ref="I68">_xlfn.XLOOKUP(SelectedFile&amp;$F68,hosts_2[Source.Name]&amp;hosts_2[hostname],hosts_2[rack_name],"")</f>
        <v/>
      </c>
      <c r="J68" s="24" t="str" cm="1">
        <f t="array" ref="J68">_xlfn.XLOOKUP(SelectedFile&amp;$F68,hosts_2[Source.Name]&amp;hosts_2[hostname],hosts_2[position],"")</f>
        <v/>
      </c>
      <c r="K68" s="24" t="str" cm="1">
        <f t="array" ref="K68">_xlfn.XLOOKUP(SelectedFile&amp;$F68,hosts_2[Source.Name]&amp;hosts_2[hostname],hosts_2[host_psnt],"")</f>
        <v/>
      </c>
      <c r="L68" s="24" t="str" cm="1">
        <f t="array" ref="L68">_xlfn.XLOOKUP(SelectedFile&amp;$F68,hosts_2[Source.Name]&amp;hosts_2[hostname],hosts_2[MANAGEMENT],"")</f>
        <v/>
      </c>
      <c r="M68" s="24" t="str" cm="1">
        <f t="array" ref="M68">_xlfn.XLOOKUP(SelectedFile&amp;$F68,hosts_2[Source.Name]&amp;hosts_2[hostname],hosts_2[VSAN],"")</f>
        <v/>
      </c>
      <c r="N68" s="24" t="str" cm="1">
        <f t="array" ref="N68">_xlfn.XLOOKUP(SelectedFile&amp;$F68,hosts_2[Source.Name]&amp;hosts_2[hostname],hosts_2[VMOTION],"")</f>
        <v/>
      </c>
      <c r="O68" s="24" t="str" cm="1">
        <f t="array" ref="O68">_xlfn.XLOOKUP(SelectedFile&amp;$F68,hosts_2[Source.Name]&amp;hosts_2[hostname],hosts_2[WITNESS],"")</f>
        <v/>
      </c>
      <c r="P68" s="24" t="str" cm="1">
        <f t="array" ref="P68">_xlfn.XLOOKUP(SelectedFile&amp;$F68,hosts_2[Source.Name]&amp;hosts_2[hostname],hosts_2[management_ip],"")</f>
        <v/>
      </c>
      <c r="Q68" s="7"/>
      <c r="R68" s="7"/>
      <c r="S68" s="7"/>
      <c r="T68" s="7"/>
      <c r="U68" s="7"/>
      <c r="V68" s="7"/>
      <c r="W68" s="7"/>
      <c r="X68" s="7"/>
    </row>
    <row r="69" spans="2:24" x14ac:dyDescent="0.25">
      <c r="B69" s="21"/>
      <c r="F69" s="23"/>
      <c r="G69" s="24" t="str" cm="1">
        <f t="array" ref="G69">_xlfn.XLOOKUP(SelectedFile&amp;$F69,hosts_2[Source.Name]&amp;hosts_2[hostname],hosts_2[root.username],"")</f>
        <v/>
      </c>
      <c r="H69" s="24" t="str" cm="1">
        <f t="array" ref="H69">_xlfn.XLOOKUP(SelectedFile&amp;$F69,hosts_2[Source.Name]&amp;hosts_2[hostname],hosts_2[management.username],"")</f>
        <v/>
      </c>
      <c r="I69" s="24" t="str" cm="1">
        <f t="array" ref="I69">_xlfn.XLOOKUP(SelectedFile&amp;$F69,hosts_2[Source.Name]&amp;hosts_2[hostname],hosts_2[rack_name],"")</f>
        <v/>
      </c>
      <c r="J69" s="24" t="str" cm="1">
        <f t="array" ref="J69">_xlfn.XLOOKUP(SelectedFile&amp;$F69,hosts_2[Source.Name]&amp;hosts_2[hostname],hosts_2[position],"")</f>
        <v/>
      </c>
      <c r="K69" s="24" t="str" cm="1">
        <f t="array" ref="K69">_xlfn.XLOOKUP(SelectedFile&amp;$F69,hosts_2[Source.Name]&amp;hosts_2[hostname],hosts_2[host_psnt],"")</f>
        <v/>
      </c>
      <c r="L69" s="24" t="str" cm="1">
        <f t="array" ref="L69">_xlfn.XLOOKUP(SelectedFile&amp;$F69,hosts_2[Source.Name]&amp;hosts_2[hostname],hosts_2[MANAGEMENT],"")</f>
        <v/>
      </c>
      <c r="M69" s="24" t="str" cm="1">
        <f t="array" ref="M69">_xlfn.XLOOKUP(SelectedFile&amp;$F69,hosts_2[Source.Name]&amp;hosts_2[hostname],hosts_2[VSAN],"")</f>
        <v/>
      </c>
      <c r="N69" s="24" t="str" cm="1">
        <f t="array" ref="N69">_xlfn.XLOOKUP(SelectedFile&amp;$F69,hosts_2[Source.Name]&amp;hosts_2[hostname],hosts_2[VMOTION],"")</f>
        <v/>
      </c>
      <c r="O69" s="24" t="str" cm="1">
        <f t="array" ref="O69">_xlfn.XLOOKUP(SelectedFile&amp;$F69,hosts_2[Source.Name]&amp;hosts_2[hostname],hosts_2[WITNESS],"")</f>
        <v/>
      </c>
      <c r="P69" s="24" t="str" cm="1">
        <f t="array" ref="P69">_xlfn.XLOOKUP(SelectedFile&amp;$F69,hosts_2[Source.Name]&amp;hosts_2[hostname],hosts_2[management_ip],"")</f>
        <v/>
      </c>
      <c r="Q69" s="7"/>
      <c r="R69" s="7"/>
      <c r="S69" s="7"/>
      <c r="T69" s="7"/>
      <c r="U69" s="7"/>
      <c r="V69" s="7"/>
      <c r="W69" s="7"/>
      <c r="X69" s="7"/>
    </row>
    <row r="70" spans="2:24" x14ac:dyDescent="0.25">
      <c r="B70" s="21"/>
      <c r="F70" s="23"/>
      <c r="G70" s="24" t="str" cm="1">
        <f t="array" ref="G70">_xlfn.XLOOKUP(SelectedFile&amp;$F70,hosts_2[Source.Name]&amp;hosts_2[hostname],hosts_2[root.username],"")</f>
        <v/>
      </c>
      <c r="H70" s="24" t="str" cm="1">
        <f t="array" ref="H70">_xlfn.XLOOKUP(SelectedFile&amp;$F70,hosts_2[Source.Name]&amp;hosts_2[hostname],hosts_2[management.username],"")</f>
        <v/>
      </c>
      <c r="I70" s="24" t="str" cm="1">
        <f t="array" ref="I70">_xlfn.XLOOKUP(SelectedFile&amp;$F70,hosts_2[Source.Name]&amp;hosts_2[hostname],hosts_2[rack_name],"")</f>
        <v/>
      </c>
      <c r="J70" s="24" t="str" cm="1">
        <f t="array" ref="J70">_xlfn.XLOOKUP(SelectedFile&amp;$F70,hosts_2[Source.Name]&amp;hosts_2[hostname],hosts_2[position],"")</f>
        <v/>
      </c>
      <c r="K70" s="24" t="str" cm="1">
        <f t="array" ref="K70">_xlfn.XLOOKUP(SelectedFile&amp;$F70,hosts_2[Source.Name]&amp;hosts_2[hostname],hosts_2[host_psnt],"")</f>
        <v/>
      </c>
      <c r="L70" s="24" t="str" cm="1">
        <f t="array" ref="L70">_xlfn.XLOOKUP(SelectedFile&amp;$F70,hosts_2[Source.Name]&amp;hosts_2[hostname],hosts_2[MANAGEMENT],"")</f>
        <v/>
      </c>
      <c r="M70" s="24" t="str" cm="1">
        <f t="array" ref="M70">_xlfn.XLOOKUP(SelectedFile&amp;$F70,hosts_2[Source.Name]&amp;hosts_2[hostname],hosts_2[VSAN],"")</f>
        <v/>
      </c>
      <c r="N70" s="24" t="str" cm="1">
        <f t="array" ref="N70">_xlfn.XLOOKUP(SelectedFile&amp;$F70,hosts_2[Source.Name]&amp;hosts_2[hostname],hosts_2[VMOTION],"")</f>
        <v/>
      </c>
      <c r="O70" s="24" t="str" cm="1">
        <f t="array" ref="O70">_xlfn.XLOOKUP(SelectedFile&amp;$F70,hosts_2[Source.Name]&amp;hosts_2[hostname],hosts_2[WITNESS],"")</f>
        <v/>
      </c>
      <c r="P70" s="24" t="str" cm="1">
        <f t="array" ref="P70">_xlfn.XLOOKUP(SelectedFile&amp;$F70,hosts_2[Source.Name]&amp;hosts_2[hostname],hosts_2[management_ip],"")</f>
        <v/>
      </c>
      <c r="Q70" s="7"/>
      <c r="R70" s="7"/>
      <c r="S70" s="7"/>
      <c r="T70" s="7"/>
      <c r="U70" s="7"/>
      <c r="V70" s="7"/>
      <c r="W70" s="7"/>
      <c r="X70" s="7"/>
    </row>
    <row r="71" spans="2:24" x14ac:dyDescent="0.25">
      <c r="B71" s="21"/>
      <c r="F71" s="23"/>
      <c r="G71" s="24" t="str" cm="1">
        <f t="array" ref="G71">_xlfn.XLOOKUP(SelectedFile&amp;$F71,hosts_2[Source.Name]&amp;hosts_2[hostname],hosts_2[root.username],"")</f>
        <v/>
      </c>
      <c r="H71" s="24" t="str" cm="1">
        <f t="array" ref="H71">_xlfn.XLOOKUP(SelectedFile&amp;$F71,hosts_2[Source.Name]&amp;hosts_2[hostname],hosts_2[management.username],"")</f>
        <v/>
      </c>
      <c r="I71" s="24" t="str" cm="1">
        <f t="array" ref="I71">_xlfn.XLOOKUP(SelectedFile&amp;$F71,hosts_2[Source.Name]&amp;hosts_2[hostname],hosts_2[rack_name],"")</f>
        <v/>
      </c>
      <c r="J71" s="24" t="str" cm="1">
        <f t="array" ref="J71">_xlfn.XLOOKUP(SelectedFile&amp;$F71,hosts_2[Source.Name]&amp;hosts_2[hostname],hosts_2[position],"")</f>
        <v/>
      </c>
      <c r="K71" s="24" t="str" cm="1">
        <f t="array" ref="K71">_xlfn.XLOOKUP(SelectedFile&amp;$F71,hosts_2[Source.Name]&amp;hosts_2[hostname],hosts_2[host_psnt],"")</f>
        <v/>
      </c>
      <c r="L71" s="24" t="str" cm="1">
        <f t="array" ref="L71">_xlfn.XLOOKUP(SelectedFile&amp;$F71,hosts_2[Source.Name]&amp;hosts_2[hostname],hosts_2[MANAGEMENT],"")</f>
        <v/>
      </c>
      <c r="M71" s="24" t="str" cm="1">
        <f t="array" ref="M71">_xlfn.XLOOKUP(SelectedFile&amp;$F71,hosts_2[Source.Name]&amp;hosts_2[hostname],hosts_2[VSAN],"")</f>
        <v/>
      </c>
      <c r="N71" s="24" t="str" cm="1">
        <f t="array" ref="N71">_xlfn.XLOOKUP(SelectedFile&amp;$F71,hosts_2[Source.Name]&amp;hosts_2[hostname],hosts_2[VMOTION],"")</f>
        <v/>
      </c>
      <c r="O71" s="24" t="str" cm="1">
        <f t="array" ref="O71">_xlfn.XLOOKUP(SelectedFile&amp;$F71,hosts_2[Source.Name]&amp;hosts_2[hostname],hosts_2[WITNESS],"")</f>
        <v/>
      </c>
      <c r="P71" s="24" t="str" cm="1">
        <f t="array" ref="P71">_xlfn.XLOOKUP(SelectedFile&amp;$F71,hosts_2[Source.Name]&amp;hosts_2[hostname],hosts_2[management_ip],"")</f>
        <v/>
      </c>
      <c r="Q71" s="7"/>
      <c r="R71" s="7"/>
      <c r="S71" s="7"/>
      <c r="T71" s="7"/>
      <c r="U71" s="7"/>
      <c r="V71" s="7"/>
      <c r="W71" s="7"/>
      <c r="X71" s="7"/>
    </row>
    <row r="72" spans="2:24" x14ac:dyDescent="0.25">
      <c r="B72" s="21"/>
      <c r="F72" s="23"/>
      <c r="G72" s="24" t="str" cm="1">
        <f t="array" ref="G72">_xlfn.XLOOKUP(SelectedFile&amp;$F72,hosts_2[Source.Name]&amp;hosts_2[hostname],hosts_2[root.username],"")</f>
        <v/>
      </c>
      <c r="H72" s="24" t="str" cm="1">
        <f t="array" ref="H72">_xlfn.XLOOKUP(SelectedFile&amp;$F72,hosts_2[Source.Name]&amp;hosts_2[hostname],hosts_2[management.username],"")</f>
        <v/>
      </c>
      <c r="I72" s="24" t="str" cm="1">
        <f t="array" ref="I72">_xlfn.XLOOKUP(SelectedFile&amp;$F72,hosts_2[Source.Name]&amp;hosts_2[hostname],hosts_2[rack_name],"")</f>
        <v/>
      </c>
      <c r="J72" s="24" t="str" cm="1">
        <f t="array" ref="J72">_xlfn.XLOOKUP(SelectedFile&amp;$F72,hosts_2[Source.Name]&amp;hosts_2[hostname],hosts_2[position],"")</f>
        <v/>
      </c>
      <c r="K72" s="24" t="str" cm="1">
        <f t="array" ref="K72">_xlfn.XLOOKUP(SelectedFile&amp;$F72,hosts_2[Source.Name]&amp;hosts_2[hostname],hosts_2[host_psnt],"")</f>
        <v/>
      </c>
      <c r="L72" s="24" t="str" cm="1">
        <f t="array" ref="L72">_xlfn.XLOOKUP(SelectedFile&amp;$F72,hosts_2[Source.Name]&amp;hosts_2[hostname],hosts_2[MANAGEMENT],"")</f>
        <v/>
      </c>
      <c r="M72" s="24" t="str" cm="1">
        <f t="array" ref="M72">_xlfn.XLOOKUP(SelectedFile&amp;$F72,hosts_2[Source.Name]&amp;hosts_2[hostname],hosts_2[VSAN],"")</f>
        <v/>
      </c>
      <c r="N72" s="24" t="str" cm="1">
        <f t="array" ref="N72">_xlfn.XLOOKUP(SelectedFile&amp;$F72,hosts_2[Source.Name]&amp;hosts_2[hostname],hosts_2[VMOTION],"")</f>
        <v/>
      </c>
      <c r="O72" s="24" t="str" cm="1">
        <f t="array" ref="O72">_xlfn.XLOOKUP(SelectedFile&amp;$F72,hosts_2[Source.Name]&amp;hosts_2[hostname],hosts_2[WITNESS],"")</f>
        <v/>
      </c>
      <c r="P72" s="24" t="str" cm="1">
        <f t="array" ref="P72">_xlfn.XLOOKUP(SelectedFile&amp;$F72,hosts_2[Source.Name]&amp;hosts_2[hostname],hosts_2[management_ip],"")</f>
        <v/>
      </c>
      <c r="Q72" s="7"/>
      <c r="R72" s="7"/>
      <c r="S72" s="7"/>
      <c r="T72" s="7"/>
      <c r="U72" s="7"/>
      <c r="V72" s="7"/>
      <c r="W72" s="7"/>
      <c r="X72" s="7"/>
    </row>
    <row r="73" spans="2:24" x14ac:dyDescent="0.25">
      <c r="B73" s="21"/>
      <c r="F73" s="23"/>
      <c r="G73" s="24" t="str" cm="1">
        <f t="array" ref="G73">_xlfn.XLOOKUP(SelectedFile&amp;$F73,hosts_2[Source.Name]&amp;hosts_2[hostname],hosts_2[root.username],"")</f>
        <v/>
      </c>
      <c r="H73" s="24" t="str" cm="1">
        <f t="array" ref="H73">_xlfn.XLOOKUP(SelectedFile&amp;$F73,hosts_2[Source.Name]&amp;hosts_2[hostname],hosts_2[management.username],"")</f>
        <v/>
      </c>
      <c r="I73" s="24" t="str" cm="1">
        <f t="array" ref="I73">_xlfn.XLOOKUP(SelectedFile&amp;$F73,hosts_2[Source.Name]&amp;hosts_2[hostname],hosts_2[rack_name],"")</f>
        <v/>
      </c>
      <c r="J73" s="24" t="str" cm="1">
        <f t="array" ref="J73">_xlfn.XLOOKUP(SelectedFile&amp;$F73,hosts_2[Source.Name]&amp;hosts_2[hostname],hosts_2[position],"")</f>
        <v/>
      </c>
      <c r="K73" s="24" t="str" cm="1">
        <f t="array" ref="K73">_xlfn.XLOOKUP(SelectedFile&amp;$F73,hosts_2[Source.Name]&amp;hosts_2[hostname],hosts_2[host_psnt],"")</f>
        <v/>
      </c>
      <c r="L73" s="24" t="str" cm="1">
        <f t="array" ref="L73">_xlfn.XLOOKUP(SelectedFile&amp;$F73,hosts_2[Source.Name]&amp;hosts_2[hostname],hosts_2[MANAGEMENT],"")</f>
        <v/>
      </c>
      <c r="M73" s="24" t="str" cm="1">
        <f t="array" ref="M73">_xlfn.XLOOKUP(SelectedFile&amp;$F73,hosts_2[Source.Name]&amp;hosts_2[hostname],hosts_2[VSAN],"")</f>
        <v/>
      </c>
      <c r="N73" s="24" t="str" cm="1">
        <f t="array" ref="N73">_xlfn.XLOOKUP(SelectedFile&amp;$F73,hosts_2[Source.Name]&amp;hosts_2[hostname],hosts_2[VMOTION],"")</f>
        <v/>
      </c>
      <c r="O73" s="24" t="str" cm="1">
        <f t="array" ref="O73">_xlfn.XLOOKUP(SelectedFile&amp;$F73,hosts_2[Source.Name]&amp;hosts_2[hostname],hosts_2[WITNESS],"")</f>
        <v/>
      </c>
      <c r="P73" s="24" t="str" cm="1">
        <f t="array" ref="P73">_xlfn.XLOOKUP(SelectedFile&amp;$F73,hosts_2[Source.Name]&amp;hosts_2[hostname],hosts_2[management_ip],"")</f>
        <v/>
      </c>
      <c r="Q73" s="7"/>
      <c r="R73" s="7"/>
      <c r="S73" s="7"/>
      <c r="T73" s="7"/>
      <c r="U73" s="7"/>
      <c r="V73" s="7"/>
      <c r="W73" s="7"/>
      <c r="X73" s="7"/>
    </row>
    <row r="74" spans="2:24" x14ac:dyDescent="0.25">
      <c r="B74" s="21"/>
      <c r="F74" s="23"/>
      <c r="G74" s="24" t="str" cm="1">
        <f t="array" ref="G74">_xlfn.XLOOKUP(SelectedFile&amp;$F74,hosts_2[Source.Name]&amp;hosts_2[hostname],hosts_2[root.username],"")</f>
        <v/>
      </c>
      <c r="H74" s="24" t="str" cm="1">
        <f t="array" ref="H74">_xlfn.XLOOKUP(SelectedFile&amp;$F74,hosts_2[Source.Name]&amp;hosts_2[hostname],hosts_2[management.username],"")</f>
        <v/>
      </c>
      <c r="I74" s="24" t="str" cm="1">
        <f t="array" ref="I74">_xlfn.XLOOKUP(SelectedFile&amp;$F74,hosts_2[Source.Name]&amp;hosts_2[hostname],hosts_2[rack_name],"")</f>
        <v/>
      </c>
      <c r="J74" s="24" t="str" cm="1">
        <f t="array" ref="J74">_xlfn.XLOOKUP(SelectedFile&amp;$F74,hosts_2[Source.Name]&amp;hosts_2[hostname],hosts_2[position],"")</f>
        <v/>
      </c>
      <c r="K74" s="24" t="str" cm="1">
        <f t="array" ref="K74">_xlfn.XLOOKUP(SelectedFile&amp;$F74,hosts_2[Source.Name]&amp;hosts_2[hostname],hosts_2[host_psnt],"")</f>
        <v/>
      </c>
      <c r="L74" s="24" t="str" cm="1">
        <f t="array" ref="L74">_xlfn.XLOOKUP(SelectedFile&amp;$F74,hosts_2[Source.Name]&amp;hosts_2[hostname],hosts_2[MANAGEMENT],"")</f>
        <v/>
      </c>
      <c r="M74" s="24" t="str" cm="1">
        <f t="array" ref="M74">_xlfn.XLOOKUP(SelectedFile&amp;$F74,hosts_2[Source.Name]&amp;hosts_2[hostname],hosts_2[VSAN],"")</f>
        <v/>
      </c>
      <c r="N74" s="24" t="str" cm="1">
        <f t="array" ref="N74">_xlfn.XLOOKUP(SelectedFile&amp;$F74,hosts_2[Source.Name]&amp;hosts_2[hostname],hosts_2[VMOTION],"")</f>
        <v/>
      </c>
      <c r="O74" s="24" t="str" cm="1">
        <f t="array" ref="O74">_xlfn.XLOOKUP(SelectedFile&amp;$F74,hosts_2[Source.Name]&amp;hosts_2[hostname],hosts_2[WITNESS],"")</f>
        <v/>
      </c>
      <c r="P74" s="24" t="str" cm="1">
        <f t="array" ref="P74">_xlfn.XLOOKUP(SelectedFile&amp;$F74,hosts_2[Source.Name]&amp;hosts_2[hostname],hosts_2[management_ip],"")</f>
        <v/>
      </c>
      <c r="Q74" s="7"/>
      <c r="R74" s="7"/>
      <c r="S74" s="7"/>
      <c r="T74" s="7"/>
      <c r="U74" s="7"/>
      <c r="V74" s="7"/>
      <c r="W74" s="7"/>
      <c r="X74" s="7"/>
    </row>
    <row r="75" spans="2:24" x14ac:dyDescent="0.25">
      <c r="B75" s="21"/>
      <c r="F75" s="23"/>
      <c r="G75" s="24" t="str" cm="1">
        <f t="array" ref="G75">_xlfn.XLOOKUP(SelectedFile&amp;$F75,hosts_2[Source.Name]&amp;hosts_2[hostname],hosts_2[root.username],"")</f>
        <v/>
      </c>
      <c r="H75" s="24" t="str" cm="1">
        <f t="array" ref="H75">_xlfn.XLOOKUP(SelectedFile&amp;$F75,hosts_2[Source.Name]&amp;hosts_2[hostname],hosts_2[management.username],"")</f>
        <v/>
      </c>
      <c r="I75" s="24" t="str" cm="1">
        <f t="array" ref="I75">_xlfn.XLOOKUP(SelectedFile&amp;$F75,hosts_2[Source.Name]&amp;hosts_2[hostname],hosts_2[rack_name],"")</f>
        <v/>
      </c>
      <c r="J75" s="24" t="str" cm="1">
        <f t="array" ref="J75">_xlfn.XLOOKUP(SelectedFile&amp;$F75,hosts_2[Source.Name]&amp;hosts_2[hostname],hosts_2[position],"")</f>
        <v/>
      </c>
      <c r="K75" s="24" t="str" cm="1">
        <f t="array" ref="K75">_xlfn.XLOOKUP(SelectedFile&amp;$F75,hosts_2[Source.Name]&amp;hosts_2[hostname],hosts_2[host_psnt],"")</f>
        <v/>
      </c>
      <c r="L75" s="24" t="str" cm="1">
        <f t="array" ref="L75">_xlfn.XLOOKUP(SelectedFile&amp;$F75,hosts_2[Source.Name]&amp;hosts_2[hostname],hosts_2[MANAGEMENT],"")</f>
        <v/>
      </c>
      <c r="M75" s="24" t="str" cm="1">
        <f t="array" ref="M75">_xlfn.XLOOKUP(SelectedFile&amp;$F75,hosts_2[Source.Name]&amp;hosts_2[hostname],hosts_2[VSAN],"")</f>
        <v/>
      </c>
      <c r="N75" s="24" t="str" cm="1">
        <f t="array" ref="N75">_xlfn.XLOOKUP(SelectedFile&amp;$F75,hosts_2[Source.Name]&amp;hosts_2[hostname],hosts_2[VMOTION],"")</f>
        <v/>
      </c>
      <c r="O75" s="24" t="str" cm="1">
        <f t="array" ref="O75">_xlfn.XLOOKUP(SelectedFile&amp;$F75,hosts_2[Source.Name]&amp;hosts_2[hostname],hosts_2[WITNESS],"")</f>
        <v/>
      </c>
      <c r="P75" s="24" t="str" cm="1">
        <f t="array" ref="P75">_xlfn.XLOOKUP(SelectedFile&amp;$F75,hosts_2[Source.Name]&amp;hosts_2[hostname],hosts_2[management_ip],"")</f>
        <v/>
      </c>
      <c r="Q75" s="7"/>
      <c r="R75" s="7"/>
      <c r="S75" s="7"/>
      <c r="T75" s="7"/>
      <c r="U75" s="7"/>
      <c r="V75" s="7"/>
      <c r="W75" s="7"/>
      <c r="X75" s="7"/>
    </row>
    <row r="76" spans="2:24" x14ac:dyDescent="0.25">
      <c r="B76" s="21"/>
      <c r="F76" s="23"/>
      <c r="G76" s="24" t="str" cm="1">
        <f t="array" ref="G76">_xlfn.XLOOKUP(SelectedFile&amp;$F76,hosts_2[Source.Name]&amp;hosts_2[hostname],hosts_2[root.username],"")</f>
        <v/>
      </c>
      <c r="H76" s="24" t="str" cm="1">
        <f t="array" ref="H76">_xlfn.XLOOKUP(SelectedFile&amp;$F76,hosts_2[Source.Name]&amp;hosts_2[hostname],hosts_2[management.username],"")</f>
        <v/>
      </c>
      <c r="I76" s="24" t="str" cm="1">
        <f t="array" ref="I76">_xlfn.XLOOKUP(SelectedFile&amp;$F76,hosts_2[Source.Name]&amp;hosts_2[hostname],hosts_2[rack_name],"")</f>
        <v/>
      </c>
      <c r="J76" s="24" t="str" cm="1">
        <f t="array" ref="J76">_xlfn.XLOOKUP(SelectedFile&amp;$F76,hosts_2[Source.Name]&amp;hosts_2[hostname],hosts_2[position],"")</f>
        <v/>
      </c>
      <c r="K76" s="24" t="str" cm="1">
        <f t="array" ref="K76">_xlfn.XLOOKUP(SelectedFile&amp;$F76,hosts_2[Source.Name]&amp;hosts_2[hostname],hosts_2[host_psnt],"")</f>
        <v/>
      </c>
      <c r="L76" s="24" t="str" cm="1">
        <f t="array" ref="L76">_xlfn.XLOOKUP(SelectedFile&amp;$F76,hosts_2[Source.Name]&amp;hosts_2[hostname],hosts_2[MANAGEMENT],"")</f>
        <v/>
      </c>
      <c r="M76" s="24" t="str" cm="1">
        <f t="array" ref="M76">_xlfn.XLOOKUP(SelectedFile&amp;$F76,hosts_2[Source.Name]&amp;hosts_2[hostname],hosts_2[VSAN],"")</f>
        <v/>
      </c>
      <c r="N76" s="24" t="str" cm="1">
        <f t="array" ref="N76">_xlfn.XLOOKUP(SelectedFile&amp;$F76,hosts_2[Source.Name]&amp;hosts_2[hostname],hosts_2[VMOTION],"")</f>
        <v/>
      </c>
      <c r="O76" s="24" t="str" cm="1">
        <f t="array" ref="O76">_xlfn.XLOOKUP(SelectedFile&amp;$F76,hosts_2[Source.Name]&amp;hosts_2[hostname],hosts_2[WITNESS],"")</f>
        <v/>
      </c>
      <c r="P76" s="24" t="str" cm="1">
        <f t="array" ref="P76">_xlfn.XLOOKUP(SelectedFile&amp;$F76,hosts_2[Source.Name]&amp;hosts_2[hostname],hosts_2[management_ip],"")</f>
        <v/>
      </c>
      <c r="Q76" s="7"/>
      <c r="R76" s="7"/>
      <c r="S76" s="7"/>
      <c r="T76" s="7"/>
      <c r="U76" s="7"/>
      <c r="V76" s="7"/>
      <c r="W76" s="7"/>
      <c r="X76" s="7"/>
    </row>
    <row r="77" spans="2:24" x14ac:dyDescent="0.25">
      <c r="B77" s="21"/>
      <c r="F77" s="23"/>
      <c r="G77" s="24" t="str" cm="1">
        <f t="array" ref="G77">_xlfn.XLOOKUP(SelectedFile&amp;$F77,hosts_2[Source.Name]&amp;hosts_2[hostname],hosts_2[root.username],"")</f>
        <v/>
      </c>
      <c r="H77" s="24" t="str" cm="1">
        <f t="array" ref="H77">_xlfn.XLOOKUP(SelectedFile&amp;$F77,hosts_2[Source.Name]&amp;hosts_2[hostname],hosts_2[management.username],"")</f>
        <v/>
      </c>
      <c r="I77" s="24" t="str" cm="1">
        <f t="array" ref="I77">_xlfn.XLOOKUP(SelectedFile&amp;$F77,hosts_2[Source.Name]&amp;hosts_2[hostname],hosts_2[rack_name],"")</f>
        <v/>
      </c>
      <c r="J77" s="24" t="str" cm="1">
        <f t="array" ref="J77">_xlfn.XLOOKUP(SelectedFile&amp;$F77,hosts_2[Source.Name]&amp;hosts_2[hostname],hosts_2[position],"")</f>
        <v/>
      </c>
      <c r="K77" s="24" t="str" cm="1">
        <f t="array" ref="K77">_xlfn.XLOOKUP(SelectedFile&amp;$F77,hosts_2[Source.Name]&amp;hosts_2[hostname],hosts_2[host_psnt],"")</f>
        <v/>
      </c>
      <c r="L77" s="24" t="str" cm="1">
        <f t="array" ref="L77">_xlfn.XLOOKUP(SelectedFile&amp;$F77,hosts_2[Source.Name]&amp;hosts_2[hostname],hosts_2[MANAGEMENT],"")</f>
        <v/>
      </c>
      <c r="M77" s="24" t="str" cm="1">
        <f t="array" ref="M77">_xlfn.XLOOKUP(SelectedFile&amp;$F77,hosts_2[Source.Name]&amp;hosts_2[hostname],hosts_2[VSAN],"")</f>
        <v/>
      </c>
      <c r="N77" s="24" t="str" cm="1">
        <f t="array" ref="N77">_xlfn.XLOOKUP(SelectedFile&amp;$F77,hosts_2[Source.Name]&amp;hosts_2[hostname],hosts_2[VMOTION],"")</f>
        <v/>
      </c>
      <c r="O77" s="24" t="str" cm="1">
        <f t="array" ref="O77">_xlfn.XLOOKUP(SelectedFile&amp;$F77,hosts_2[Source.Name]&amp;hosts_2[hostname],hosts_2[WITNESS],"")</f>
        <v/>
      </c>
      <c r="P77" s="24" t="str" cm="1">
        <f t="array" ref="P77">_xlfn.XLOOKUP(SelectedFile&amp;$F77,hosts_2[Source.Name]&amp;hosts_2[hostname],hosts_2[management_ip],"")</f>
        <v/>
      </c>
      <c r="Q77" s="7"/>
      <c r="X77" s="7"/>
    </row>
    <row r="78" spans="2:24" x14ac:dyDescent="0.25">
      <c r="B78" s="21"/>
      <c r="F78" s="23"/>
      <c r="G78" s="24" t="str" cm="1">
        <f t="array" ref="G78">_xlfn.XLOOKUP(SelectedFile&amp;$F78,hosts_2[Source.Name]&amp;hosts_2[hostname],hosts_2[root.username],"")</f>
        <v/>
      </c>
      <c r="H78" s="24" t="str" cm="1">
        <f t="array" ref="H78">_xlfn.XLOOKUP(SelectedFile&amp;$F78,hosts_2[Source.Name]&amp;hosts_2[hostname],hosts_2[management.username],"")</f>
        <v/>
      </c>
      <c r="I78" s="24" t="str" cm="1">
        <f t="array" ref="I78">_xlfn.XLOOKUP(SelectedFile&amp;$F78,hosts_2[Source.Name]&amp;hosts_2[hostname],hosts_2[rack_name],"")</f>
        <v/>
      </c>
      <c r="J78" s="24" t="str" cm="1">
        <f t="array" ref="J78">_xlfn.XLOOKUP(SelectedFile&amp;$F78,hosts_2[Source.Name]&amp;hosts_2[hostname],hosts_2[position],"")</f>
        <v/>
      </c>
      <c r="K78" s="24" t="str" cm="1">
        <f t="array" ref="K78">_xlfn.XLOOKUP(SelectedFile&amp;$F78,hosts_2[Source.Name]&amp;hosts_2[hostname],hosts_2[host_psnt],"")</f>
        <v/>
      </c>
      <c r="L78" s="24" t="str" cm="1">
        <f t="array" ref="L78">_xlfn.XLOOKUP(SelectedFile&amp;$F78,hosts_2[Source.Name]&amp;hosts_2[hostname],hosts_2[MANAGEMENT],"")</f>
        <v/>
      </c>
      <c r="M78" s="24" t="str" cm="1">
        <f t="array" ref="M78">_xlfn.XLOOKUP(SelectedFile&amp;$F78,hosts_2[Source.Name]&amp;hosts_2[hostname],hosts_2[VSAN],"")</f>
        <v/>
      </c>
      <c r="N78" s="24" t="str" cm="1">
        <f t="array" ref="N78">_xlfn.XLOOKUP(SelectedFile&amp;$F78,hosts_2[Source.Name]&amp;hosts_2[hostname],hosts_2[VMOTION],"")</f>
        <v/>
      </c>
      <c r="O78" s="24" t="str" cm="1">
        <f t="array" ref="O78">_xlfn.XLOOKUP(SelectedFile&amp;$F78,hosts_2[Source.Name]&amp;hosts_2[hostname],hosts_2[WITNESS],"")</f>
        <v/>
      </c>
      <c r="P78" s="24" t="str" cm="1">
        <f t="array" ref="P78">_xlfn.XLOOKUP(SelectedFile&amp;$F78,hosts_2[Source.Name]&amp;hosts_2[hostname],hosts_2[management_ip],"")</f>
        <v/>
      </c>
      <c r="Q78" s="7"/>
      <c r="X78" s="7"/>
    </row>
    <row r="79" spans="2:24" x14ac:dyDescent="0.25">
      <c r="B79" s="21"/>
      <c r="F79" s="23"/>
      <c r="G79" s="24" t="str" cm="1">
        <f t="array" ref="G79">_xlfn.XLOOKUP(SelectedFile&amp;$F79,hosts_2[Source.Name]&amp;hosts_2[hostname],hosts_2[root.username],"")</f>
        <v/>
      </c>
      <c r="H79" s="24" t="str" cm="1">
        <f t="array" ref="H79">_xlfn.XLOOKUP(SelectedFile&amp;$F79,hosts_2[Source.Name]&amp;hosts_2[hostname],hosts_2[management.username],"")</f>
        <v/>
      </c>
      <c r="I79" s="24" t="str" cm="1">
        <f t="array" ref="I79">_xlfn.XLOOKUP(SelectedFile&amp;$F79,hosts_2[Source.Name]&amp;hosts_2[hostname],hosts_2[rack_name],"")</f>
        <v/>
      </c>
      <c r="J79" s="24" t="str" cm="1">
        <f t="array" ref="J79">_xlfn.XLOOKUP(SelectedFile&amp;$F79,hosts_2[Source.Name]&amp;hosts_2[hostname],hosts_2[position],"")</f>
        <v/>
      </c>
      <c r="K79" s="24" t="str" cm="1">
        <f t="array" ref="K79">_xlfn.XLOOKUP(SelectedFile&amp;$F79,hosts_2[Source.Name]&amp;hosts_2[hostname],hosts_2[host_psnt],"")</f>
        <v/>
      </c>
      <c r="L79" s="24" t="str" cm="1">
        <f t="array" ref="L79">_xlfn.XLOOKUP(SelectedFile&amp;$F79,hosts_2[Source.Name]&amp;hosts_2[hostname],hosts_2[MANAGEMENT],"")</f>
        <v/>
      </c>
      <c r="M79" s="24" t="str" cm="1">
        <f t="array" ref="M79">_xlfn.XLOOKUP(SelectedFile&amp;$F79,hosts_2[Source.Name]&amp;hosts_2[hostname],hosts_2[VSAN],"")</f>
        <v/>
      </c>
      <c r="N79" s="24" t="str" cm="1">
        <f t="array" ref="N79">_xlfn.XLOOKUP(SelectedFile&amp;$F79,hosts_2[Source.Name]&amp;hosts_2[hostname],hosts_2[VMOTION],"")</f>
        <v/>
      </c>
      <c r="O79" s="24" t="str" cm="1">
        <f t="array" ref="O79">_xlfn.XLOOKUP(SelectedFile&amp;$F79,hosts_2[Source.Name]&amp;hosts_2[hostname],hosts_2[WITNESS],"")</f>
        <v/>
      </c>
      <c r="P79" s="24" t="str" cm="1">
        <f t="array" ref="P79">_xlfn.XLOOKUP(SelectedFile&amp;$F79,hosts_2[Source.Name]&amp;hosts_2[hostname],hosts_2[management_ip],"")</f>
        <v/>
      </c>
      <c r="Q79" s="7"/>
      <c r="X79" s="7"/>
    </row>
    <row r="80" spans="2:24" x14ac:dyDescent="0.25">
      <c r="B80" s="21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7"/>
      <c r="X80" s="7"/>
    </row>
    <row r="81" spans="2:24" x14ac:dyDescent="0.25">
      <c r="B81" s="21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7"/>
      <c r="X81" s="7"/>
    </row>
    <row r="82" spans="2:24" x14ac:dyDescent="0.25">
      <c r="B82" s="21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7"/>
      <c r="X82" s="7"/>
    </row>
    <row r="83" spans="2:24" x14ac:dyDescent="0.25">
      <c r="B83" s="21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7"/>
      <c r="X83" s="7"/>
    </row>
    <row r="84" spans="2:24" x14ac:dyDescent="0.25">
      <c r="B84" s="21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7"/>
      <c r="X84" s="7"/>
    </row>
    <row r="85" spans="2:24" x14ac:dyDescent="0.25">
      <c r="B85" s="21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7"/>
      <c r="X85" s="7"/>
    </row>
    <row r="86" spans="2:24" x14ac:dyDescent="0.25">
      <c r="B86" s="21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7"/>
      <c r="X86" s="7"/>
    </row>
    <row r="87" spans="2:24" x14ac:dyDescent="0.25">
      <c r="B87" s="21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7"/>
      <c r="X87" s="7"/>
    </row>
    <row r="88" spans="2:24" x14ac:dyDescent="0.25">
      <c r="B88" s="21"/>
      <c r="Q88" s="7"/>
      <c r="X88" s="7"/>
    </row>
    <row r="89" spans="2:24" x14ac:dyDescent="0.25">
      <c r="B89" s="21"/>
    </row>
    <row r="90" spans="2:24" x14ac:dyDescent="0.25">
      <c r="B90" s="21"/>
    </row>
    <row r="91" spans="2:24" x14ac:dyDescent="0.25">
      <c r="B91" s="21"/>
    </row>
    <row r="92" spans="2:24" x14ac:dyDescent="0.25">
      <c r="B92" s="21"/>
    </row>
    <row r="93" spans="2:24" x14ac:dyDescent="0.25">
      <c r="B93" s="21"/>
    </row>
    <row r="94" spans="2:24" x14ac:dyDescent="0.25">
      <c r="B94" s="21"/>
    </row>
    <row r="95" spans="2:24" x14ac:dyDescent="0.25">
      <c r="B95" s="21"/>
    </row>
    <row r="96" spans="2:24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</sheetData>
  <mergeCells count="1">
    <mergeCell ref="B38:C38"/>
  </mergeCells>
  <phoneticPr fontId="3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ComboBox1">
          <controlPr defaultSize="0" autoLine="0" linkedCell="B1" listFillRange="B39:B2409" r:id="rId5">
            <anchor moveWithCells="1">
              <from>
                <xdr:col>1</xdr:col>
                <xdr:colOff>0</xdr:colOff>
                <xdr:row>0</xdr:row>
                <xdr:rowOff>171450</xdr:rowOff>
              </from>
              <to>
                <xdr:col>2</xdr:col>
                <xdr:colOff>1714500</xdr:colOff>
                <xdr:row>2</xdr:row>
                <xdr:rowOff>95250</xdr:rowOff>
              </to>
            </anchor>
          </controlPr>
        </control>
      </mc:Choice>
      <mc:Fallback>
        <control shapeId="1039" r:id="rId4" name="ComboBox1"/>
      </mc:Fallback>
    </mc:AlternateContent>
    <mc:AlternateContent xmlns:mc="http://schemas.openxmlformats.org/markup-compatibility/2006">
      <mc:Choice Requires="x14">
        <control shapeId="1044" r:id="rId6" name="TextBox2">
          <controlPr defaultSize="0" autoLine="0" altText="Keyword search" linkedCell="A4" r:id="rId7">
            <anchor moveWithCells="1">
              <from>
                <xdr:col>2</xdr:col>
                <xdr:colOff>114300</xdr:colOff>
                <xdr:row>34</xdr:row>
                <xdr:rowOff>142875</xdr:rowOff>
              </from>
              <to>
                <xdr:col>3</xdr:col>
                <xdr:colOff>0</xdr:colOff>
                <xdr:row>36</xdr:row>
                <xdr:rowOff>66675</xdr:rowOff>
              </to>
            </anchor>
          </controlPr>
        </control>
      </mc:Choice>
      <mc:Fallback>
        <control shapeId="1044" r:id="rId6" name="TextBox2"/>
      </mc:Fallback>
    </mc:AlternateContent>
    <mc:AlternateContent xmlns:mc="http://schemas.openxmlformats.org/markup-compatibility/2006">
      <mc:Choice Requires="x14">
        <control shapeId="1045" r:id="rId8" name="ComboBox2">
          <controlPr defaultSize="0" autoLine="0" linkedCell="A2" listFillRange="keywords!B2:B59" r:id="rId9">
            <anchor moveWithCells="1">
              <from>
                <xdr:col>1</xdr:col>
                <xdr:colOff>57150</xdr:colOff>
                <xdr:row>34</xdr:row>
                <xdr:rowOff>152400</xdr:rowOff>
              </from>
              <to>
                <xdr:col>2</xdr:col>
                <xdr:colOff>19050</xdr:colOff>
                <xdr:row>36</xdr:row>
                <xdr:rowOff>38100</xdr:rowOff>
              </to>
            </anchor>
          </controlPr>
        </control>
      </mc:Choice>
      <mc:Fallback>
        <control shapeId="1045" r:id="rId8" name="ComboBox2"/>
      </mc:Fallback>
    </mc:AlternateContent>
  </controls>
  <tableParts count="2"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CA0-5471-438C-A210-9A6F18AE3454}">
  <sheetPr codeName="Sheet7"/>
  <dimension ref="A1:C9"/>
  <sheetViews>
    <sheetView workbookViewId="0">
      <selection sqref="A1:C21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81.140625" customWidth="1"/>
    <col min="4" max="4" width="81.140625" bestFit="1" customWidth="1"/>
  </cols>
  <sheetData>
    <row r="1" spans="1:3" x14ac:dyDescent="0.25">
      <c r="A1" t="s">
        <v>0</v>
      </c>
      <c r="B1" t="s">
        <v>402</v>
      </c>
      <c r="C1" t="s">
        <v>363</v>
      </c>
    </row>
    <row r="2" spans="1:3" x14ac:dyDescent="0.25">
      <c r="A2" s="1" t="s">
        <v>5</v>
      </c>
      <c r="B2" s="1" t="s">
        <v>403</v>
      </c>
      <c r="C2" s="1" t="s">
        <v>404</v>
      </c>
    </row>
    <row r="3" spans="1:3" x14ac:dyDescent="0.25">
      <c r="A3" s="1" t="s">
        <v>369</v>
      </c>
      <c r="B3" s="1" t="s">
        <v>405</v>
      </c>
      <c r="C3" s="1" t="s">
        <v>406</v>
      </c>
    </row>
    <row r="4" spans="1:3" x14ac:dyDescent="0.25">
      <c r="A4" s="1" t="s">
        <v>6</v>
      </c>
      <c r="B4" s="1" t="s">
        <v>407</v>
      </c>
      <c r="C4" s="1" t="s">
        <v>408</v>
      </c>
    </row>
    <row r="5" spans="1:3" x14ac:dyDescent="0.25">
      <c r="A5" s="1" t="s">
        <v>370</v>
      </c>
      <c r="B5" s="1" t="s">
        <v>409</v>
      </c>
      <c r="C5" s="1" t="s">
        <v>410</v>
      </c>
    </row>
    <row r="6" spans="1:3" x14ac:dyDescent="0.25">
      <c r="A6" s="1" t="s">
        <v>7</v>
      </c>
      <c r="B6" s="1" t="s">
        <v>411</v>
      </c>
      <c r="C6" s="1" t="s">
        <v>412</v>
      </c>
    </row>
    <row r="7" spans="1:3" x14ac:dyDescent="0.25">
      <c r="A7" s="1" t="s">
        <v>371</v>
      </c>
      <c r="B7" s="1" t="s">
        <v>413</v>
      </c>
      <c r="C7" s="1" t="s">
        <v>410</v>
      </c>
    </row>
    <row r="8" spans="1:3" x14ac:dyDescent="0.25">
      <c r="A8" s="1" t="s">
        <v>260</v>
      </c>
      <c r="B8" s="1" t="s">
        <v>414</v>
      </c>
      <c r="C8" s="1" t="s">
        <v>415</v>
      </c>
    </row>
    <row r="9" spans="1:3" x14ac:dyDescent="0.25">
      <c r="A9" s="1" t="s">
        <v>372</v>
      </c>
      <c r="B9" s="1" t="s">
        <v>416</v>
      </c>
      <c r="C9" s="1" t="s">
        <v>417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90D4-2249-4D40-9FAA-88AA399479DE}">
  <sheetPr codeName="Sheet8"/>
  <dimension ref="A1:D9"/>
  <sheetViews>
    <sheetView workbookViewId="0">
      <selection activeCell="B1" sqref="B1"/>
    </sheetView>
  </sheetViews>
  <sheetFormatPr defaultRowHeight="15" x14ac:dyDescent="0.25"/>
  <cols>
    <col min="1" max="1" width="26.28515625" bestFit="1" customWidth="1"/>
    <col min="2" max="2" width="21.7109375" bestFit="1" customWidth="1"/>
    <col min="3" max="3" width="81.140625" bestFit="1" customWidth="1"/>
    <col min="4" max="4" width="43.28515625" bestFit="1" customWidth="1"/>
    <col min="5" max="5" width="48.7109375" bestFit="1" customWidth="1"/>
    <col min="6" max="6" width="18.28515625" bestFit="1" customWidth="1"/>
    <col min="7" max="7" width="16.5703125" bestFit="1" customWidth="1"/>
    <col min="8" max="8" width="32.140625" customWidth="1"/>
  </cols>
  <sheetData>
    <row r="1" spans="1:4" x14ac:dyDescent="0.25">
      <c r="A1" t="s">
        <v>0</v>
      </c>
      <c r="B1" t="s">
        <v>190</v>
      </c>
      <c r="C1" t="s">
        <v>362</v>
      </c>
      <c r="D1" t="s">
        <v>547</v>
      </c>
    </row>
    <row r="2" spans="1:4" x14ac:dyDescent="0.25">
      <c r="A2" s="1" t="s">
        <v>5</v>
      </c>
      <c r="B2" s="1" t="str">
        <f>_xlfn.XLOOKUP(searchtable[[#This Row],[Source.Name]],supported[Source.Name],supported[Version|Type|Nodes])</f>
        <v>7.0.201|VSAN2NODE|2</v>
      </c>
      <c r="C2" s="19" t="s">
        <v>535</v>
      </c>
      <c r="D2" s="1" t="s">
        <v>550</v>
      </c>
    </row>
    <row r="3" spans="1:4" x14ac:dyDescent="0.25">
      <c r="A3" s="1" t="s">
        <v>369</v>
      </c>
      <c r="B3" s="1" t="str">
        <f>_xlfn.XLOOKUP(searchtable[[#This Row],[Source.Name]],supported[Source.Name],supported[Version|Type|Nodes])</f>
        <v>7.0.202|VSAN2NODE|2</v>
      </c>
      <c r="C3" s="19" t="s">
        <v>536</v>
      </c>
      <c r="D3" s="1" t="s">
        <v>551</v>
      </c>
    </row>
    <row r="4" spans="1:4" x14ac:dyDescent="0.25">
      <c r="A4" s="1" t="s">
        <v>6</v>
      </c>
      <c r="B4" s="1" t="str">
        <f>_xlfn.XLOOKUP(searchtable[[#This Row],[Source.Name]],supported[Source.Name],supported[Version|Type|Nodes])</f>
        <v>7.0.130|STANDARD|6</v>
      </c>
      <c r="C4" s="19" t="s">
        <v>537</v>
      </c>
      <c r="D4" s="1" t="s">
        <v>552</v>
      </c>
    </row>
    <row r="5" spans="1:4" x14ac:dyDescent="0.25">
      <c r="A5" s="1" t="s">
        <v>370</v>
      </c>
      <c r="B5" s="1" t="str">
        <f>_xlfn.XLOOKUP(searchtable[[#This Row],[Source.Name]],supported[Source.Name],supported[Version|Type|Nodes])</f>
        <v>7.0.100|STANDARD|3</v>
      </c>
      <c r="C5" s="19" t="s">
        <v>538</v>
      </c>
      <c r="D5" s="1" t="s">
        <v>553</v>
      </c>
    </row>
    <row r="6" spans="1:4" x14ac:dyDescent="0.25">
      <c r="A6" s="1" t="s">
        <v>7</v>
      </c>
      <c r="B6" s="1" t="str">
        <f>_xlfn.XLOOKUP(searchtable[[#This Row],[Source.Name]],supported[Source.Name],supported[Version|Type|Nodes])</f>
        <v>7.0.210|STANDARD|3</v>
      </c>
      <c r="C6" s="19" t="s">
        <v>539</v>
      </c>
      <c r="D6" s="1" t="s">
        <v>554</v>
      </c>
    </row>
    <row r="7" spans="1:4" x14ac:dyDescent="0.25">
      <c r="A7" s="1" t="s">
        <v>371</v>
      </c>
      <c r="B7" s="1" t="str">
        <f>_xlfn.XLOOKUP(searchtable[[#This Row],[Source.Name]],supported[Source.Name],supported[Version|Type|Nodes])</f>
        <v>7.0.210|STANDARD|3</v>
      </c>
      <c r="C7" s="19" t="s">
        <v>540</v>
      </c>
      <c r="D7" s="1" t="s">
        <v>555</v>
      </c>
    </row>
    <row r="8" spans="1:4" x14ac:dyDescent="0.25">
      <c r="A8" s="1" t="s">
        <v>260</v>
      </c>
      <c r="B8" s="1" t="str">
        <f>_xlfn.XLOOKUP(searchtable[[#This Row],[Source.Name]],supported[Source.Name],supported[Version|Type|Nodes])</f>
        <v>7.0.010|STANDARD|6</v>
      </c>
      <c r="C8" s="19" t="s">
        <v>541</v>
      </c>
      <c r="D8" s="1" t="s">
        <v>556</v>
      </c>
    </row>
    <row r="9" spans="1:4" x14ac:dyDescent="0.25">
      <c r="A9" s="1" t="s">
        <v>372</v>
      </c>
      <c r="B9" s="1" t="str">
        <f>_xlfn.XLOOKUP(searchtable[[#This Row],[Source.Name]],supported[Source.Name],supported[Version|Type|Nodes])</f>
        <v>7.0.100|STANDARD|3</v>
      </c>
      <c r="C9" s="19" t="s">
        <v>542</v>
      </c>
      <c r="D9" s="1" t="s">
        <v>557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F40C-0CA8-4D6E-9013-FB9C411E0714}">
  <sheetPr codeName="Sheet11"/>
  <dimension ref="A1:E9"/>
  <sheetViews>
    <sheetView workbookViewId="0">
      <selection sqref="A1:E9"/>
    </sheetView>
  </sheetViews>
  <sheetFormatPr defaultRowHeight="15" x14ac:dyDescent="0.25"/>
  <cols>
    <col min="1" max="1" width="9.85546875" bestFit="1" customWidth="1"/>
    <col min="2" max="2" width="7.28515625" bestFit="1" customWidth="1"/>
    <col min="3" max="3" width="8.7109375" bestFit="1" customWidth="1"/>
    <col min="4" max="4" width="26.28515625" bestFit="1" customWidth="1"/>
    <col min="5" max="5" width="43.28515625" bestFit="1" customWidth="1"/>
    <col min="6" max="6" width="26.28515625" bestFit="1" customWidth="1"/>
    <col min="7" max="7" width="8" bestFit="1" customWidth="1"/>
  </cols>
  <sheetData>
    <row r="1" spans="1:5" x14ac:dyDescent="0.25">
      <c r="A1" t="s">
        <v>545</v>
      </c>
      <c r="B1" t="s">
        <v>544</v>
      </c>
      <c r="C1" t="s">
        <v>546</v>
      </c>
      <c r="D1" t="s">
        <v>0</v>
      </c>
      <c r="E1" t="s">
        <v>547</v>
      </c>
    </row>
    <row r="2" spans="1:5" x14ac:dyDescent="0.25">
      <c r="A2" t="s">
        <v>4</v>
      </c>
      <c r="B2" s="1" t="s">
        <v>250</v>
      </c>
      <c r="C2">
        <v>2</v>
      </c>
      <c r="D2" s="1" t="s">
        <v>5</v>
      </c>
      <c r="E2" s="1" t="s">
        <v>550</v>
      </c>
    </row>
    <row r="3" spans="1:5" x14ac:dyDescent="0.25">
      <c r="A3" t="s">
        <v>233</v>
      </c>
      <c r="B3" s="1" t="s">
        <v>250</v>
      </c>
      <c r="C3">
        <v>2</v>
      </c>
      <c r="D3" s="1" t="s">
        <v>369</v>
      </c>
      <c r="E3" s="1" t="s">
        <v>551</v>
      </c>
    </row>
    <row r="4" spans="1:5" x14ac:dyDescent="0.25">
      <c r="A4" t="s">
        <v>3</v>
      </c>
      <c r="B4" s="1" t="s">
        <v>549</v>
      </c>
      <c r="C4">
        <v>6</v>
      </c>
      <c r="D4" s="1" t="s">
        <v>6</v>
      </c>
      <c r="E4" s="1" t="s">
        <v>552</v>
      </c>
    </row>
    <row r="5" spans="1:5" x14ac:dyDescent="0.25">
      <c r="A5" t="s">
        <v>259</v>
      </c>
      <c r="B5" s="1" t="s">
        <v>549</v>
      </c>
      <c r="C5">
        <v>3</v>
      </c>
      <c r="D5" s="1" t="s">
        <v>370</v>
      </c>
      <c r="E5" s="1" t="s">
        <v>553</v>
      </c>
    </row>
    <row r="6" spans="1:5" x14ac:dyDescent="0.25">
      <c r="A6" t="s">
        <v>8</v>
      </c>
      <c r="B6" s="1" t="s">
        <v>549</v>
      </c>
      <c r="C6">
        <v>3</v>
      </c>
      <c r="D6" s="1" t="s">
        <v>7</v>
      </c>
      <c r="E6" s="1" t="s">
        <v>554</v>
      </c>
    </row>
    <row r="7" spans="1:5" x14ac:dyDescent="0.25">
      <c r="A7" t="s">
        <v>8</v>
      </c>
      <c r="B7" s="1" t="s">
        <v>549</v>
      </c>
      <c r="C7">
        <v>3</v>
      </c>
      <c r="D7" s="1" t="s">
        <v>371</v>
      </c>
      <c r="E7" s="1" t="s">
        <v>555</v>
      </c>
    </row>
    <row r="8" spans="1:5" x14ac:dyDescent="0.25">
      <c r="A8" t="s">
        <v>258</v>
      </c>
      <c r="B8" s="1" t="s">
        <v>549</v>
      </c>
      <c r="C8">
        <v>6</v>
      </c>
      <c r="D8" s="1" t="s">
        <v>260</v>
      </c>
      <c r="E8" s="1" t="s">
        <v>556</v>
      </c>
    </row>
    <row r="9" spans="1:5" x14ac:dyDescent="0.25">
      <c r="A9" t="s">
        <v>259</v>
      </c>
      <c r="B9" s="1" t="s">
        <v>549</v>
      </c>
      <c r="C9">
        <v>3</v>
      </c>
      <c r="D9" s="1" t="s">
        <v>372</v>
      </c>
      <c r="E9" s="1" t="s">
        <v>557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W248"/>
  <sheetViews>
    <sheetView showGridLines="0" showZeros="0" tabSelected="1" zoomScaleNormal="100" workbookViewId="0">
      <selection activeCell="C22" sqref="C22"/>
    </sheetView>
  </sheetViews>
  <sheetFormatPr defaultRowHeight="15" x14ac:dyDescent="0.25"/>
  <cols>
    <col min="1" max="1" width="6.28515625" style="15" customWidth="1"/>
    <col min="2" max="2" width="19" style="38" customWidth="1"/>
    <col min="3" max="3" width="58.85546875" style="15" customWidth="1"/>
    <col min="4" max="4" width="8.5703125" customWidth="1"/>
    <col min="5" max="5" width="27.85546875" customWidth="1"/>
    <col min="6" max="6" width="36.5703125" customWidth="1"/>
    <col min="7" max="7" width="7.7109375" customWidth="1"/>
    <col min="8" max="8" width="27.85546875" customWidth="1"/>
    <col min="9" max="9" width="36.5703125" customWidth="1"/>
    <col min="10" max="10" width="7.7109375" customWidth="1"/>
    <col min="11" max="11" width="27.85546875" customWidth="1"/>
    <col min="12" max="12" width="36.5703125" customWidth="1"/>
    <col min="13" max="13" width="16.42578125" bestFit="1" customWidth="1"/>
    <col min="14" max="14" width="46.7109375" bestFit="1" customWidth="1"/>
    <col min="15" max="15" width="10.140625" bestFit="1" customWidth="1"/>
    <col min="16" max="16" width="13.140625" bestFit="1" customWidth="1"/>
    <col min="17" max="17" width="11.7109375" bestFit="1" customWidth="1"/>
    <col min="18" max="18" width="23.28515625" bestFit="1" customWidth="1"/>
    <col min="20" max="20" width="42.42578125" bestFit="1" customWidth="1"/>
    <col min="21" max="21" width="16" bestFit="1" customWidth="1"/>
    <col min="22" max="22" width="36.140625" bestFit="1" customWidth="1"/>
    <col min="23" max="23" width="19.140625" bestFit="1" customWidth="1"/>
    <col min="24" max="24" width="21.7109375" bestFit="1" customWidth="1"/>
    <col min="25" max="25" width="20.140625" bestFit="1" customWidth="1"/>
    <col min="26" max="26" width="34.28515625" bestFit="1" customWidth="1"/>
    <col min="27" max="27" width="36" bestFit="1" customWidth="1"/>
    <col min="28" max="28" width="30" bestFit="1" customWidth="1"/>
    <col min="29" max="29" width="35.85546875" bestFit="1" customWidth="1"/>
    <col min="30" max="30" width="9.5703125" bestFit="1" customWidth="1"/>
    <col min="31" max="31" width="33.28515625" bestFit="1" customWidth="1"/>
  </cols>
  <sheetData>
    <row r="1" spans="1:49" x14ac:dyDescent="0.25">
      <c r="A1" s="35">
        <v>13</v>
      </c>
      <c r="C1"/>
      <c r="D1" s="15"/>
      <c r="E1" s="15" t="s">
        <v>6</v>
      </c>
      <c r="H1" s="15">
        <v>13</v>
      </c>
      <c r="I1" s="15" t="s">
        <v>5</v>
      </c>
      <c r="K1" s="15">
        <v>13</v>
      </c>
      <c r="L1" s="15" t="s">
        <v>371</v>
      </c>
    </row>
    <row r="2" spans="1:49" x14ac:dyDescent="0.25">
      <c r="A2" s="35" t="s">
        <v>430</v>
      </c>
      <c r="C2"/>
    </row>
    <row r="3" spans="1:49" x14ac:dyDescent="0.25">
      <c r="A3" s="35" t="str">
        <f>(_xlfn.XLOOKUP(A2,KeywordList[Display],KeywordList[Search prefix]))&amp;A4</f>
        <v>Version:7.0.1</v>
      </c>
      <c r="C3" s="37" t="str">
        <f>_xlfn.XLOOKUP(A2,KeywordList[Display],KeywordList[Search example])</f>
        <v>7.0.130</v>
      </c>
    </row>
    <row r="4" spans="1:49" x14ac:dyDescent="0.25">
      <c r="A4" s="35" t="s">
        <v>548</v>
      </c>
      <c r="B4"/>
      <c r="C4" s="20" t="s">
        <v>364</v>
      </c>
      <c r="E4" s="3" t="s">
        <v>195</v>
      </c>
      <c r="F4" s="30" t="s">
        <v>2</v>
      </c>
      <c r="H4" s="3" t="s">
        <v>195</v>
      </c>
      <c r="I4" s="30" t="s">
        <v>2</v>
      </c>
      <c r="K4" s="3" t="s">
        <v>195</v>
      </c>
      <c r="L4" s="30" t="s">
        <v>2</v>
      </c>
      <c r="AE4" s="4"/>
      <c r="AF4" s="4"/>
    </row>
    <row r="5" spans="1:49" x14ac:dyDescent="0.25">
      <c r="A5" s="35" t="str">
        <f>_xlfn.TEXTJOIN(CHAR(10),TRUE,A6,(_xlfn.TEXTJOIN(CHAR(10),TRUE,C5:C1048576)))</f>
        <v>Version	Type	Nodes	Filename
7.0.130	STD	6	starter-6nodes.json
7.0.100	STD	3	starter-7.0.100-2.json
7.0.100	STD	3	starter7.0.100-1.json</v>
      </c>
      <c r="B5" s="39"/>
      <c r="C5" s="15" t="str" cm="1">
        <f t="array" ref="C5:C7">(_xlfn._xlws.FILTER(searchtable[Filesummary],ISNUMBER(SEARCH(A4,searchtable[Global Search])),"No Results"))</f>
        <v>7.0.130	STD	6	starter-6nodes.json</v>
      </c>
      <c r="E5" s="3" t="s">
        <v>17</v>
      </c>
      <c r="F5" s="29" t="str">
        <f>_xlfn.XLOOKUP(File1,supported[Source.Name],supported[Value])</f>
        <v>7.0.130</v>
      </c>
      <c r="H5" s="3" t="s">
        <v>17</v>
      </c>
      <c r="I5" s="29" t="str">
        <f>_xlfn.XLOOKUP(File2,supported[Source.Name],supported[Value])</f>
        <v>7.0.201</v>
      </c>
      <c r="K5" s="3" t="s">
        <v>17</v>
      </c>
      <c r="L5" s="29" t="str">
        <f>_xlfn.XLOOKUP(File3,supported[Source.Name],supported[Value])</f>
        <v>7.0.210</v>
      </c>
    </row>
    <row r="6" spans="1:49" x14ac:dyDescent="0.25">
      <c r="A6" s="15" t="str">
        <f>"Version" &amp; CHAR(9) &amp; "Type" &amp; CHAR(9) &amp; "Nodes"&amp; CHAR(9) &amp; "Filename"</f>
        <v>Version	Type	Nodes	Filename</v>
      </c>
      <c r="B6" s="39" t="str">
        <f>_xlfn.XLOOKUP(C6,supported[Source.Name],supported[Version|Type|Nodes],"")</f>
        <v/>
      </c>
      <c r="C6" s="15" t="str">
        <v>7.0.100	STD	3	starter-7.0.100-2.json</v>
      </c>
      <c r="E6" s="3" t="s">
        <v>231</v>
      </c>
      <c r="F6" s="29" t="str">
        <f>_xlfn.XLOOKUP(File1,global[Source.Name],global[cluster_type])</f>
        <v>STANDARD</v>
      </c>
      <c r="H6" s="3" t="s">
        <v>231</v>
      </c>
      <c r="I6" s="29" t="str">
        <f>_xlfn.XLOOKUP(File2,global[Source.Name],global[cluster_type])</f>
        <v>VSAN2NODE</v>
      </c>
      <c r="K6" s="3" t="s">
        <v>231</v>
      </c>
      <c r="L6" s="29" t="str">
        <f>_xlfn.XLOOKUP(File3,global[Source.Name],global[cluster_type])</f>
        <v>STANDARD</v>
      </c>
    </row>
    <row r="7" spans="1:49" x14ac:dyDescent="0.25">
      <c r="B7" s="39" t="str">
        <f>_xlfn.XLOOKUP(C7,supported[Source.Name],supported[Version|Type|Nodes],"")</f>
        <v/>
      </c>
      <c r="C7" s="15" t="str">
        <v>7.0.100	STD	3	starter7.0.100-1.json</v>
      </c>
      <c r="E7" s="3" t="s">
        <v>224</v>
      </c>
      <c r="F7" s="30">
        <f>COUNTIF(hosts_2[Source.Name],File1)</f>
        <v>6</v>
      </c>
      <c r="H7" s="3" t="s">
        <v>224</v>
      </c>
      <c r="I7" s="30">
        <f>COUNTIF(hosts_2[Source.Name],File2)</f>
        <v>2</v>
      </c>
      <c r="K7" s="3" t="s">
        <v>224</v>
      </c>
      <c r="L7" s="30">
        <f>COUNTIF(hosts_2[Source.Name],File3)</f>
        <v>3</v>
      </c>
    </row>
    <row r="8" spans="1:49" x14ac:dyDescent="0.25">
      <c r="B8" s="39" t="str">
        <f>_xlfn.XLOOKUP(C8,supported[Source.Name],supported[Version|Type|Nodes],"")</f>
        <v/>
      </c>
      <c r="E8" s="3" t="s">
        <v>225</v>
      </c>
      <c r="F8" s="30">
        <f>COUNTIF(network_vds[Source.Name],File1)</f>
        <v>12</v>
      </c>
      <c r="H8" s="3" t="s">
        <v>225</v>
      </c>
      <c r="I8" s="30">
        <f>COUNTIF(network_vds[Source.Name],File2)</f>
        <v>12</v>
      </c>
      <c r="K8" s="3" t="s">
        <v>225</v>
      </c>
      <c r="L8" s="30">
        <f>COUNTIF(network_vds[Source.Name],File3)</f>
        <v>3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9"/>
    </row>
    <row r="9" spans="1:49" x14ac:dyDescent="0.25">
      <c r="B9" s="39" t="str">
        <f>_xlfn.XLOOKUP(C9,supported[Source.Name],supported[Version|Type|Nodes],"")</f>
        <v/>
      </c>
      <c r="E9" s="3"/>
      <c r="F9" s="30"/>
      <c r="H9" s="3"/>
      <c r="I9" s="30"/>
      <c r="K9" s="3"/>
      <c r="L9" s="3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10"/>
    </row>
    <row r="10" spans="1:49" x14ac:dyDescent="0.25">
      <c r="B10" s="39" t="str">
        <f>_xlfn.XLOOKUP(C10,supported[Source.Name],supported[Version|Type|Nodes],"")</f>
        <v/>
      </c>
      <c r="E10" s="3" t="s">
        <v>193</v>
      </c>
      <c r="F10" s="29" t="str">
        <f ca="1">(TEXT((_xlfn.XLOOKUP(File1,Source[Name],Source[Date created])),"mm/dd/yy")) &amp; (" ("&amp;ROUND((TODAY()-(_xlfn.XLOOKUP(File1,Source[Name],Source[Date created]))),0)&amp;"d)")</f>
        <v>07/20/21 (43d)</v>
      </c>
      <c r="H10" s="3" t="s">
        <v>193</v>
      </c>
      <c r="I10" s="29" t="str">
        <f ca="1">(TEXT((_xlfn.XLOOKUP(File2,Source[Name],Source[Date created])),"mm/dd/yy")) &amp; (" ("&amp;ROUND((TODAY()-(_xlfn.XLOOKUP(File2,Source[Name],Source[Date created]))),0)&amp;"d)")</f>
        <v>07/13/21 (50d)</v>
      </c>
      <c r="K10" s="3" t="s">
        <v>193</v>
      </c>
      <c r="L10" s="29" t="str">
        <f ca="1">(TEXT((_xlfn.XLOOKUP(File3,Source[Name],Source[Date created])),"mm/dd/yy")) &amp; (" ("&amp;ROUND((TODAY()-(_xlfn.XLOOKUP(File3,Source[Name],Source[Date created]))),0)&amp;"d)")</f>
        <v>08/31/21 (1d)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0"/>
    </row>
    <row r="11" spans="1:49" x14ac:dyDescent="0.25">
      <c r="B11" s="39" t="str">
        <f>_xlfn.XLOOKUP(C11,supported[Source.Name],supported[Version|Type|Nodes],"")</f>
        <v/>
      </c>
      <c r="E11" s="3" t="s">
        <v>194</v>
      </c>
      <c r="F11" s="29" t="str">
        <f ca="1">(TEXT((_xlfn.XLOOKUP(File1,Source[Name],Source[Date modified])),"mm/dd/yy")) &amp; (" ("&amp;ROUND((TODAY()-(_xlfn.XLOOKUP(File1,Source[Name],Source[Date modified]))),0)&amp;"d)")</f>
        <v>08/31/21 (0d)</v>
      </c>
      <c r="H11" s="3" t="s">
        <v>194</v>
      </c>
      <c r="I11" s="29" t="str">
        <f ca="1">(TEXT((_xlfn.XLOOKUP(File2,Source[Name],Source[Date modified])),"mm/dd/yy")) &amp; (" ("&amp;ROUND((TODAY()-(_xlfn.XLOOKUP(File2,Source[Name],Source[Date modified]))),0)&amp;"d)")</f>
        <v>08/31/21 (0d)</v>
      </c>
      <c r="K11" s="3" t="s">
        <v>194</v>
      </c>
      <c r="L11" s="29" t="str">
        <f ca="1">(TEXT((_xlfn.XLOOKUP(File3,Source[Name],Source[Date modified])),"mm/dd/yy")) &amp; (" ("&amp;ROUND((TODAY()-(_xlfn.XLOOKUP(File3,Source[Name],Source[Date modified]))),0)&amp;"d)")</f>
        <v>08/31/21 (0d)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0"/>
    </row>
    <row r="12" spans="1:49" x14ac:dyDescent="0.25">
      <c r="B12" s="39" t="str">
        <f>_xlfn.XLOOKUP(C12,supported[Source.Name],supported[Version|Type|Nodes],"")</f>
        <v/>
      </c>
      <c r="F12" s="30"/>
      <c r="H12" s="3"/>
      <c r="I12" s="30"/>
      <c r="K12" s="3"/>
      <c r="L12" s="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0"/>
    </row>
    <row r="13" spans="1:49" x14ac:dyDescent="0.25">
      <c r="B13" s="39" t="str">
        <f>_xlfn.XLOOKUP(C13,supported[Source.Name],supported[Version|Type|Nodes],"")</f>
        <v/>
      </c>
      <c r="E13" s="3" t="s">
        <v>75</v>
      </c>
      <c r="F13" s="30">
        <f>_xlfn.XLOOKUP(File1,global[Source.Name],global[cluster_name])</f>
        <v>0</v>
      </c>
      <c r="H13" s="3" t="s">
        <v>75</v>
      </c>
      <c r="I13" s="30" t="str">
        <f>_xlfn.XLOOKUP(File2,global[Source.Name],global[cluster_name])</f>
        <v>2_node_2VDS</v>
      </c>
      <c r="K13" s="3" t="s">
        <v>75</v>
      </c>
      <c r="L13" s="30">
        <f>_xlfn.XLOOKUP(File3,global[Source.Name],global[cluster_name])</f>
        <v>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0"/>
    </row>
    <row r="14" spans="1:49" x14ac:dyDescent="0.25">
      <c r="B14" s="39" t="str">
        <f>_xlfn.XLOOKUP(C14,supported[Source.Name],supported[Version|Type|Nodes],"")</f>
        <v/>
      </c>
      <c r="E14" s="3" t="s">
        <v>368</v>
      </c>
      <c r="F14" s="30" t="str">
        <f>_xlfn.XLOOKUP(File1,global[Source.Name],global[top_level_domain])</f>
        <v>6nodes.com</v>
      </c>
      <c r="H14" s="3" t="s">
        <v>368</v>
      </c>
      <c r="I14" s="30" t="str">
        <f>_xlfn.XLOOKUP(File2,global[Source.Name],global[top_level_domain])</f>
        <v>example.com</v>
      </c>
      <c r="K14" s="3" t="s">
        <v>368</v>
      </c>
      <c r="L14" s="30" t="str">
        <f>_xlfn.XLOOKUP(File3,global[Source.Name],global[top_level_domain])</f>
        <v>tld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0"/>
    </row>
    <row r="15" spans="1:49" x14ac:dyDescent="0.25">
      <c r="B15" s="39" t="str">
        <f>_xlfn.XLOOKUP(C15,supported[Source.Name],supported[Version|Type|Nodes],"")</f>
        <v/>
      </c>
      <c r="E15" s="3" t="s">
        <v>257</v>
      </c>
      <c r="F15" s="30" t="str">
        <f>_xlfn.XLOOKUP(File1,global[Source.Name],global[ntp_servers])</f>
        <v>192.168.1.3</v>
      </c>
      <c r="H15" s="3" t="s">
        <v>257</v>
      </c>
      <c r="I15" s="30" t="str">
        <f>_xlfn.XLOOKUP(File2,global[Source.Name],global[ntp_servers])</f>
        <v/>
      </c>
      <c r="K15" s="3" t="s">
        <v>257</v>
      </c>
      <c r="L15" s="30" t="str">
        <f>_xlfn.XLOOKUP(File3,global[Source.Name],global[ntp_servers])</f>
        <v/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0"/>
    </row>
    <row r="16" spans="1:49" x14ac:dyDescent="0.25">
      <c r="B16" s="39" t="str">
        <f>_xlfn.XLOOKUP(C16,supported[Source.Name],supported[Version|Type|Nodes],"")</f>
        <v/>
      </c>
      <c r="E16" s="3" t="s">
        <v>254</v>
      </c>
      <c r="F16" s="30" t="str">
        <f>IF((_xlfn.XLOOKUP(File1,global[Source.Name],global[is_internal_dns]))=TRUE,"Internal",_xlfn.XLOOKUP(File1,global[Source.Name],global[dns_servers]))</f>
        <v>192.168.1.2</v>
      </c>
      <c r="H16" s="3" t="s">
        <v>254</v>
      </c>
      <c r="I16" s="30" t="str">
        <f>IF((_xlfn.XLOOKUP(File2,global[Source.Name],global[is_internal_dns]))=TRUE,"Internal",_xlfn.XLOOKUP(File2,global[Source.Name],global[dns_servers]))</f>
        <v>192.168.1.1</v>
      </c>
      <c r="K16" s="3" t="s">
        <v>254</v>
      </c>
      <c r="L16" s="30" t="str">
        <f>IF((_xlfn.XLOOKUP(File3,global[Source.Name],global[is_internal_dns]))=TRUE,"Internal",_xlfn.XLOOKUP(File3,global[Source.Name],global[dns_servers]))</f>
        <v>Internal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0"/>
    </row>
    <row r="17" spans="2:49" x14ac:dyDescent="0.25">
      <c r="B17" s="39" t="str">
        <f>_xlfn.XLOOKUP(C17,supported[Source.Name],supported[Version|Type|Nodes],"")</f>
        <v/>
      </c>
      <c r="E17" s="3" t="s">
        <v>255</v>
      </c>
      <c r="F17" s="30" t="str">
        <f>_xlfn.XLOOKUP(File1,global[Source.Name],global[syslog_servers])</f>
        <v>192.168.1.4</v>
      </c>
      <c r="H17" s="3" t="s">
        <v>255</v>
      </c>
      <c r="I17" s="30" t="str">
        <f>_xlfn.XLOOKUP(File2,global[Source.Name],global[syslog_servers])</f>
        <v/>
      </c>
      <c r="K17" s="3" t="s">
        <v>255</v>
      </c>
      <c r="L17" s="30" t="str">
        <f>_xlfn.XLOOKUP(File3,global[Source.Name],global[syslog_servers])</f>
        <v/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0"/>
    </row>
    <row r="18" spans="2:49" x14ac:dyDescent="0.25">
      <c r="B18" s="39" t="str">
        <f>_xlfn.XLOOKUP(C18,supported[Source.Name],supported[Version|Type|Nodes],"")</f>
        <v/>
      </c>
      <c r="E18" s="3" t="s">
        <v>256</v>
      </c>
      <c r="F18" s="30">
        <f>_xlfn.XLOOKUP(File1,global[Source.Name],global[datacenter_name])</f>
        <v>0</v>
      </c>
      <c r="H18" s="3" t="s">
        <v>256</v>
      </c>
      <c r="I18" s="30" t="str">
        <f>_xlfn.XLOOKUP(File2,global[Source.Name],global[datacenter_name])</f>
        <v>customdatacentername</v>
      </c>
      <c r="K18" s="3" t="s">
        <v>256</v>
      </c>
      <c r="L18" s="30">
        <f>_xlfn.XLOOKUP(File3,global[Source.Name],global[datacenter_name])</f>
        <v>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0"/>
    </row>
    <row r="19" spans="2:49" x14ac:dyDescent="0.25">
      <c r="B19" s="39" t="str">
        <f>_xlfn.XLOOKUP(C19,supported[Source.Name],supported[Version|Type|Nodes],"")</f>
        <v/>
      </c>
      <c r="E19" s="3" t="s">
        <v>230</v>
      </c>
      <c r="F19" s="30">
        <f>_xlfn.XLOOKUP(File1,global[Source.Name],global[disk_group_type])</f>
        <v>0</v>
      </c>
      <c r="H19" s="3" t="s">
        <v>230</v>
      </c>
      <c r="I19" s="30">
        <f>_xlfn.XLOOKUP(File2,global[Source.Name],global[disk_group_type])</f>
        <v>0</v>
      </c>
      <c r="K19" s="3" t="s">
        <v>230</v>
      </c>
      <c r="L19" s="30" t="str">
        <f>_xlfn.XLOOKUP(File3,global[Source.Name],global[disk_group_type])</f>
        <v>1002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0"/>
    </row>
    <row r="20" spans="2:49" x14ac:dyDescent="0.25">
      <c r="B20" s="39" t="str">
        <f>_xlfn.XLOOKUP(C20,supported[Source.Name],supported[Version|Type|Nodes],"")</f>
        <v/>
      </c>
      <c r="E20" s="3"/>
      <c r="F20" s="30"/>
      <c r="H20" s="3"/>
      <c r="I20" s="30"/>
      <c r="K20" s="3"/>
      <c r="L20" s="30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0"/>
    </row>
    <row r="21" spans="2:49" x14ac:dyDescent="0.25">
      <c r="B21" s="39" t="str">
        <f>_xlfn.XLOOKUP(C21,supported[Source.Name],supported[Version|Type|Nodes],"")</f>
        <v/>
      </c>
      <c r="E21" s="3" t="s">
        <v>220</v>
      </c>
      <c r="F21" s="30" t="b">
        <f>_xlfn.XLOOKUP(File1,global[Source.Name],global[customer_supplied])</f>
        <v>0</v>
      </c>
      <c r="H21" s="3" t="s">
        <v>220</v>
      </c>
      <c r="I21" s="30" t="b">
        <f>_xlfn.XLOOKUP(File2,global[Source.Name],global[customer_supplied])</f>
        <v>1</v>
      </c>
      <c r="K21" s="3" t="s">
        <v>220</v>
      </c>
      <c r="L21" s="30" t="b">
        <f>_xlfn.XLOOKUP(File3,global[Source.Name],global[customer_supplied])</f>
        <v>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0"/>
    </row>
    <row r="22" spans="2:49" x14ac:dyDescent="0.25">
      <c r="B22" s="39" t="str">
        <f>_xlfn.XLOOKUP(C22,supported[Source.Name],supported[Version|Type|Nodes],"")</f>
        <v/>
      </c>
      <c r="E22" s="3" t="s">
        <v>232</v>
      </c>
      <c r="F22" s="31" t="str">
        <f>IF(F21="TRUE",(_xlfn.XLOOKUP(File1,global[Source.Name],global[customer_supplied_vc_name_or_ip])),(_xlfn.XLOOKUP(File1,global[Source.Name],global[customer_supplied_vc_name_or_ip]))&amp;((_xlfn.XLOOKUP(File1,global[Source.Name],global[vxrail_supplied_vc_name]))&amp;" ("&amp;(_xlfn.XLOOKUP(File1,global[Source.Name],global[vxrail_supplied_vc_ip]))&amp;")"))</f>
        <v>vcsa (192.168.1.5)</v>
      </c>
      <c r="H22" s="3" t="s">
        <v>232</v>
      </c>
      <c r="I22" s="31" t="str">
        <f>IF(I21="TRUE",(_xlfn.XLOOKUP(File2,global[Source.Name],global[customer_supplied_vc_name_or_ip])),(_xlfn.XLOOKUP(File2,global[Source.Name],global[customer_supplied_vc_name_or_ip]))&amp;((_xlfn.XLOOKUP(File2,global[Source.Name],global[vxrail_supplied_vc_name]))&amp;" ("&amp;(_xlfn.XLOOKUP(File2,global[Source.Name],global[vxrail_supplied_vc_ip]))&amp;")"))</f>
        <v>192.168.1.151 ()</v>
      </c>
      <c r="K22" s="3" t="s">
        <v>232</v>
      </c>
      <c r="L22" s="31" t="str">
        <f>IF(L21="TRUE",(_xlfn.XLOOKUP(File3,global[Source.Name],global[customer_supplied_vc_name_or_ip])),(_xlfn.XLOOKUP(File3,global[Source.Name],global[customer_supplied_vc_name_or_ip]))&amp;((_xlfn.XLOOKUP(File3,global[Source.Name],global[vxrail_supplied_vc_name]))&amp;" ("&amp;(_xlfn.XLOOKUP(File3,global[Source.Name],global[vxrail_supplied_vc_ip]))&amp;")"))</f>
        <v>host (192.168.0.200)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10"/>
    </row>
    <row r="23" spans="2:49" x14ac:dyDescent="0.25">
      <c r="B23" s="39" t="str">
        <f>_xlfn.XLOOKUP(C23,supported[Source.Name],supported[Version|Type|Nodes],"")</f>
        <v/>
      </c>
      <c r="E23" s="3"/>
      <c r="F23" s="30"/>
      <c r="H23" s="3"/>
      <c r="I23" s="30"/>
      <c r="K23" s="3"/>
      <c r="L23" s="3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10"/>
    </row>
    <row r="24" spans="2:49" x14ac:dyDescent="0.25">
      <c r="B24" s="39" t="str">
        <f>_xlfn.XLOOKUP(C24,supported[Source.Name],supported[Version|Type|Nodes],"")</f>
        <v/>
      </c>
      <c r="E24" s="3" t="s">
        <v>226</v>
      </c>
      <c r="F24" s="30" t="str">
        <f>_xlfn.XLOOKUP(File1,global[Source.Name],global[cluster_management_gateway])</f>
        <v>192.168.1.1</v>
      </c>
      <c r="H24" s="3" t="s">
        <v>226</v>
      </c>
      <c r="I24" s="30" t="str">
        <f>_xlfn.XLOOKUP(File2,global[Source.Name],global[cluster_management_gateway])</f>
        <v>192.168.1.1</v>
      </c>
      <c r="K24" s="3" t="s">
        <v>226</v>
      </c>
      <c r="L24" s="30" t="str">
        <f>_xlfn.XLOOKUP(File3,global[Source.Name],global[cluster_management_gateway])</f>
        <v>192.168.0.1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10"/>
    </row>
    <row r="25" spans="2:49" x14ac:dyDescent="0.25">
      <c r="B25" s="39" t="str">
        <f>_xlfn.XLOOKUP(C25,supported[Source.Name],supported[Version|Type|Nodes],"")</f>
        <v/>
      </c>
      <c r="E25" s="3" t="s">
        <v>227</v>
      </c>
      <c r="F25" s="30" t="str">
        <f>_xlfn.XLOOKUP(File1,global[Source.Name],global[cluster_management_netmask])</f>
        <v>255.255.255.0</v>
      </c>
      <c r="H25" s="3" t="s">
        <v>227</v>
      </c>
      <c r="I25" s="30" t="str">
        <f>_xlfn.XLOOKUP(File2,global[Source.Name],global[cluster_management_netmask])</f>
        <v>255.255.255.0</v>
      </c>
      <c r="K25" s="3" t="s">
        <v>227</v>
      </c>
      <c r="L25" s="30" t="str">
        <f>_xlfn.XLOOKUP(File3,global[Source.Name],global[cluster_management_netmask])</f>
        <v>255.255.255.0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0"/>
    </row>
    <row r="26" spans="2:49" x14ac:dyDescent="0.25">
      <c r="B26" s="39" t="str">
        <f>_xlfn.XLOOKUP(C26,supported[Source.Name],supported[Version|Type|Nodes],"")</f>
        <v/>
      </c>
      <c r="E26" s="3" t="s">
        <v>228</v>
      </c>
      <c r="F26" s="30" t="str">
        <f>_xlfn.XLOOKUP(File1,global[Source.Name],global[cluster_vsan_netmask])</f>
        <v>255.255.255.0</v>
      </c>
      <c r="H26" s="3" t="s">
        <v>228</v>
      </c>
      <c r="I26" s="30" t="str">
        <f>_xlfn.XLOOKUP(File2,global[Source.Name],global[cluster_vsan_netmask])</f>
        <v>255.255.255.0</v>
      </c>
      <c r="K26" s="3" t="s">
        <v>228</v>
      </c>
      <c r="L26" s="30" t="str">
        <f>_xlfn.XLOOKUP(File3,global[Source.Name],global[cluster_vsan_netmask])</f>
        <v>255.255.255.0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0"/>
    </row>
    <row r="27" spans="2:49" x14ac:dyDescent="0.25">
      <c r="B27" s="39" t="str">
        <f>_xlfn.XLOOKUP(C27,supported[Source.Name],supported[Version|Type|Nodes],"")</f>
        <v/>
      </c>
      <c r="E27" s="3" t="s">
        <v>229</v>
      </c>
      <c r="F27" s="30" t="str">
        <f>_xlfn.XLOOKUP(File1,global[Source.Name],global[cluster_vsan_netmask])</f>
        <v>255.255.255.0</v>
      </c>
      <c r="H27" s="3" t="s">
        <v>229</v>
      </c>
      <c r="I27" s="30" t="str">
        <f>_xlfn.XLOOKUP(File2,global[Source.Name],global[cluster_vsan_netmask])</f>
        <v>255.255.255.0</v>
      </c>
      <c r="K27" s="3" t="s">
        <v>229</v>
      </c>
      <c r="L27" s="30" t="str">
        <f>_xlfn.XLOOKUP(File3,global[Source.Name],global[cluster_vsan_netmask])</f>
        <v>255.255.255.0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10"/>
    </row>
    <row r="28" spans="2:49" x14ac:dyDescent="0.25">
      <c r="B28" s="39" t="str">
        <f>_xlfn.XLOOKUP(C28,supported[Source.Name],supported[Version|Type|Nodes],"")</f>
        <v/>
      </c>
      <c r="E28" s="3" t="s">
        <v>400</v>
      </c>
      <c r="F28" s="30" t="str">
        <f>_xlfn.XLOOKUP(File1,global[Source.Name],global[network.sfs.configured])</f>
        <v>FALSE</v>
      </c>
      <c r="H28" s="3" t="s">
        <v>400</v>
      </c>
      <c r="I28" s="30" t="str">
        <f>_xlfn.XLOOKUP(File2,global[Source.Name],global[network.sfs.configured])</f>
        <v>FALSE</v>
      </c>
      <c r="K28" s="3" t="s">
        <v>400</v>
      </c>
      <c r="L28" s="30" t="str">
        <f>_xlfn.XLOOKUP(File3,global[Source.Name],global[network.sfs.configured])</f>
        <v>TRUE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10"/>
    </row>
    <row r="29" spans="2:49" x14ac:dyDescent="0.25">
      <c r="B29" s="39" t="str">
        <f>_xlfn.XLOOKUP(C29,supported[Source.Name],supported[Version|Type|Nodes],"")</f>
        <v/>
      </c>
      <c r="E29" s="3"/>
      <c r="F29" s="30"/>
      <c r="H29" s="3"/>
      <c r="I29" s="30"/>
      <c r="K29" s="3"/>
      <c r="L29" s="30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10"/>
    </row>
    <row r="30" spans="2:49" x14ac:dyDescent="0.25">
      <c r="B30" s="39" t="str">
        <f>_xlfn.XLOOKUP(C30,supported[Source.Name],supported[Version|Type|Nodes],"")</f>
        <v/>
      </c>
      <c r="E30" s="3" t="s">
        <v>183</v>
      </c>
      <c r="F30" s="30" t="str">
        <f>_xlfn.XLOOKUP(File1,global[Source.Name],global[vxrm hostname])</f>
        <v>vxrm</v>
      </c>
      <c r="H30" s="3" t="s">
        <v>183</v>
      </c>
      <c r="I30" s="30" t="str">
        <f>_xlfn.XLOOKUP(File2,global[Source.Name],global[vxrm hostname])</f>
        <v>vxrm</v>
      </c>
      <c r="K30" s="3" t="s">
        <v>183</v>
      </c>
      <c r="L30" s="30" t="str">
        <f>_xlfn.XLOOKUP(File3,global[Source.Name],global[vxrm hostname])</f>
        <v>vxrm-host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10"/>
    </row>
    <row r="31" spans="2:49" x14ac:dyDescent="0.25">
      <c r="B31" s="39" t="str">
        <f>_xlfn.XLOOKUP(C31,supported[Source.Name],supported[Version|Type|Nodes],"")</f>
        <v/>
      </c>
      <c r="E31" s="3" t="s">
        <v>184</v>
      </c>
      <c r="F31" s="30" t="str">
        <f>_xlfn.XLOOKUP(File1,global[Source.Name],global[vxrm ip])</f>
        <v>192.168.1.7</v>
      </c>
      <c r="H31" s="3" t="s">
        <v>184</v>
      </c>
      <c r="I31" s="30" t="str">
        <f>_xlfn.XLOOKUP(File2,global[Source.Name],global[vxrm ip])</f>
        <v>192.168.1.58</v>
      </c>
      <c r="K31" s="3" t="s">
        <v>184</v>
      </c>
      <c r="L31" s="30" t="str">
        <f>_xlfn.XLOOKUP(File3,global[Source.Name],global[vxrm ip])</f>
        <v>192.168.0.205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10"/>
    </row>
    <row r="32" spans="2:49" x14ac:dyDescent="0.25">
      <c r="B32" s="39" t="str">
        <f>_xlfn.XLOOKUP(C32,supported[Source.Name],supported[Version|Type|Nodes],"")</f>
        <v/>
      </c>
      <c r="E32" s="3"/>
      <c r="F32" s="30"/>
      <c r="H32" s="3"/>
      <c r="I32" s="30"/>
      <c r="K32" s="3"/>
      <c r="L32" s="30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10"/>
    </row>
    <row r="33" spans="1:49" x14ac:dyDescent="0.25">
      <c r="B33" s="39" t="str">
        <f>_xlfn.XLOOKUP(C33,supported[Source.Name],supported[Version|Type|Nodes],"")</f>
        <v/>
      </c>
      <c r="E33" s="3" t="s">
        <v>86</v>
      </c>
      <c r="F33" s="30" t="str">
        <f>_xlfn.XLOOKUP(File1,global[Source.Name],global[accounts.root.username])</f>
        <v>root</v>
      </c>
      <c r="H33" s="3" t="s">
        <v>86</v>
      </c>
      <c r="I33" s="30" t="str">
        <f>_xlfn.XLOOKUP(File2,global[Source.Name],global[accounts.root.username])</f>
        <v>root</v>
      </c>
      <c r="K33" s="3" t="s">
        <v>86</v>
      </c>
      <c r="L33" s="30" t="str">
        <f>_xlfn.XLOOKUP(File3,global[Source.Name],global[accounts.root.username])</f>
        <v>root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10"/>
    </row>
    <row r="34" spans="1:49" x14ac:dyDescent="0.25">
      <c r="B34" s="39" t="str">
        <f>_xlfn.XLOOKUP(C34,supported[Source.Name],supported[Version|Type|Nodes],"")</f>
        <v/>
      </c>
      <c r="E34" s="3" t="s">
        <v>366</v>
      </c>
      <c r="F34" s="30" t="str">
        <f>_xlfn.XLOOKUP(File1,global[Source.Name],global[accounts.service.username])</f>
        <v>mystic</v>
      </c>
      <c r="H34" s="3" t="s">
        <v>366</v>
      </c>
      <c r="I34" s="30" t="str">
        <f>_xlfn.XLOOKUP(File2,global[Source.Name],global[accounts.service.username])</f>
        <v>mystic</v>
      </c>
      <c r="K34" s="3" t="s">
        <v>366</v>
      </c>
      <c r="L34" s="30" t="str">
        <f>_xlfn.XLOOKUP(File3,global[Source.Name],global[accounts.service.username])</f>
        <v>mystic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10"/>
    </row>
    <row r="35" spans="1:49" x14ac:dyDescent="0.25">
      <c r="B35" s="39" t="str">
        <f>_xlfn.XLOOKUP(C35,supported[Source.Name],supported[Version|Type|Nodes],"")</f>
        <v/>
      </c>
      <c r="E35" s="3" t="s">
        <v>238</v>
      </c>
      <c r="F35" s="30" t="str">
        <f>_xlfn.XLOOKUP(File1,global[Source.Name],global[administrator.username])</f>
        <v>administrator@vsphere.local</v>
      </c>
      <c r="H35" s="3" t="s">
        <v>238</v>
      </c>
      <c r="I35" s="30" t="str">
        <f>_xlfn.XLOOKUP(File2,global[Source.Name],global[administrator.username])</f>
        <v>vcenteruser@vcadmin.com</v>
      </c>
      <c r="K35" s="3" t="s">
        <v>238</v>
      </c>
      <c r="L35" s="30" t="str">
        <f>_xlfn.XLOOKUP(File3,global[Source.Name],global[administrator.username])</f>
        <v>administrator@vsphere.local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10"/>
    </row>
    <row r="36" spans="1:49" x14ac:dyDescent="0.25">
      <c r="B36" s="39" t="str">
        <f>_xlfn.XLOOKUP(C36,supported[Source.Name],supported[Version|Type|Nodes],"")</f>
        <v/>
      </c>
      <c r="E36" s="3" t="s">
        <v>367</v>
      </c>
      <c r="F36" s="30" t="str">
        <f>_xlfn.XLOOKUP(File1,global[Source.Name],global[management.username])</f>
        <v>vcsamgr</v>
      </c>
      <c r="H36" s="3" t="s">
        <v>367</v>
      </c>
      <c r="I36" s="30" t="str">
        <f>_xlfn.XLOOKUP(File2,global[Source.Name],global[management.username])</f>
        <v>vcentermgr</v>
      </c>
      <c r="K36" s="3" t="s">
        <v>367</v>
      </c>
      <c r="L36" s="30" t="str">
        <f>_xlfn.XLOOKUP(File3,global[Source.Name],global[management.username])</f>
        <v>vcuser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10"/>
    </row>
    <row r="37" spans="1:49" ht="15" customHeight="1" x14ac:dyDescent="0.25">
      <c r="B37" s="39" t="str">
        <f>_xlfn.XLOOKUP(C37,supported[Source.Name],supported[Version|Type|Nodes],"")</f>
        <v/>
      </c>
      <c r="E37" s="3"/>
      <c r="F37" s="30"/>
      <c r="H37" s="3"/>
      <c r="I37" s="30"/>
      <c r="K37" s="3"/>
      <c r="L37" s="30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10"/>
    </row>
    <row r="38" spans="1:49" x14ac:dyDescent="0.25">
      <c r="B38" s="39" t="str">
        <f>_xlfn.XLOOKUP(C38,supported[Source.Name],supported[Version|Type|Nodes],"")</f>
        <v/>
      </c>
      <c r="E38" s="3" t="str">
        <f>IF(compare1[[#This Row],[Value]]=0,"","witness.gateway")</f>
        <v/>
      </c>
      <c r="F38" s="30">
        <f>_xlfn.XLOOKUP(File1,global[Source.Name],global[witness.gateway])</f>
        <v>0</v>
      </c>
      <c r="H38" s="3" t="str">
        <f>IF(compare2[[#This Row],[Value]]=0,"","witness.gateway")</f>
        <v>witness.gateway</v>
      </c>
      <c r="I38" s="30" t="str">
        <f>_xlfn.XLOOKUP(File2,global[Source.Name],global[witness.gateway])</f>
        <v>192.168.100.1</v>
      </c>
      <c r="K38" s="3" t="str">
        <f>IF(compare3[[#This Row],[Value]]=0,"","witness.gateway")</f>
        <v/>
      </c>
      <c r="L38" s="30">
        <f>_xlfn.XLOOKUP(File3,global[Source.Name],global[witness.gateway])</f>
        <v>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10"/>
    </row>
    <row r="39" spans="1:49" x14ac:dyDescent="0.25">
      <c r="B39" s="39" t="str">
        <f>_xlfn.XLOOKUP(C39,supported[Source.Name],supported[Version|Type|Nodes],"")</f>
        <v/>
      </c>
      <c r="E39" s="3" t="str">
        <f>IF(compare1[[#This Row],[Value]]=0,"","witness.management_ip")</f>
        <v/>
      </c>
      <c r="F39" s="30">
        <f>_xlfn.XLOOKUP(File1,global[Source.Name],global[witness.management_ip])</f>
        <v>0</v>
      </c>
      <c r="H39" s="3" t="str">
        <f>IF(compare2[[#This Row],[Value]]=0,"","witness.management_ip")</f>
        <v>witness.management_ip</v>
      </c>
      <c r="I39" s="30" t="str">
        <f>_xlfn.XLOOKUP(File2,global[Source.Name],global[witness.management_ip])</f>
        <v>192.168.100.3</v>
      </c>
      <c r="K39" s="3" t="str">
        <f>IF(compare3[[#This Row],[Value]]=0,"","witness.management_ip")</f>
        <v/>
      </c>
      <c r="L39" s="30">
        <f>_xlfn.XLOOKUP(File3,global[Source.Name],global[witness.management_ip])</f>
        <v>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10"/>
    </row>
    <row r="40" spans="1:49" x14ac:dyDescent="0.25">
      <c r="B40" s="39" t="str">
        <f>_xlfn.XLOOKUP(C40,supported[Source.Name],supported[Version|Type|Nodes],"")</f>
        <v/>
      </c>
      <c r="E40" s="3" t="str">
        <f>IF(compare1[[#This Row],[Value]]=0,"","witness.netmask")</f>
        <v/>
      </c>
      <c r="F40" s="30">
        <f>_xlfn.XLOOKUP(File1,global[Source.Name],global[witness.netmask])</f>
        <v>0</v>
      </c>
      <c r="H40" s="3" t="str">
        <f>IF(compare2[[#This Row],[Value]]=0,"","witness.netmask")</f>
        <v>witness.netmask</v>
      </c>
      <c r="I40" s="30" t="str">
        <f>_xlfn.XLOOKUP(File2,global[Source.Name],global[witness.netmask])</f>
        <v>255.255.255.0</v>
      </c>
      <c r="K40" s="3" t="str">
        <f>IF(compare3[[#This Row],[Value]]=0,"","witness.netmask")</f>
        <v/>
      </c>
      <c r="L40" s="30">
        <f>_xlfn.XLOOKUP(File3,global[Source.Name],global[witness.netmask])</f>
        <v>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10"/>
    </row>
    <row r="41" spans="1:49" x14ac:dyDescent="0.25">
      <c r="B41" s="39" t="str">
        <f>_xlfn.XLOOKUP(C41,supported[Source.Name],supported[Version|Type|Nodes],"")</f>
        <v/>
      </c>
      <c r="E41" s="3" t="str">
        <f>IF(compare1[[#This Row],[Value]]=0,"","witness.username")</f>
        <v/>
      </c>
      <c r="F41" s="30">
        <f>_xlfn.XLOOKUP(File1,global[Source.Name],global[witness.username])</f>
        <v>0</v>
      </c>
      <c r="H41" s="3" t="str">
        <f>IF(compare2[[#This Row],[Value]]=0,"","witness.username")</f>
        <v>witness.username</v>
      </c>
      <c r="I41" s="30" t="str">
        <f>_xlfn.XLOOKUP(File2,global[Source.Name],global[witness.username])</f>
        <v>witnessuser</v>
      </c>
      <c r="K41" s="3" t="str">
        <f>IF(compare3[[#This Row],[Value]]=0,"","witness.username")</f>
        <v/>
      </c>
      <c r="L41" s="30">
        <f>_xlfn.XLOOKUP(File3,global[Source.Name],global[witness.username])</f>
        <v>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10"/>
    </row>
    <row r="42" spans="1:49" x14ac:dyDescent="0.25">
      <c r="B42" s="39" t="str">
        <f>_xlfn.XLOOKUP(C42,supported[Source.Name],supported[Version|Type|Nodes],"")</f>
        <v/>
      </c>
      <c r="E42" s="3" t="str">
        <f>IF(compare1[[#This Row],[Value]]=0,"","witness.witness_ip")</f>
        <v/>
      </c>
      <c r="F42" s="30">
        <f>_xlfn.XLOOKUP(File1,global[Source.Name],global[witness.witness_ip])</f>
        <v>0</v>
      </c>
      <c r="H42" s="3" t="str">
        <f>IF(compare2[[#This Row],[Value]]=0,"","witness.witness_ip")</f>
        <v>witness.witness_ip</v>
      </c>
      <c r="I42" s="30" t="str">
        <f>_xlfn.XLOOKUP(File2,global[Source.Name],global[witness.witness_ip])</f>
        <v>192.168.100.4</v>
      </c>
      <c r="K42" s="3" t="str">
        <f>IF(compare3[[#This Row],[Value]]=0,"","witness.witness_ip")</f>
        <v/>
      </c>
      <c r="L42" s="30">
        <f>_xlfn.XLOOKUP(File3,global[Source.Name],global[witness.witness_ip])</f>
        <v>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10"/>
    </row>
    <row r="43" spans="1:49" x14ac:dyDescent="0.25">
      <c r="B43" s="39" t="str">
        <f>_xlfn.XLOOKUP(C43,supported[Source.Name],supported[Version|Type|Nodes],"")</f>
        <v/>
      </c>
      <c r="E43" s="3" t="str">
        <f>IF(compare1[[#This Row],[Value]]=0,"","cluster_witness_gateway")</f>
        <v/>
      </c>
      <c r="F43" s="30">
        <f>_xlfn.XLOOKUP(File1,global[Source.Name],global[cluster_witness_gateway])</f>
        <v>0</v>
      </c>
      <c r="H43" s="3" t="str">
        <f>IF(compare2[[#This Row],[Value]]=0,"","cluster_witness_gateway")</f>
        <v>cluster_witness_gateway</v>
      </c>
      <c r="I43" s="30" t="str">
        <f>_xlfn.XLOOKUP(File2,global[Source.Name],global[cluster_witness_gateway])</f>
        <v>192.168.100.1</v>
      </c>
      <c r="K43" s="3" t="str">
        <f>IF(compare3[[#This Row],[Value]]=0,"","cluster_witness_gateway")</f>
        <v/>
      </c>
      <c r="L43" s="30">
        <f>_xlfn.XLOOKUP(File3,global[Source.Name],global[cluster_witness_gateway])</f>
        <v>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10"/>
    </row>
    <row r="44" spans="1:49" x14ac:dyDescent="0.25">
      <c r="B44" s="39" t="str">
        <f>_xlfn.XLOOKUP(C44,supported[Source.Name],supported[Version|Type|Nodes],"")</f>
        <v/>
      </c>
      <c r="E44" s="3" t="str">
        <f>IF(compare1[[#This Row],[Value]]=0,"","cluster_witness_netmask")</f>
        <v/>
      </c>
      <c r="F44" s="30">
        <f>_xlfn.XLOOKUP(File1,global[Source.Name],global[cluster_witness_netmask])</f>
        <v>0</v>
      </c>
      <c r="H44" s="3" t="str">
        <f>IF(compare2[[#This Row],[Value]]=0,"","cluster_witness_netmask")</f>
        <v>cluster_witness_netmask</v>
      </c>
      <c r="I44" s="30" t="str">
        <f>_xlfn.XLOOKUP(File2,global[Source.Name],global[cluster_witness_netmask])</f>
        <v>255.255.255.0</v>
      </c>
      <c r="K44" s="3" t="str">
        <f>IF(compare3[[#This Row],[Value]]=0,"","cluster_witness_netmask")</f>
        <v/>
      </c>
      <c r="L44" s="30">
        <f>_xlfn.XLOOKUP(File3,global[Source.Name],global[cluster_witness_netmask])</f>
        <v>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10"/>
    </row>
    <row r="45" spans="1:49" x14ac:dyDescent="0.25">
      <c r="B45" s="39" t="str">
        <f>_xlfn.XLOOKUP(C45,supported[Source.Name],supported[Version|Type|Nodes],"")</f>
        <v/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10"/>
    </row>
    <row r="46" spans="1:49" x14ac:dyDescent="0.25">
      <c r="A46"/>
      <c r="B46" s="39" t="str">
        <f>_xlfn.XLOOKUP(C46,supported[Source.Name],supported[Version|Type|Nodes],"")</f>
        <v/>
      </c>
    </row>
    <row r="47" spans="1:49" ht="15" customHeight="1" x14ac:dyDescent="0.25">
      <c r="B47" s="39" t="str">
        <f>_xlfn.XLOOKUP(C47,supported[Source.Name],supported[Version|Type|Nodes],"")</f>
        <v/>
      </c>
      <c r="E47" s="18" t="str">
        <f>_xlfn.XLOOKUP(File1,quickview[Source.Name],quickview[Host Quickview])</f>
        <v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v>
      </c>
      <c r="F47" s="16"/>
      <c r="H47" s="18" t="str">
        <f>_xlfn.XLOOKUP(File2,quickview[Source.Name],quickview[Host Quickview])</f>
        <v>HOST	MGMT	VSAN	VMOTION
host-01	192.168.1.50	192.168.80.1	192.168.90.1
host-02	192.168.1.51	192.168.80.2	192.168.90.2</v>
      </c>
      <c r="I47" s="16"/>
      <c r="K47" s="18" t="str">
        <f>_xlfn.XLOOKUP(File3,quickview[Source.Name],quickview[Host Quickview])</f>
        <v>HOST	MGMT	VSAN	VMOTION
esxi-01	192.168.0.100	192.168.0.40	192.168.0.80
esxi-02	192.168.0.101	192.168.0.41	192.168.0.81
esxi-03	192.168.0.102	192.168.0.42	192.168.0.82</v>
      </c>
      <c r="L47" s="16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10"/>
    </row>
    <row r="48" spans="1:49" x14ac:dyDescent="0.25">
      <c r="B48" s="39" t="str">
        <f>_xlfn.XLOOKUP(C48,supported[Source.Name],supported[Version|Type|Nodes],"")</f>
        <v/>
      </c>
      <c r="E48" s="17"/>
      <c r="F48" s="1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10"/>
    </row>
    <row r="49" spans="1:49" x14ac:dyDescent="0.25">
      <c r="B49" s="39" t="str">
        <f>_xlfn.XLOOKUP(C49,supported[Source.Name],supported[Version|Type|Nodes],"")</f>
        <v/>
      </c>
      <c r="E49" s="17"/>
      <c r="F49" s="1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10"/>
    </row>
    <row r="50" spans="1:49" x14ac:dyDescent="0.25">
      <c r="B50" s="39" t="str">
        <f>_xlfn.XLOOKUP(C50,supported[Source.Name],supported[Version|Type|Nodes],"")</f>
        <v/>
      </c>
      <c r="E50" s="17"/>
      <c r="F50" s="1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10"/>
    </row>
    <row r="51" spans="1:49" x14ac:dyDescent="0.25">
      <c r="B51" s="39" t="str">
        <f>_xlfn.XLOOKUP(C51,supported[Source.Name],supported[Version|Type|Nodes],"")</f>
        <v/>
      </c>
      <c r="E51" s="17"/>
      <c r="F51" s="1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10"/>
    </row>
    <row r="52" spans="1:49" x14ac:dyDescent="0.25">
      <c r="B52" s="39" t="str">
        <f>_xlfn.XLOOKUP(C52,supported[Source.Name],supported[Version|Type|Nodes],"")</f>
        <v/>
      </c>
      <c r="E52" s="17"/>
      <c r="F52" s="1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10"/>
    </row>
    <row r="53" spans="1:49" x14ac:dyDescent="0.25">
      <c r="B53" s="39" t="str">
        <f>_xlfn.XLOOKUP(C53,supported[Source.Name],supported[Version|Type|Nodes],"")</f>
        <v/>
      </c>
      <c r="E53" s="17"/>
      <c r="F53" s="1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10"/>
    </row>
    <row r="54" spans="1:49" x14ac:dyDescent="0.25">
      <c r="B54" s="39" t="str">
        <f>_xlfn.XLOOKUP(C54,supported[Source.Name],supported[Version|Type|Nodes],"")</f>
        <v/>
      </c>
      <c r="E54" s="17"/>
      <c r="F54" s="1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10"/>
    </row>
    <row r="55" spans="1:49" x14ac:dyDescent="0.25">
      <c r="B55" s="39" t="str">
        <f>_xlfn.XLOOKUP(C55,supported[Source.Name],supported[Version|Type|Nodes],"")</f>
        <v/>
      </c>
      <c r="E55" s="17"/>
      <c r="F55" s="1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10"/>
    </row>
    <row r="56" spans="1:49" x14ac:dyDescent="0.25">
      <c r="B56" s="39" t="str">
        <f>_xlfn.XLOOKUP(C56,supported[Source.Name],supported[Version|Type|Nodes],"")</f>
        <v/>
      </c>
      <c r="E56" s="17"/>
      <c r="F56" s="1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10"/>
    </row>
    <row r="57" spans="1:49" x14ac:dyDescent="0.25">
      <c r="B57" s="39" t="str">
        <f>_xlfn.XLOOKUP(C57,supported[Source.Name],supported[Version|Type|Nodes],"")</f>
        <v/>
      </c>
      <c r="E57" s="17"/>
      <c r="F57" s="1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10"/>
    </row>
    <row r="58" spans="1:49" x14ac:dyDescent="0.25">
      <c r="B58" s="39" t="str">
        <f>_xlfn.XLOOKUP(C58,supported[Source.Name],supported[Version|Type|Nodes],"")</f>
        <v/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10"/>
    </row>
    <row r="59" spans="1:49" x14ac:dyDescent="0.25">
      <c r="A59"/>
      <c r="B59" s="39" t="str">
        <f>_xlfn.XLOOKUP(C59,supported[Source.Name],supported[Version|Type|Nodes],"")</f>
        <v/>
      </c>
    </row>
    <row r="60" spans="1:49" x14ac:dyDescent="0.25">
      <c r="B60" s="39" t="str">
        <f>_xlfn.XLOOKUP(C60,supported[Source.Name],supported[Version|Type|Nodes],"")</f>
        <v/>
      </c>
      <c r="E60" s="18" t="str">
        <f>_xlfn.XLOOKUP(File1,quickview[Source.Name],quickview[VLAN Quickview])</f>
        <v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v>
      </c>
      <c r="F60" s="16"/>
      <c r="H60" s="18" t="str">
        <f>_xlfn.XLOOKUP(File2,quickview[Source.Name],quickview[VLAN Quickview])</f>
        <v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v>
      </c>
      <c r="I60" s="16"/>
      <c r="K60" s="18" t="str">
        <f>_xlfn.XLOOKUP(File3,quickview[Source.Name],quickview[VLAN Quickview])</f>
        <v xml:space="preserve">VLAN_ID	VLAN NAME	PNIC
1	(MANAGEMENT)	
1	(VSAN)	
1	(VMOTION)	</v>
      </c>
      <c r="L60" s="16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10"/>
    </row>
    <row r="61" spans="1:49" x14ac:dyDescent="0.25">
      <c r="B61" s="39" t="str">
        <f>_xlfn.XLOOKUP(C61,supported[Source.Name],supported[Version|Type|Nodes],"")</f>
        <v/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10"/>
    </row>
    <row r="62" spans="1:49" x14ac:dyDescent="0.25">
      <c r="B62" s="39" t="str">
        <f>_xlfn.XLOOKUP(C62,supported[Source.Name],supported[Version|Type|Nodes],"")</f>
        <v/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10"/>
    </row>
    <row r="63" spans="1:49" x14ac:dyDescent="0.25">
      <c r="B63" s="39" t="str">
        <f>_xlfn.XLOOKUP(C63,supported[Source.Name],supported[Version|Type|Nodes],"")</f>
        <v/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10"/>
    </row>
    <row r="64" spans="1:49" x14ac:dyDescent="0.25">
      <c r="B64" s="39" t="str">
        <f>_xlfn.XLOOKUP(C64,supported[Source.Name],supported[Version|Type|Nodes],"")</f>
        <v/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10"/>
    </row>
    <row r="65" spans="2:49" x14ac:dyDescent="0.25">
      <c r="B65" s="39" t="str">
        <f>_xlfn.XLOOKUP(C65,supported[Source.Name],supported[Version|Type|Nodes],"")</f>
        <v/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10"/>
    </row>
    <row r="66" spans="2:49" x14ac:dyDescent="0.25">
      <c r="B66" s="39" t="str">
        <f>_xlfn.XLOOKUP(C66,supported[Source.Name],supported[Version|Type|Nodes],"")</f>
        <v/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10"/>
    </row>
    <row r="67" spans="2:49" x14ac:dyDescent="0.25">
      <c r="B67" s="39" t="str">
        <f>_xlfn.XLOOKUP(C67,supported[Source.Name],supported[Version|Type|Nodes],"")</f>
        <v/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10"/>
    </row>
    <row r="68" spans="2:49" x14ac:dyDescent="0.25">
      <c r="B68" s="39" t="str">
        <f>_xlfn.XLOOKUP(C68,supported[Source.Name],supported[Version|Type|Nodes],"")</f>
        <v/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10"/>
    </row>
    <row r="69" spans="2:49" x14ac:dyDescent="0.25">
      <c r="B69" s="39" t="str">
        <f>_xlfn.XLOOKUP(C69,supported[Source.Name],supported[Version|Type|Nodes],"")</f>
        <v/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10"/>
    </row>
    <row r="70" spans="2:49" x14ac:dyDescent="0.25">
      <c r="B70" s="39" t="str">
        <f>_xlfn.XLOOKUP(C70,supported[Source.Name],supported[Version|Type|Nodes],"")</f>
        <v/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10"/>
    </row>
    <row r="71" spans="2:49" x14ac:dyDescent="0.25">
      <c r="B71" s="39" t="str">
        <f>_xlfn.XLOOKUP(C71,supported[Source.Name],supported[Version|Type|Nodes],"")</f>
        <v/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10"/>
    </row>
    <row r="72" spans="2:49" x14ac:dyDescent="0.25">
      <c r="B72" s="39" t="str">
        <f>_xlfn.XLOOKUP(C72,supported[Source.Name],supported[Version|Type|Nodes],"")</f>
        <v/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10"/>
    </row>
    <row r="73" spans="2:49" x14ac:dyDescent="0.25">
      <c r="B73" s="39" t="str">
        <f>_xlfn.XLOOKUP(C73,supported[Source.Name],supported[Version|Type|Nodes],"")</f>
        <v/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10"/>
    </row>
    <row r="74" spans="2:49" x14ac:dyDescent="0.25">
      <c r="B74" s="39" t="str">
        <f>_xlfn.XLOOKUP(C74,supported[Source.Name],supported[Version|Type|Nodes],"")</f>
        <v/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10"/>
    </row>
    <row r="75" spans="2:49" x14ac:dyDescent="0.25">
      <c r="B75" s="39" t="str">
        <f>_xlfn.XLOOKUP(C75,supported[Source.Name],supported[Version|Type|Nodes],"")</f>
        <v/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10"/>
    </row>
    <row r="76" spans="2:49" x14ac:dyDescent="0.25">
      <c r="B76" s="39" t="str">
        <f>_xlfn.XLOOKUP(C76,supported[Source.Name],supported[Version|Type|Nodes],"")</f>
        <v/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10"/>
    </row>
    <row r="77" spans="2:49" x14ac:dyDescent="0.25">
      <c r="B77" s="39" t="str">
        <f>_xlfn.XLOOKUP(C77,supported[Source.Name],supported[Version|Type|Nodes],"")</f>
        <v/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10"/>
    </row>
    <row r="78" spans="2:49" x14ac:dyDescent="0.25">
      <c r="B78" s="39" t="str">
        <f>_xlfn.XLOOKUP(C78,supported[Source.Name],supported[Version|Type|Nodes],"")</f>
        <v/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10"/>
    </row>
    <row r="79" spans="2:49" x14ac:dyDescent="0.25">
      <c r="B79" s="39" t="str">
        <f>_xlfn.XLOOKUP(C79,supported[Source.Name],supported[Version|Type|Nodes],"")</f>
        <v/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10"/>
    </row>
    <row r="80" spans="2:49" x14ac:dyDescent="0.25">
      <c r="B80" s="39" t="str">
        <f>_xlfn.XLOOKUP(C80,supported[Source.Name],supported[Version|Type|Nodes],"")</f>
        <v/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10"/>
    </row>
    <row r="81" spans="2:49" x14ac:dyDescent="0.25">
      <c r="B81" s="39" t="str">
        <f>_xlfn.XLOOKUP(C81,supported[Source.Name],supported[Version|Type|Nodes],"")</f>
        <v/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10"/>
    </row>
    <row r="82" spans="2:49" x14ac:dyDescent="0.25">
      <c r="B82" s="39" t="str">
        <f>_xlfn.XLOOKUP(C82,supported[Source.Name],supported[Version|Type|Nodes],"")</f>
        <v/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10"/>
    </row>
    <row r="83" spans="2:49" x14ac:dyDescent="0.25">
      <c r="B83" s="39" t="str">
        <f>_xlfn.XLOOKUP(C83,supported[Source.Name],supported[Version|Type|Nodes],"")</f>
        <v/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10"/>
    </row>
    <row r="84" spans="2:49" x14ac:dyDescent="0.25">
      <c r="B84" s="39" t="str">
        <f>_xlfn.XLOOKUP(C84,supported[Source.Name],supported[Version|Type|Nodes],"")</f>
        <v/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10"/>
    </row>
    <row r="85" spans="2:49" x14ac:dyDescent="0.25">
      <c r="B85" s="39" t="str">
        <f>_xlfn.XLOOKUP(C85,supported[Source.Name],supported[Version|Type|Nodes],"")</f>
        <v/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10"/>
    </row>
    <row r="86" spans="2:49" x14ac:dyDescent="0.25">
      <c r="B86" s="39" t="str">
        <f>_xlfn.XLOOKUP(C86,supported[Source.Name],supported[Version|Type|Nodes],"")</f>
        <v/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10"/>
    </row>
    <row r="87" spans="2:49" x14ac:dyDescent="0.25">
      <c r="B87" s="39" t="str">
        <f>_xlfn.XLOOKUP(C87,supported[Source.Name],supported[Version|Type|Nodes],"")</f>
        <v/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10"/>
    </row>
    <row r="88" spans="2:49" x14ac:dyDescent="0.25">
      <c r="B88" s="39" t="str">
        <f>_xlfn.XLOOKUP(C88,supported[Source.Name],supported[Version|Type|Nodes],"")</f>
        <v/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4"/>
    </row>
    <row r="89" spans="2:49" x14ac:dyDescent="0.25">
      <c r="B89" s="39" t="str">
        <f>_xlfn.XLOOKUP(C89,supported[Source.Name],supported[Version|Type|Nodes],"")</f>
        <v/>
      </c>
    </row>
    <row r="90" spans="2:49" x14ac:dyDescent="0.25">
      <c r="B90" s="39" t="str">
        <f>_xlfn.XLOOKUP(C90,supported[Source.Name],supported[Version|Type|Nodes],"")</f>
        <v/>
      </c>
    </row>
    <row r="91" spans="2:49" x14ac:dyDescent="0.25">
      <c r="B91" s="39" t="str">
        <f>_xlfn.XLOOKUP(C91,supported[Source.Name],supported[Version|Type|Nodes],"")</f>
        <v/>
      </c>
    </row>
    <row r="92" spans="2:49" x14ac:dyDescent="0.25">
      <c r="B92" s="39" t="str">
        <f>_xlfn.XLOOKUP(C92,supported[Source.Name],supported[Version|Type|Nodes],"")</f>
        <v/>
      </c>
    </row>
    <row r="93" spans="2:49" x14ac:dyDescent="0.25">
      <c r="B93" s="39" t="str">
        <f>_xlfn.XLOOKUP(C93,supported[Source.Name],supported[Version|Type|Nodes],"")</f>
        <v/>
      </c>
    </row>
    <row r="94" spans="2:49" x14ac:dyDescent="0.25">
      <c r="B94" s="39" t="str">
        <f>_xlfn.XLOOKUP(C94,supported[Source.Name],supported[Version|Type|Nodes],"")</f>
        <v/>
      </c>
    </row>
    <row r="95" spans="2:49" x14ac:dyDescent="0.25">
      <c r="B95" s="39" t="str">
        <f>_xlfn.XLOOKUP(C95,supported[Source.Name],supported[Version|Type|Nodes],"")</f>
        <v/>
      </c>
    </row>
    <row r="96" spans="2:49" x14ac:dyDescent="0.25">
      <c r="B96" s="39" t="str">
        <f>_xlfn.XLOOKUP(C96,supported[Source.Name],supported[Version|Type|Nodes],"")</f>
        <v/>
      </c>
    </row>
    <row r="97" spans="2:2" x14ac:dyDescent="0.25">
      <c r="B97" s="39" t="str">
        <f>_xlfn.XLOOKUP(C97,supported[Source.Name],supported[Version|Type|Nodes],"")</f>
        <v/>
      </c>
    </row>
    <row r="98" spans="2:2" x14ac:dyDescent="0.25">
      <c r="B98" s="39" t="str">
        <f>_xlfn.XLOOKUP(C98,supported[Source.Name],supported[Version|Type|Nodes],"")</f>
        <v/>
      </c>
    </row>
    <row r="99" spans="2:2" x14ac:dyDescent="0.25">
      <c r="B99" s="39" t="str">
        <f>_xlfn.XLOOKUP(C99,supported[Source.Name],supported[Version|Type|Nodes],"")</f>
        <v/>
      </c>
    </row>
    <row r="100" spans="2:2" x14ac:dyDescent="0.25">
      <c r="B100" s="39" t="str">
        <f>_xlfn.XLOOKUP(C100,supported[Source.Name],supported[Version|Type|Nodes],"")</f>
        <v/>
      </c>
    </row>
    <row r="101" spans="2:2" x14ac:dyDescent="0.25">
      <c r="B101" s="39" t="str">
        <f>_xlfn.XLOOKUP(C101,supported[Source.Name],supported[Version|Type|Nodes],"")</f>
        <v/>
      </c>
    </row>
    <row r="102" spans="2:2" x14ac:dyDescent="0.25">
      <c r="B102" s="39" t="str">
        <f>_xlfn.XLOOKUP(C102,supported[Source.Name],supported[Version|Type|Nodes],"")</f>
        <v/>
      </c>
    </row>
    <row r="103" spans="2:2" x14ac:dyDescent="0.25">
      <c r="B103" s="39" t="str">
        <f>_xlfn.XLOOKUP(C103,supported[Source.Name],supported[Version|Type|Nodes],"")</f>
        <v/>
      </c>
    </row>
    <row r="104" spans="2:2" x14ac:dyDescent="0.25">
      <c r="B104" s="39" t="str">
        <f>_xlfn.XLOOKUP(C104,supported[Source.Name],supported[Version|Type|Nodes],"")</f>
        <v/>
      </c>
    </row>
    <row r="105" spans="2:2" x14ac:dyDescent="0.25">
      <c r="B105" s="39" t="str">
        <f>_xlfn.XLOOKUP(C105,supported[Source.Name],supported[Version|Type|Nodes],"")</f>
        <v/>
      </c>
    </row>
    <row r="106" spans="2:2" x14ac:dyDescent="0.25">
      <c r="B106" s="39" t="str">
        <f>_xlfn.XLOOKUP(C106,supported[Source.Name],supported[Version|Type|Nodes],"")</f>
        <v/>
      </c>
    </row>
    <row r="107" spans="2:2" x14ac:dyDescent="0.25">
      <c r="B107" s="39" t="str">
        <f>_xlfn.XLOOKUP(C107,supported[Source.Name],supported[Version|Type|Nodes],"")</f>
        <v/>
      </c>
    </row>
    <row r="108" spans="2:2" x14ac:dyDescent="0.25">
      <c r="B108" s="39" t="str">
        <f>_xlfn.XLOOKUP(C108,supported[Source.Name],supported[Version|Type|Nodes],"")</f>
        <v/>
      </c>
    </row>
    <row r="109" spans="2:2" x14ac:dyDescent="0.25">
      <c r="B109" s="39" t="str">
        <f>_xlfn.XLOOKUP(C109,supported[Source.Name],supported[Version|Type|Nodes],"")</f>
        <v/>
      </c>
    </row>
    <row r="110" spans="2:2" x14ac:dyDescent="0.25">
      <c r="B110" s="39" t="str">
        <f>_xlfn.XLOOKUP(C110,supported[Source.Name],supported[Version|Type|Nodes],"")</f>
        <v/>
      </c>
    </row>
    <row r="111" spans="2:2" x14ac:dyDescent="0.25">
      <c r="B111" s="39" t="str">
        <f>_xlfn.XLOOKUP(C111,supported[Source.Name],supported[Version|Type|Nodes],"")</f>
        <v/>
      </c>
    </row>
    <row r="112" spans="2:2" x14ac:dyDescent="0.25">
      <c r="B112" s="39" t="str">
        <f>_xlfn.XLOOKUP(C112,supported[Source.Name],supported[Version|Type|Nodes],"")</f>
        <v/>
      </c>
    </row>
    <row r="113" spans="2:2" x14ac:dyDescent="0.25">
      <c r="B113" s="39" t="str">
        <f>_xlfn.XLOOKUP(C113,supported[Source.Name],supported[Version|Type|Nodes],"")</f>
        <v/>
      </c>
    </row>
    <row r="114" spans="2:2" x14ac:dyDescent="0.25">
      <c r="B114" s="39" t="str">
        <f>_xlfn.XLOOKUP(C114,supported[Source.Name],supported[Version|Type|Nodes],"")</f>
        <v/>
      </c>
    </row>
    <row r="115" spans="2:2" x14ac:dyDescent="0.25">
      <c r="B115" s="39" t="str">
        <f>_xlfn.XLOOKUP(C115,supported[Source.Name],supported[Version|Type|Nodes],"")</f>
        <v/>
      </c>
    </row>
    <row r="116" spans="2:2" x14ac:dyDescent="0.25">
      <c r="B116" s="39" t="str">
        <f>_xlfn.XLOOKUP(C116,supported[Source.Name],supported[Version|Type|Nodes],"")</f>
        <v/>
      </c>
    </row>
    <row r="117" spans="2:2" x14ac:dyDescent="0.25">
      <c r="B117" s="39" t="str">
        <f>_xlfn.XLOOKUP(C117,supported[Source.Name],supported[Version|Type|Nodes],"")</f>
        <v/>
      </c>
    </row>
    <row r="118" spans="2:2" x14ac:dyDescent="0.25">
      <c r="B118" s="39" t="str">
        <f>_xlfn.XLOOKUP(C118,supported[Source.Name],supported[Version|Type|Nodes],"")</f>
        <v/>
      </c>
    </row>
    <row r="119" spans="2:2" x14ac:dyDescent="0.25">
      <c r="B119" s="39" t="str">
        <f>_xlfn.XLOOKUP(C119,supported[Source.Name],supported[Version|Type|Nodes],"")</f>
        <v/>
      </c>
    </row>
    <row r="120" spans="2:2" x14ac:dyDescent="0.25">
      <c r="B120" s="39" t="str">
        <f>_xlfn.XLOOKUP(C120,supported[Source.Name],supported[Version|Type|Nodes],"")</f>
        <v/>
      </c>
    </row>
    <row r="121" spans="2:2" x14ac:dyDescent="0.25">
      <c r="B121" s="39" t="str">
        <f>_xlfn.XLOOKUP(C121,supported[Source.Name],supported[Version|Type|Nodes],"")</f>
        <v/>
      </c>
    </row>
    <row r="122" spans="2:2" x14ac:dyDescent="0.25">
      <c r="B122" s="39" t="str">
        <f>_xlfn.XLOOKUP(C122,supported[Source.Name],supported[Version|Type|Nodes],"")</f>
        <v/>
      </c>
    </row>
    <row r="123" spans="2:2" x14ac:dyDescent="0.25">
      <c r="B123" s="39" t="str">
        <f>_xlfn.XLOOKUP(C123,supported[Source.Name],supported[Version|Type|Nodes],"")</f>
        <v/>
      </c>
    </row>
    <row r="124" spans="2:2" x14ac:dyDescent="0.25">
      <c r="B124" s="39" t="str">
        <f>_xlfn.XLOOKUP(C124,supported[Source.Name],supported[Version|Type|Nodes],"")</f>
        <v/>
      </c>
    </row>
    <row r="125" spans="2:2" x14ac:dyDescent="0.25">
      <c r="B125" s="39" t="str">
        <f>_xlfn.XLOOKUP(C125,supported[Source.Name],supported[Version|Type|Nodes],"")</f>
        <v/>
      </c>
    </row>
    <row r="126" spans="2:2" x14ac:dyDescent="0.25">
      <c r="B126" s="39" t="str">
        <f>_xlfn.XLOOKUP(C126,supported[Source.Name],supported[Version|Type|Nodes],"")</f>
        <v/>
      </c>
    </row>
    <row r="127" spans="2:2" x14ac:dyDescent="0.25">
      <c r="B127" s="39" t="str">
        <f>_xlfn.XLOOKUP(C127,supported[Source.Name],supported[Version|Type|Nodes],"")</f>
        <v/>
      </c>
    </row>
    <row r="128" spans="2:2" x14ac:dyDescent="0.25">
      <c r="B128" s="39" t="str">
        <f>_xlfn.XLOOKUP(C128,supported[Source.Name],supported[Version|Type|Nodes],"")</f>
        <v/>
      </c>
    </row>
    <row r="129" spans="2:2" x14ac:dyDescent="0.25">
      <c r="B129" s="39" t="str">
        <f>_xlfn.XLOOKUP(C129,supported[Source.Name],supported[Version|Type|Nodes],"")</f>
        <v/>
      </c>
    </row>
    <row r="130" spans="2:2" x14ac:dyDescent="0.25">
      <c r="B130" s="39" t="str">
        <f>_xlfn.XLOOKUP(C130,supported[Source.Name],supported[Version|Type|Nodes],"")</f>
        <v/>
      </c>
    </row>
    <row r="131" spans="2:2" x14ac:dyDescent="0.25">
      <c r="B131" s="39" t="str">
        <f>_xlfn.XLOOKUP(C131,supported[Source.Name],supported[Version|Type|Nodes],"")</f>
        <v/>
      </c>
    </row>
    <row r="132" spans="2:2" x14ac:dyDescent="0.25">
      <c r="B132" s="39" t="str">
        <f>_xlfn.XLOOKUP(C132,supported[Source.Name],supported[Version|Type|Nodes],"")</f>
        <v/>
      </c>
    </row>
    <row r="133" spans="2:2" x14ac:dyDescent="0.25">
      <c r="B133" s="39" t="str">
        <f>_xlfn.XLOOKUP(C133,supported[Source.Name],supported[Version|Type|Nodes],"")</f>
        <v/>
      </c>
    </row>
    <row r="134" spans="2:2" x14ac:dyDescent="0.25">
      <c r="B134" s="39" t="str">
        <f>_xlfn.XLOOKUP(C134,supported[Source.Name],supported[Version|Type|Nodes],"")</f>
        <v/>
      </c>
    </row>
    <row r="135" spans="2:2" x14ac:dyDescent="0.25">
      <c r="B135" s="39" t="str">
        <f>_xlfn.XLOOKUP(C135,supported[Source.Name],supported[Version|Type|Nodes],"")</f>
        <v/>
      </c>
    </row>
    <row r="136" spans="2:2" x14ac:dyDescent="0.25">
      <c r="B136" s="39" t="str">
        <f>_xlfn.XLOOKUP(C136,supported[Source.Name],supported[Version|Type|Nodes],"")</f>
        <v/>
      </c>
    </row>
    <row r="137" spans="2:2" x14ac:dyDescent="0.25">
      <c r="B137" s="39" t="str">
        <f>_xlfn.XLOOKUP(C137,supported[Source.Name],supported[Version|Type|Nodes],"")</f>
        <v/>
      </c>
    </row>
    <row r="138" spans="2:2" x14ac:dyDescent="0.25">
      <c r="B138" s="39" t="str">
        <f>_xlfn.XLOOKUP(C138,supported[Source.Name],supported[Version|Type|Nodes],"")</f>
        <v/>
      </c>
    </row>
    <row r="139" spans="2:2" x14ac:dyDescent="0.25">
      <c r="B139" s="39" t="str">
        <f>_xlfn.XLOOKUP(C139,supported[Source.Name],supported[Version|Type|Nodes],"")</f>
        <v/>
      </c>
    </row>
    <row r="140" spans="2:2" x14ac:dyDescent="0.25">
      <c r="B140" s="39" t="str">
        <f>_xlfn.XLOOKUP(C140,supported[Source.Name],supported[Version|Type|Nodes],"")</f>
        <v/>
      </c>
    </row>
    <row r="141" spans="2:2" x14ac:dyDescent="0.25">
      <c r="B141" s="39" t="str">
        <f>_xlfn.XLOOKUP(C141,supported[Source.Name],supported[Version|Type|Nodes],"")</f>
        <v/>
      </c>
    </row>
    <row r="142" spans="2:2" x14ac:dyDescent="0.25">
      <c r="B142" s="39" t="str">
        <f>_xlfn.XLOOKUP(C142,supported[Source.Name],supported[Version|Type|Nodes],"")</f>
        <v/>
      </c>
    </row>
    <row r="143" spans="2:2" x14ac:dyDescent="0.25">
      <c r="B143" s="39" t="str">
        <f>_xlfn.XLOOKUP(C143,supported[Source.Name],supported[Version|Type|Nodes],"")</f>
        <v/>
      </c>
    </row>
    <row r="144" spans="2:2" x14ac:dyDescent="0.25">
      <c r="B144" s="39" t="str">
        <f>_xlfn.XLOOKUP(C144,supported[Source.Name],supported[Version|Type|Nodes],"")</f>
        <v/>
      </c>
    </row>
    <row r="145" spans="2:2" x14ac:dyDescent="0.25">
      <c r="B145" s="39" t="str">
        <f>_xlfn.XLOOKUP(C145,supported[Source.Name],supported[Version|Type|Nodes],"")</f>
        <v/>
      </c>
    </row>
    <row r="146" spans="2:2" x14ac:dyDescent="0.25">
      <c r="B146" s="39" t="str">
        <f>_xlfn.XLOOKUP(C146,supported[Source.Name],supported[Version|Type|Nodes],"")</f>
        <v/>
      </c>
    </row>
    <row r="147" spans="2:2" x14ac:dyDescent="0.25">
      <c r="B147" s="39" t="str">
        <f>_xlfn.XLOOKUP(C147,supported[Source.Name],supported[Version|Type|Nodes],"")</f>
        <v/>
      </c>
    </row>
    <row r="148" spans="2:2" x14ac:dyDescent="0.25">
      <c r="B148" s="39" t="str">
        <f>_xlfn.XLOOKUP(C148,supported[Source.Name],supported[Version|Type|Nodes],"")</f>
        <v/>
      </c>
    </row>
    <row r="149" spans="2:2" x14ac:dyDescent="0.25">
      <c r="B149" s="39" t="str">
        <f>_xlfn.XLOOKUP(C149,supported[Source.Name],supported[Version|Type|Nodes],"")</f>
        <v/>
      </c>
    </row>
    <row r="150" spans="2:2" x14ac:dyDescent="0.25">
      <c r="B150" s="39" t="str">
        <f>_xlfn.XLOOKUP(C150,supported[Source.Name],supported[Version|Type|Nodes],"")</f>
        <v/>
      </c>
    </row>
    <row r="151" spans="2:2" x14ac:dyDescent="0.25">
      <c r="B151" s="39" t="str">
        <f>_xlfn.XLOOKUP(C151,supported[Source.Name],supported[Version|Type|Nodes],"")</f>
        <v/>
      </c>
    </row>
    <row r="152" spans="2:2" x14ac:dyDescent="0.25">
      <c r="B152" s="39" t="str">
        <f>_xlfn.XLOOKUP(C152,supported[Source.Name],supported[Version|Type|Nodes],"")</f>
        <v/>
      </c>
    </row>
    <row r="153" spans="2:2" x14ac:dyDescent="0.25">
      <c r="B153" s="39" t="str">
        <f>_xlfn.XLOOKUP(C153,supported[Source.Name],supported[Version|Type|Nodes],"")</f>
        <v/>
      </c>
    </row>
    <row r="154" spans="2:2" x14ac:dyDescent="0.25">
      <c r="B154" s="39" t="str">
        <f>_xlfn.XLOOKUP(C154,supported[Source.Name],supported[Version|Type|Nodes],"")</f>
        <v/>
      </c>
    </row>
    <row r="155" spans="2:2" x14ac:dyDescent="0.25">
      <c r="B155" s="39" t="str">
        <f>_xlfn.XLOOKUP(C155,supported[Source.Name],supported[Version|Type|Nodes],"")</f>
        <v/>
      </c>
    </row>
    <row r="156" spans="2:2" x14ac:dyDescent="0.25">
      <c r="B156" s="39" t="str">
        <f>_xlfn.XLOOKUP(C156,supported[Source.Name],supported[Version|Type|Nodes],"")</f>
        <v/>
      </c>
    </row>
    <row r="157" spans="2:2" x14ac:dyDescent="0.25">
      <c r="B157" s="39" t="str">
        <f>_xlfn.XLOOKUP(C157,supported[Source.Name],supported[Version|Type|Nodes],"")</f>
        <v/>
      </c>
    </row>
    <row r="158" spans="2:2" x14ac:dyDescent="0.25">
      <c r="B158" s="39" t="str">
        <f>_xlfn.XLOOKUP(C158,supported[Source.Name],supported[Version|Type|Nodes],"")</f>
        <v/>
      </c>
    </row>
    <row r="159" spans="2:2" x14ac:dyDescent="0.25">
      <c r="B159" s="39" t="str">
        <f>_xlfn.XLOOKUP(C159,supported[Source.Name],supported[Version|Type|Nodes],"")</f>
        <v/>
      </c>
    </row>
    <row r="160" spans="2:2" x14ac:dyDescent="0.25">
      <c r="B160" s="39" t="str">
        <f>_xlfn.XLOOKUP(C160,supported[Source.Name],supported[Version|Type|Nodes],"")</f>
        <v/>
      </c>
    </row>
    <row r="161" spans="2:2" x14ac:dyDescent="0.25">
      <c r="B161" s="39" t="str">
        <f>_xlfn.XLOOKUP(C161,supported[Source.Name],supported[Version|Type|Nodes],"")</f>
        <v/>
      </c>
    </row>
    <row r="162" spans="2:2" x14ac:dyDescent="0.25">
      <c r="B162" s="39" t="str">
        <f>_xlfn.XLOOKUP(C162,supported[Source.Name],supported[Version|Type|Nodes],"")</f>
        <v/>
      </c>
    </row>
    <row r="163" spans="2:2" x14ac:dyDescent="0.25">
      <c r="B163" s="39" t="str">
        <f>_xlfn.XLOOKUP(C163,supported[Source.Name],supported[Version|Type|Nodes],"")</f>
        <v/>
      </c>
    </row>
    <row r="164" spans="2:2" x14ac:dyDescent="0.25">
      <c r="B164" s="39" t="str">
        <f>_xlfn.XLOOKUP(C164,supported[Source.Name],supported[Version|Type|Nodes],"")</f>
        <v/>
      </c>
    </row>
    <row r="165" spans="2:2" x14ac:dyDescent="0.25">
      <c r="B165" s="39" t="str">
        <f>_xlfn.XLOOKUP(C165,supported[Source.Name],supported[Version|Type|Nodes],"")</f>
        <v/>
      </c>
    </row>
    <row r="166" spans="2:2" x14ac:dyDescent="0.25">
      <c r="B166" s="39" t="str">
        <f>_xlfn.XLOOKUP(C166,supported[Source.Name],supported[Version|Type|Nodes],"")</f>
        <v/>
      </c>
    </row>
    <row r="167" spans="2:2" x14ac:dyDescent="0.25">
      <c r="B167" s="39" t="str">
        <f>_xlfn.XLOOKUP(C167,supported[Source.Name],supported[Version|Type|Nodes],"")</f>
        <v/>
      </c>
    </row>
    <row r="168" spans="2:2" x14ac:dyDescent="0.25">
      <c r="B168" s="39" t="str">
        <f>_xlfn.XLOOKUP(C168,supported[Source.Name],supported[Version|Type|Nodes],"")</f>
        <v/>
      </c>
    </row>
    <row r="169" spans="2:2" x14ac:dyDescent="0.25">
      <c r="B169" s="39" t="str">
        <f>_xlfn.XLOOKUP(C169,supported[Source.Name],supported[Version|Type|Nodes],"")</f>
        <v/>
      </c>
    </row>
    <row r="170" spans="2:2" x14ac:dyDescent="0.25">
      <c r="B170" s="39" t="str">
        <f>_xlfn.XLOOKUP(C170,supported[Source.Name],supported[Version|Type|Nodes],"")</f>
        <v/>
      </c>
    </row>
    <row r="171" spans="2:2" x14ac:dyDescent="0.25">
      <c r="B171" s="39" t="str">
        <f>_xlfn.XLOOKUP(C171,supported[Source.Name],supported[Version|Type|Nodes],"")</f>
        <v/>
      </c>
    </row>
    <row r="172" spans="2:2" x14ac:dyDescent="0.25">
      <c r="B172" s="39" t="str">
        <f>_xlfn.XLOOKUP(C172,supported[Source.Name],supported[Version|Type|Nodes],"")</f>
        <v/>
      </c>
    </row>
    <row r="173" spans="2:2" x14ac:dyDescent="0.25">
      <c r="B173" s="39" t="str">
        <f>_xlfn.XLOOKUP(C173,supported[Source.Name],supported[Version|Type|Nodes],"")</f>
        <v/>
      </c>
    </row>
    <row r="174" spans="2:2" x14ac:dyDescent="0.25">
      <c r="B174" s="39" t="str">
        <f>_xlfn.XLOOKUP(C174,supported[Source.Name],supported[Version|Type|Nodes],"")</f>
        <v/>
      </c>
    </row>
    <row r="175" spans="2:2" x14ac:dyDescent="0.25">
      <c r="B175" s="39" t="str">
        <f>_xlfn.XLOOKUP(C175,supported[Source.Name],supported[Version|Type|Nodes],"")</f>
        <v/>
      </c>
    </row>
    <row r="176" spans="2:2" x14ac:dyDescent="0.25">
      <c r="B176" s="39" t="str">
        <f>_xlfn.XLOOKUP(C176,supported[Source.Name],supported[Version|Type|Nodes],"")</f>
        <v/>
      </c>
    </row>
    <row r="177" spans="2:2" x14ac:dyDescent="0.25">
      <c r="B177" s="39" t="str">
        <f>_xlfn.XLOOKUP(C177,supported[Source.Name],supported[Version|Type|Nodes],"")</f>
        <v/>
      </c>
    </row>
    <row r="178" spans="2:2" x14ac:dyDescent="0.25">
      <c r="B178" s="39" t="str">
        <f>_xlfn.XLOOKUP(C178,supported[Source.Name],supported[Version|Type|Nodes],"")</f>
        <v/>
      </c>
    </row>
    <row r="179" spans="2:2" x14ac:dyDescent="0.25">
      <c r="B179" s="39" t="str">
        <f>_xlfn.XLOOKUP(C179,supported[Source.Name],supported[Version|Type|Nodes],"")</f>
        <v/>
      </c>
    </row>
    <row r="180" spans="2:2" x14ac:dyDescent="0.25">
      <c r="B180" s="39" t="str">
        <f>_xlfn.XLOOKUP(C180,supported[Source.Name],supported[Version|Type|Nodes],"")</f>
        <v/>
      </c>
    </row>
    <row r="181" spans="2:2" x14ac:dyDescent="0.25">
      <c r="B181" s="39" t="str">
        <f>_xlfn.XLOOKUP(C181,supported[Source.Name],supported[Version|Type|Nodes],"")</f>
        <v/>
      </c>
    </row>
    <row r="182" spans="2:2" x14ac:dyDescent="0.25">
      <c r="B182" s="39" t="str">
        <f>_xlfn.XLOOKUP(C182,supported[Source.Name],supported[Version|Type|Nodes],"")</f>
        <v/>
      </c>
    </row>
    <row r="183" spans="2:2" x14ac:dyDescent="0.25">
      <c r="B183" s="39" t="str">
        <f>_xlfn.XLOOKUP(C183,supported[Source.Name],supported[Version|Type|Nodes],"")</f>
        <v/>
      </c>
    </row>
    <row r="184" spans="2:2" x14ac:dyDescent="0.25">
      <c r="B184" s="39" t="str">
        <f>_xlfn.XLOOKUP(C184,supported[Source.Name],supported[Version|Type|Nodes],"")</f>
        <v/>
      </c>
    </row>
    <row r="185" spans="2:2" x14ac:dyDescent="0.25">
      <c r="B185" s="39" t="str">
        <f>_xlfn.XLOOKUP(C185,supported[Source.Name],supported[Version|Type|Nodes],"")</f>
        <v/>
      </c>
    </row>
    <row r="186" spans="2:2" x14ac:dyDescent="0.25">
      <c r="B186" s="39" t="str">
        <f>_xlfn.XLOOKUP(C186,supported[Source.Name],supported[Version|Type|Nodes],"")</f>
        <v/>
      </c>
    </row>
    <row r="187" spans="2:2" x14ac:dyDescent="0.25">
      <c r="B187" s="39" t="str">
        <f>_xlfn.XLOOKUP(C187,supported[Source.Name],supported[Version|Type|Nodes],"")</f>
        <v/>
      </c>
    </row>
    <row r="188" spans="2:2" x14ac:dyDescent="0.25">
      <c r="B188" s="39" t="str">
        <f>_xlfn.XLOOKUP(C188,supported[Source.Name],supported[Version|Type|Nodes],"")</f>
        <v/>
      </c>
    </row>
    <row r="189" spans="2:2" x14ac:dyDescent="0.25">
      <c r="B189" s="39" t="str">
        <f>_xlfn.XLOOKUP(C189,supported[Source.Name],supported[Version|Type|Nodes],"")</f>
        <v/>
      </c>
    </row>
    <row r="190" spans="2:2" x14ac:dyDescent="0.25">
      <c r="B190" s="39" t="str">
        <f>_xlfn.XLOOKUP(C190,supported[Source.Name],supported[Version|Type|Nodes],"")</f>
        <v/>
      </c>
    </row>
    <row r="191" spans="2:2" x14ac:dyDescent="0.25">
      <c r="B191" s="39" t="str">
        <f>_xlfn.XLOOKUP(C191,supported[Source.Name],supported[Version|Type|Nodes],"")</f>
        <v/>
      </c>
    </row>
    <row r="192" spans="2:2" x14ac:dyDescent="0.25">
      <c r="B192" s="39" t="str">
        <f>_xlfn.XLOOKUP(C192,supported[Source.Name],supported[Version|Type|Nodes],"")</f>
        <v/>
      </c>
    </row>
    <row r="193" spans="2:2" x14ac:dyDescent="0.25">
      <c r="B193" s="39" t="str">
        <f>_xlfn.XLOOKUP(C193,supported[Source.Name],supported[Version|Type|Nodes],"")</f>
        <v/>
      </c>
    </row>
    <row r="194" spans="2:2" x14ac:dyDescent="0.25">
      <c r="B194" s="39" t="str">
        <f>_xlfn.XLOOKUP(C194,supported[Source.Name],supported[Version|Type|Nodes],"")</f>
        <v/>
      </c>
    </row>
    <row r="195" spans="2:2" x14ac:dyDescent="0.25">
      <c r="B195" s="39" t="str">
        <f>_xlfn.XLOOKUP(C195,supported[Source.Name],supported[Version|Type|Nodes],"")</f>
        <v/>
      </c>
    </row>
    <row r="196" spans="2:2" x14ac:dyDescent="0.25">
      <c r="B196" s="39" t="str">
        <f>_xlfn.XLOOKUP(C196,supported[Source.Name],supported[Version|Type|Nodes],"")</f>
        <v/>
      </c>
    </row>
    <row r="197" spans="2:2" x14ac:dyDescent="0.25">
      <c r="B197" s="39" t="str">
        <f>_xlfn.XLOOKUP(C197,supported[Source.Name],supported[Version|Type|Nodes],"")</f>
        <v/>
      </c>
    </row>
    <row r="198" spans="2:2" x14ac:dyDescent="0.25">
      <c r="B198" s="39" t="str">
        <f>_xlfn.XLOOKUP(C198,supported[Source.Name],supported[Version|Type|Nodes],"")</f>
        <v/>
      </c>
    </row>
    <row r="199" spans="2:2" x14ac:dyDescent="0.25">
      <c r="B199" s="39" t="str">
        <f>_xlfn.XLOOKUP(C199,supported[Source.Name],supported[Version|Type|Nodes],"")</f>
        <v/>
      </c>
    </row>
    <row r="200" spans="2:2" x14ac:dyDescent="0.25">
      <c r="B200" s="39" t="str">
        <f>_xlfn.XLOOKUP(C200,supported[Source.Name],supported[Version|Type|Nodes],"")</f>
        <v/>
      </c>
    </row>
    <row r="201" spans="2:2" x14ac:dyDescent="0.25">
      <c r="B201" s="39" t="str">
        <f>_xlfn.XLOOKUP(C201,supported[Source.Name],supported[Version|Type|Nodes],"")</f>
        <v/>
      </c>
    </row>
    <row r="202" spans="2:2" x14ac:dyDescent="0.25">
      <c r="B202" s="39" t="str">
        <f>_xlfn.XLOOKUP(C202,supported[Source.Name],supported[Version|Type|Nodes],"")</f>
        <v/>
      </c>
    </row>
    <row r="203" spans="2:2" x14ac:dyDescent="0.25">
      <c r="B203" s="39" t="str">
        <f>_xlfn.XLOOKUP(C203,supported[Source.Name],supported[Version|Type|Nodes],"")</f>
        <v/>
      </c>
    </row>
    <row r="204" spans="2:2" x14ac:dyDescent="0.25">
      <c r="B204" s="39" t="str">
        <f>_xlfn.XLOOKUP(C204,supported[Source.Name],supported[Version|Type|Nodes],"")</f>
        <v/>
      </c>
    </row>
    <row r="205" spans="2:2" x14ac:dyDescent="0.25">
      <c r="B205" s="39" t="str">
        <f>_xlfn.XLOOKUP(C205,supported[Source.Name],supported[Version|Type|Nodes],"")</f>
        <v/>
      </c>
    </row>
    <row r="206" spans="2:2" x14ac:dyDescent="0.25">
      <c r="B206" s="39" t="str">
        <f>_xlfn.XLOOKUP(C206,supported[Source.Name],supported[Version|Type|Nodes],"")</f>
        <v/>
      </c>
    </row>
    <row r="207" spans="2:2" x14ac:dyDescent="0.25">
      <c r="B207" s="39" t="str">
        <f>_xlfn.XLOOKUP(C207,supported[Source.Name],supported[Version|Type|Nodes],"")</f>
        <v/>
      </c>
    </row>
    <row r="208" spans="2:2" x14ac:dyDescent="0.25">
      <c r="B208" s="39" t="str">
        <f>_xlfn.XLOOKUP(C208,supported[Source.Name],supported[Version|Type|Nodes],"")</f>
        <v/>
      </c>
    </row>
    <row r="209" spans="2:2" x14ac:dyDescent="0.25">
      <c r="B209" s="39" t="str">
        <f>_xlfn.XLOOKUP(C209,supported[Source.Name],supported[Version|Type|Nodes],"")</f>
        <v/>
      </c>
    </row>
    <row r="210" spans="2:2" x14ac:dyDescent="0.25">
      <c r="B210" s="39" t="str">
        <f>_xlfn.XLOOKUP(C210,supported[Source.Name],supported[Version|Type|Nodes],"")</f>
        <v/>
      </c>
    </row>
    <row r="211" spans="2:2" x14ac:dyDescent="0.25">
      <c r="B211" s="39" t="str">
        <f>_xlfn.XLOOKUP(C211,supported[Source.Name],supported[Version|Type|Nodes],"")</f>
        <v/>
      </c>
    </row>
    <row r="212" spans="2:2" x14ac:dyDescent="0.25">
      <c r="B212" s="39" t="str">
        <f>_xlfn.XLOOKUP(C212,supported[Source.Name],supported[Version|Type|Nodes],"")</f>
        <v/>
      </c>
    </row>
    <row r="213" spans="2:2" x14ac:dyDescent="0.25">
      <c r="B213" s="39" t="str">
        <f>_xlfn.XLOOKUP(C213,supported[Source.Name],supported[Version|Type|Nodes],"")</f>
        <v/>
      </c>
    </row>
    <row r="214" spans="2:2" x14ac:dyDescent="0.25">
      <c r="B214" s="39" t="str">
        <f>_xlfn.XLOOKUP(C214,supported[Source.Name],supported[Version|Type|Nodes],"")</f>
        <v/>
      </c>
    </row>
    <row r="215" spans="2:2" x14ac:dyDescent="0.25">
      <c r="B215" s="39" t="str">
        <f>_xlfn.XLOOKUP(C215,supported[Source.Name],supported[Version|Type|Nodes],"")</f>
        <v/>
      </c>
    </row>
    <row r="216" spans="2:2" x14ac:dyDescent="0.25">
      <c r="B216" s="39" t="str">
        <f>_xlfn.XLOOKUP(C216,supported[Source.Name],supported[Version|Type|Nodes],"")</f>
        <v/>
      </c>
    </row>
    <row r="217" spans="2:2" x14ac:dyDescent="0.25">
      <c r="B217" s="39" t="str">
        <f>_xlfn.XLOOKUP(C217,supported[Source.Name],supported[Version|Type|Nodes],"")</f>
        <v/>
      </c>
    </row>
    <row r="218" spans="2:2" x14ac:dyDescent="0.25">
      <c r="B218" s="39" t="str">
        <f>_xlfn.XLOOKUP(C218,supported[Source.Name],supported[Version|Type|Nodes],"")</f>
        <v/>
      </c>
    </row>
    <row r="219" spans="2:2" x14ac:dyDescent="0.25">
      <c r="B219" s="39" t="str">
        <f>_xlfn.XLOOKUP(C219,supported[Source.Name],supported[Version|Type|Nodes],"")</f>
        <v/>
      </c>
    </row>
    <row r="220" spans="2:2" x14ac:dyDescent="0.25">
      <c r="B220" s="39" t="str">
        <f>_xlfn.XLOOKUP(C220,supported[Source.Name],supported[Version|Type|Nodes],"")</f>
        <v/>
      </c>
    </row>
    <row r="221" spans="2:2" x14ac:dyDescent="0.25">
      <c r="B221" s="39" t="str">
        <f>_xlfn.XLOOKUP(C221,supported[Source.Name],supported[Version|Type|Nodes],"")</f>
        <v/>
      </c>
    </row>
    <row r="222" spans="2:2" x14ac:dyDescent="0.25">
      <c r="B222" s="39" t="str">
        <f>_xlfn.XLOOKUP(C222,supported[Source.Name],supported[Version|Type|Nodes],"")</f>
        <v/>
      </c>
    </row>
    <row r="223" spans="2:2" x14ac:dyDescent="0.25">
      <c r="B223" s="39" t="str">
        <f>_xlfn.XLOOKUP(C223,supported[Source.Name],supported[Version|Type|Nodes],"")</f>
        <v/>
      </c>
    </row>
    <row r="224" spans="2:2" x14ac:dyDescent="0.25">
      <c r="B224" s="39" t="str">
        <f>_xlfn.XLOOKUP(C224,supported[Source.Name],supported[Version|Type|Nodes],"")</f>
        <v/>
      </c>
    </row>
    <row r="225" spans="2:2" x14ac:dyDescent="0.25">
      <c r="B225" s="39" t="str">
        <f>_xlfn.XLOOKUP(C225,supported[Source.Name],supported[Version|Type|Nodes],"")</f>
        <v/>
      </c>
    </row>
    <row r="226" spans="2:2" x14ac:dyDescent="0.25">
      <c r="B226" s="39" t="str">
        <f>_xlfn.XLOOKUP(C226,supported[Source.Name],supported[Version|Type|Nodes],"")</f>
        <v/>
      </c>
    </row>
    <row r="227" spans="2:2" x14ac:dyDescent="0.25">
      <c r="B227" s="39" t="str">
        <f>_xlfn.XLOOKUP(C227,supported[Source.Name],supported[Version|Type|Nodes],"")</f>
        <v/>
      </c>
    </row>
    <row r="228" spans="2:2" x14ac:dyDescent="0.25">
      <c r="B228" s="39" t="str">
        <f>_xlfn.XLOOKUP(C228,supported[Source.Name],supported[Version|Type|Nodes],"")</f>
        <v/>
      </c>
    </row>
    <row r="229" spans="2:2" x14ac:dyDescent="0.25">
      <c r="B229" s="39" t="str">
        <f>_xlfn.XLOOKUP(C229,supported[Source.Name],supported[Version|Type|Nodes],"")</f>
        <v/>
      </c>
    </row>
    <row r="230" spans="2:2" x14ac:dyDescent="0.25">
      <c r="B230" s="39" t="str">
        <f>_xlfn.XLOOKUP(C230,supported[Source.Name],supported[Version|Type|Nodes],"")</f>
        <v/>
      </c>
    </row>
    <row r="231" spans="2:2" x14ac:dyDescent="0.25">
      <c r="B231" s="39" t="str">
        <f>_xlfn.XLOOKUP(C231,supported[Source.Name],supported[Version|Type|Nodes],"")</f>
        <v/>
      </c>
    </row>
    <row r="232" spans="2:2" x14ac:dyDescent="0.25">
      <c r="B232" s="39" t="str">
        <f>_xlfn.XLOOKUP(C232,supported[Source.Name],supported[Version|Type|Nodes],"")</f>
        <v/>
      </c>
    </row>
    <row r="233" spans="2:2" x14ac:dyDescent="0.25">
      <c r="B233" s="39" t="str">
        <f>_xlfn.XLOOKUP(C233,supported[Source.Name],supported[Version|Type|Nodes],"")</f>
        <v/>
      </c>
    </row>
    <row r="234" spans="2:2" x14ac:dyDescent="0.25">
      <c r="B234" s="39" t="str">
        <f>_xlfn.XLOOKUP(C234,supported[Source.Name],supported[Version|Type|Nodes],"")</f>
        <v/>
      </c>
    </row>
    <row r="235" spans="2:2" x14ac:dyDescent="0.25">
      <c r="B235" s="39" t="str">
        <f>_xlfn.XLOOKUP(C235,supported[Source.Name],supported[Version|Type|Nodes],"")</f>
        <v/>
      </c>
    </row>
    <row r="236" spans="2:2" x14ac:dyDescent="0.25">
      <c r="B236" s="39" t="str">
        <f>_xlfn.XLOOKUP(C236,supported[Source.Name],supported[Version|Type|Nodes],"")</f>
        <v/>
      </c>
    </row>
    <row r="237" spans="2:2" x14ac:dyDescent="0.25">
      <c r="B237" s="39" t="str">
        <f>_xlfn.XLOOKUP(C237,supported[Source.Name],supported[Version|Type|Nodes],"")</f>
        <v/>
      </c>
    </row>
    <row r="238" spans="2:2" x14ac:dyDescent="0.25">
      <c r="B238" s="39" t="str">
        <f>_xlfn.XLOOKUP(C238,supported[Source.Name],supported[Version|Type|Nodes],"")</f>
        <v/>
      </c>
    </row>
    <row r="239" spans="2:2" x14ac:dyDescent="0.25">
      <c r="B239" s="39" t="str">
        <f>_xlfn.XLOOKUP(C239,supported[Source.Name],supported[Version|Type|Nodes],"")</f>
        <v/>
      </c>
    </row>
    <row r="240" spans="2:2" x14ac:dyDescent="0.25">
      <c r="B240" s="39" t="str">
        <f>_xlfn.XLOOKUP(C240,supported[Source.Name],supported[Version|Type|Nodes],"")</f>
        <v/>
      </c>
    </row>
    <row r="241" spans="2:2" x14ac:dyDescent="0.25">
      <c r="B241" s="39" t="str">
        <f>_xlfn.XLOOKUP(C241,supported[Source.Name],supported[Version|Type|Nodes],"")</f>
        <v/>
      </c>
    </row>
    <row r="242" spans="2:2" x14ac:dyDescent="0.25">
      <c r="B242" s="39" t="str">
        <f>_xlfn.XLOOKUP(C242,supported[Source.Name],supported[Version|Type|Nodes],"")</f>
        <v/>
      </c>
    </row>
    <row r="243" spans="2:2" x14ac:dyDescent="0.25">
      <c r="B243" s="39" t="str">
        <f>_xlfn.XLOOKUP(C243,supported[Source.Name],supported[Version|Type|Nodes],"")</f>
        <v/>
      </c>
    </row>
    <row r="244" spans="2:2" x14ac:dyDescent="0.25">
      <c r="B244" s="39" t="str">
        <f>_xlfn.XLOOKUP(C244,supported[Source.Name],supported[Version|Type|Nodes],"")</f>
        <v/>
      </c>
    </row>
    <row r="245" spans="2:2" x14ac:dyDescent="0.25">
      <c r="B245" s="39" t="str">
        <f>_xlfn.XLOOKUP(C245,supported[Source.Name],supported[Version|Type|Nodes],"")</f>
        <v/>
      </c>
    </row>
    <row r="246" spans="2:2" x14ac:dyDescent="0.25">
      <c r="B246" s="39" t="str">
        <f>_xlfn.XLOOKUP(C246,supported[Source.Name],supported[Version|Type|Nodes],"")</f>
        <v/>
      </c>
    </row>
    <row r="247" spans="2:2" x14ac:dyDescent="0.25">
      <c r="B247" s="39" t="str">
        <f>_xlfn.XLOOKUP(C247,supported[Source.Name],supported[Version|Type|Nodes],"")</f>
        <v/>
      </c>
    </row>
    <row r="248" spans="2:2" x14ac:dyDescent="0.25">
      <c r="B248" s="39" t="str">
        <f>_xlfn.XLOOKUP(C248,supported[Source.Name],supported[Version|Type|Nodes],"")</f>
        <v/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30" r:id="rId4" name="TextBox8">
          <controlPr defaultSize="0" autoLine="0" autoPict="0" linkedCell="A5" r:id="rId5">
            <anchor moveWithCells="1">
              <from>
                <xdr:col>2</xdr:col>
                <xdr:colOff>38100</xdr:colOff>
                <xdr:row>4</xdr:row>
                <xdr:rowOff>95250</xdr:rowOff>
              </from>
              <to>
                <xdr:col>3</xdr:col>
                <xdr:colOff>0</xdr:colOff>
                <xdr:row>13</xdr:row>
                <xdr:rowOff>47625</xdr:rowOff>
              </to>
            </anchor>
          </controlPr>
        </control>
      </mc:Choice>
      <mc:Fallback>
        <control shapeId="9230" r:id="rId4" name="TextBox8"/>
      </mc:Fallback>
    </mc:AlternateContent>
    <mc:AlternateContent xmlns:mc="http://schemas.openxmlformats.org/markup-compatibility/2006">
      <mc:Choice Requires="x14">
        <control shapeId="9226" r:id="rId6" name="TextBox7">
          <controlPr defaultSize="0" autoLine="0" autoPict="0" altText="Keyword search" linkedCell="A4" r:id="rId7">
            <anchor moveWithCells="1">
              <from>
                <xdr:col>2</xdr:col>
                <xdr:colOff>2257425</xdr:colOff>
                <xdr:row>0</xdr:row>
                <xdr:rowOff>161925</xdr:rowOff>
              </from>
              <to>
                <xdr:col>3</xdr:col>
                <xdr:colOff>38100</xdr:colOff>
                <xdr:row>2</xdr:row>
                <xdr:rowOff>76200</xdr:rowOff>
              </to>
            </anchor>
          </controlPr>
        </control>
      </mc:Choice>
      <mc:Fallback>
        <control shapeId="9226" r:id="rId6" name="TextBox7"/>
      </mc:Fallback>
    </mc:AlternateContent>
    <mc:AlternateContent xmlns:mc="http://schemas.openxmlformats.org/markup-compatibility/2006">
      <mc:Choice Requires="x14">
        <control shapeId="9225" r:id="rId8" name="TextBox6">
          <controlPr defaultSize="0" autoLine="0" linkedCell="K47" r:id="rId9">
            <anchor moveWithCells="1">
              <from>
                <xdr:col>10</xdr:col>
                <xdr:colOff>19050</xdr:colOff>
                <xdr:row>44</xdr:row>
                <xdr:rowOff>142875</xdr:rowOff>
              </from>
              <to>
                <xdr:col>12</xdr:col>
                <xdr:colOff>28575</xdr:colOff>
                <xdr:row>55</xdr:row>
                <xdr:rowOff>161925</xdr:rowOff>
              </to>
            </anchor>
          </controlPr>
        </control>
      </mc:Choice>
      <mc:Fallback>
        <control shapeId="9225" r:id="rId8" name="TextBox6"/>
      </mc:Fallback>
    </mc:AlternateContent>
    <mc:AlternateContent xmlns:mc="http://schemas.openxmlformats.org/markup-compatibility/2006">
      <mc:Choice Requires="x14">
        <control shapeId="9224" r:id="rId10" name="TextBox5">
          <controlPr defaultSize="0" autoLine="0" linkedCell="H47" r:id="rId11">
            <anchor moveWithCells="1">
              <from>
                <xdr:col>7</xdr:col>
                <xdr:colOff>0</xdr:colOff>
                <xdr:row>44</xdr:row>
                <xdr:rowOff>142875</xdr:rowOff>
              </from>
              <to>
                <xdr:col>9</xdr:col>
                <xdr:colOff>19050</xdr:colOff>
                <xdr:row>55</xdr:row>
                <xdr:rowOff>161925</xdr:rowOff>
              </to>
            </anchor>
          </controlPr>
        </control>
      </mc:Choice>
      <mc:Fallback>
        <control shapeId="9224" r:id="rId10" name="TextBox5"/>
      </mc:Fallback>
    </mc:AlternateContent>
    <mc:AlternateContent xmlns:mc="http://schemas.openxmlformats.org/markup-compatibility/2006">
      <mc:Choice Requires="x14">
        <control shapeId="9223" r:id="rId12" name="TextBox4">
          <controlPr defaultSize="0" autoLine="0" linkedCell="K60" r:id="rId13">
            <anchor moveWithCells="1">
              <from>
                <xdr:col>10</xdr:col>
                <xdr:colOff>19050</xdr:colOff>
                <xdr:row>56</xdr:row>
                <xdr:rowOff>114300</xdr:rowOff>
              </from>
              <to>
                <xdr:col>12</xdr:col>
                <xdr:colOff>19050</xdr:colOff>
                <xdr:row>67</xdr:row>
                <xdr:rowOff>133350</xdr:rowOff>
              </to>
            </anchor>
          </controlPr>
        </control>
      </mc:Choice>
      <mc:Fallback>
        <control shapeId="9223" r:id="rId12" name="TextBox4"/>
      </mc:Fallback>
    </mc:AlternateContent>
    <mc:AlternateContent xmlns:mc="http://schemas.openxmlformats.org/markup-compatibility/2006">
      <mc:Choice Requires="x14">
        <control shapeId="9222" r:id="rId14" name="TextBox3">
          <controlPr defaultSize="0" autoLine="0" linkedCell="H60" r:id="rId15">
            <anchor moveWithCells="1">
              <from>
                <xdr:col>7</xdr:col>
                <xdr:colOff>0</xdr:colOff>
                <xdr:row>56</xdr:row>
                <xdr:rowOff>114300</xdr:rowOff>
              </from>
              <to>
                <xdr:col>9</xdr:col>
                <xdr:colOff>19050</xdr:colOff>
                <xdr:row>67</xdr:row>
                <xdr:rowOff>133350</xdr:rowOff>
              </to>
            </anchor>
          </controlPr>
        </control>
      </mc:Choice>
      <mc:Fallback>
        <control shapeId="9222" r:id="rId14" name="TextBox3"/>
      </mc:Fallback>
    </mc:AlternateContent>
    <mc:AlternateContent xmlns:mc="http://schemas.openxmlformats.org/markup-compatibility/2006">
      <mc:Choice Requires="x14">
        <control shapeId="9221" r:id="rId16" name="TextBox2">
          <controlPr defaultSize="0" autoLine="0" linkedCell="E60" r:id="rId17">
            <anchor moveWithCells="1">
              <from>
                <xdr:col>4</xdr:col>
                <xdr:colOff>19050</xdr:colOff>
                <xdr:row>56</xdr:row>
                <xdr:rowOff>114300</xdr:rowOff>
              </from>
              <to>
                <xdr:col>6</xdr:col>
                <xdr:colOff>19050</xdr:colOff>
                <xdr:row>67</xdr:row>
                <xdr:rowOff>133350</xdr:rowOff>
              </to>
            </anchor>
          </controlPr>
        </control>
      </mc:Choice>
      <mc:Fallback>
        <control shapeId="9221" r:id="rId16" name="TextBox2"/>
      </mc:Fallback>
    </mc:AlternateContent>
    <mc:AlternateContent xmlns:mc="http://schemas.openxmlformats.org/markup-compatibility/2006">
      <mc:Choice Requires="x14">
        <control shapeId="9220" r:id="rId18" name="TextBox1">
          <controlPr defaultSize="0" autoLine="0" linkedCell="E47" r:id="rId19">
            <anchor moveWithCells="1">
              <from>
                <xdr:col>4</xdr:col>
                <xdr:colOff>0</xdr:colOff>
                <xdr:row>44</xdr:row>
                <xdr:rowOff>142875</xdr:rowOff>
              </from>
              <to>
                <xdr:col>6</xdr:col>
                <xdr:colOff>19050</xdr:colOff>
                <xdr:row>55</xdr:row>
                <xdr:rowOff>142875</xdr:rowOff>
              </to>
            </anchor>
          </controlPr>
        </control>
      </mc:Choice>
      <mc:Fallback>
        <control shapeId="9220" r:id="rId18" name="TextBox1"/>
      </mc:Fallback>
    </mc:AlternateContent>
    <mc:AlternateContent xmlns:mc="http://schemas.openxmlformats.org/markup-compatibility/2006">
      <mc:Choice Requires="x14">
        <control shapeId="9217" r:id="rId20" name="ComboBox1">
          <controlPr defaultSize="0" autoLine="0" autoPict="0" linkedCell="E1" listFillRange="C5:C2225" r:id="rId21">
            <anchor moveWithCells="1">
              <from>
                <xdr:col>4</xdr:col>
                <xdr:colOff>0</xdr:colOff>
                <xdr:row>0</xdr:row>
                <xdr:rowOff>152400</xdr:rowOff>
              </from>
              <to>
                <xdr:col>5</xdr:col>
                <xdr:colOff>1866900</xdr:colOff>
                <xdr:row>2</xdr:row>
                <xdr:rowOff>66675</xdr:rowOff>
              </to>
            </anchor>
          </controlPr>
        </control>
      </mc:Choice>
      <mc:Fallback>
        <control shapeId="9217" r:id="rId20" name="ComboBox1"/>
      </mc:Fallback>
    </mc:AlternateContent>
    <mc:AlternateContent xmlns:mc="http://schemas.openxmlformats.org/markup-compatibility/2006">
      <mc:Choice Requires="x14">
        <control shapeId="9218" r:id="rId22" name="ComboBox2">
          <controlPr defaultSize="0" autoLine="0" autoPict="0" linkedCell="I1" listFillRange="C5:C2225" r:id="rId23">
            <anchor moveWithCells="1">
              <from>
                <xdr:col>7</xdr:col>
                <xdr:colOff>0</xdr:colOff>
                <xdr:row>0</xdr:row>
                <xdr:rowOff>152400</xdr:rowOff>
              </from>
              <to>
                <xdr:col>8</xdr:col>
                <xdr:colOff>1876425</xdr:colOff>
                <xdr:row>2</xdr:row>
                <xdr:rowOff>57150</xdr:rowOff>
              </to>
            </anchor>
          </controlPr>
        </control>
      </mc:Choice>
      <mc:Fallback>
        <control shapeId="9218" r:id="rId22" name="ComboBox2"/>
      </mc:Fallback>
    </mc:AlternateContent>
    <mc:AlternateContent xmlns:mc="http://schemas.openxmlformats.org/markup-compatibility/2006">
      <mc:Choice Requires="x14">
        <control shapeId="9219" r:id="rId24" name="ComboBox3">
          <controlPr defaultSize="0" autoLine="0" autoPict="0" linkedCell="L1" listFillRange="C5:C2225" r:id="rId25">
            <anchor moveWithCells="1">
              <from>
                <xdr:col>10</xdr:col>
                <xdr:colOff>0</xdr:colOff>
                <xdr:row>0</xdr:row>
                <xdr:rowOff>152400</xdr:rowOff>
              </from>
              <to>
                <xdr:col>11</xdr:col>
                <xdr:colOff>1876425</xdr:colOff>
                <xdr:row>2</xdr:row>
                <xdr:rowOff>76200</xdr:rowOff>
              </to>
            </anchor>
          </controlPr>
        </control>
      </mc:Choice>
      <mc:Fallback>
        <control shapeId="9219" r:id="rId24" name="ComboBox3"/>
      </mc:Fallback>
    </mc:AlternateContent>
    <mc:AlternateContent xmlns:mc="http://schemas.openxmlformats.org/markup-compatibility/2006">
      <mc:Choice Requires="x14">
        <control shapeId="9229" r:id="rId26" name="ComboBox4">
          <controlPr defaultSize="0" autoLine="0" linkedCell="A2" listFillRange="keywords!B2:B59" r:id="rId27">
            <anchor moveWithCells="1">
              <from>
                <xdr:col>2</xdr:col>
                <xdr:colOff>0</xdr:colOff>
                <xdr:row>0</xdr:row>
                <xdr:rowOff>171450</xdr:rowOff>
              </from>
              <to>
                <xdr:col>2</xdr:col>
                <xdr:colOff>2190750</xdr:colOff>
                <xdr:row>2</xdr:row>
                <xdr:rowOff>57150</xdr:rowOff>
              </to>
            </anchor>
          </controlPr>
        </control>
      </mc:Choice>
      <mc:Fallback>
        <control shapeId="9229" r:id="rId26" name="ComboBox4"/>
      </mc:Fallback>
    </mc:AlternateContent>
  </controls>
  <tableParts count="3">
    <tablePart r:id="rId28"/>
    <tablePart r:id="rId29"/>
    <tablePart r:id="rId3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C6D-7CE1-4F15-8014-83689804469E}">
  <sheetPr codeName="Sheet10"/>
  <dimension ref="A1:E59"/>
  <sheetViews>
    <sheetView workbookViewId="0">
      <selection activeCell="C32" sqref="C32"/>
    </sheetView>
  </sheetViews>
  <sheetFormatPr defaultRowHeight="15" x14ac:dyDescent="0.25"/>
  <cols>
    <col min="1" max="1" width="23.85546875" bestFit="1" customWidth="1"/>
    <col min="2" max="2" width="29.42578125" bestFit="1" customWidth="1"/>
    <col min="3" max="3" width="27.85546875" bestFit="1" customWidth="1"/>
    <col min="4" max="4" width="10.7109375" customWidth="1"/>
    <col min="5" max="5" width="24.42578125" bestFit="1" customWidth="1"/>
  </cols>
  <sheetData>
    <row r="1" spans="1:5" x14ac:dyDescent="0.25">
      <c r="A1" t="s">
        <v>473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5">
      <c r="A2" t="str">
        <f>"-----"</f>
        <v>-----</v>
      </c>
      <c r="B2" t="s">
        <v>429</v>
      </c>
      <c r="C2" t="s">
        <v>496</v>
      </c>
      <c r="E2" t="str">
        <f>IF(LEFT(KeywordList[[#This Row],[Keyword]],1)="-","",KeywordList[[#This Row],[Keyword]]&amp;":")</f>
        <v/>
      </c>
    </row>
    <row r="3" spans="1:5" x14ac:dyDescent="0.25">
      <c r="A3" t="str">
        <f>"-----CLUSTER INFO-----"</f>
        <v>-----CLUSTER INFO-----</v>
      </c>
      <c r="B3" t="str">
        <f>"-----CLUSTER INFO-----"</f>
        <v>-----CLUSTER INFO-----</v>
      </c>
      <c r="E3" t="str">
        <f>IF(LEFT(KeywordList[[#This Row],[Keyword]],1)="-","",KeywordList[[#This Row],[Keyword]]&amp;":")</f>
        <v/>
      </c>
    </row>
    <row r="4" spans="1:5" x14ac:dyDescent="0.25">
      <c r="A4" t="s">
        <v>17</v>
      </c>
      <c r="B4" t="s">
        <v>430</v>
      </c>
      <c r="C4" t="s">
        <v>3</v>
      </c>
      <c r="E4" t="str">
        <f>IF(LEFT(KeywordList[[#This Row],[Keyword]],1)="-","",KeywordList[[#This Row],[Keyword]]&amp;":")</f>
        <v>Version:</v>
      </c>
    </row>
    <row r="5" spans="1:5" x14ac:dyDescent="0.25">
      <c r="A5" t="s">
        <v>231</v>
      </c>
      <c r="B5" t="s">
        <v>431</v>
      </c>
      <c r="C5" t="s">
        <v>497</v>
      </c>
      <c r="E5" t="str">
        <f>IF(LEFT(KeywordList[[#This Row],[Keyword]],1)="-","",KeywordList[[#This Row],[Keyword]]&amp;":")</f>
        <v>Type:</v>
      </c>
    </row>
    <row r="6" spans="1:5" x14ac:dyDescent="0.25">
      <c r="A6" t="s">
        <v>368</v>
      </c>
      <c r="B6" t="s">
        <v>432</v>
      </c>
      <c r="C6" t="s">
        <v>498</v>
      </c>
      <c r="E6" t="str">
        <f>IF(LEFT(KeywordList[[#This Row],[Keyword]],1)="-","",KeywordList[[#This Row],[Keyword]]&amp;":")</f>
        <v>top level domain:</v>
      </c>
    </row>
    <row r="7" spans="1:5" x14ac:dyDescent="0.25">
      <c r="A7" t="str">
        <f>("cluster_name")</f>
        <v>cluster_name</v>
      </c>
      <c r="B7" t="s">
        <v>433</v>
      </c>
      <c r="C7" t="s">
        <v>499</v>
      </c>
      <c r="E7" t="str">
        <f>IF(LEFT(KeywordList[[#This Row],[Keyword]],1)="-","",KeywordList[[#This Row],[Keyword]]&amp;":")</f>
        <v>cluster_name:</v>
      </c>
    </row>
    <row r="8" spans="1:5" x14ac:dyDescent="0.25">
      <c r="A8" t="s">
        <v>479</v>
      </c>
      <c r="B8" t="s">
        <v>480</v>
      </c>
      <c r="C8" t="s">
        <v>482</v>
      </c>
      <c r="E8" t="str">
        <f>IF(LEFT(KeywordList[[#This Row],[Keyword]],1)="-","",KeywordList[[#This Row],[Keyword]]&amp;":")</f>
        <v>created:</v>
      </c>
    </row>
    <row r="9" spans="1:5" x14ac:dyDescent="0.25">
      <c r="A9" t="s">
        <v>483</v>
      </c>
      <c r="B9" t="s">
        <v>481</v>
      </c>
      <c r="C9" t="s">
        <v>482</v>
      </c>
      <c r="E9" t="str">
        <f>IF(LEFT(KeywordList[[#This Row],[Keyword]],1)="-","",KeywordList[[#This Row],[Keyword]]&amp;":")</f>
        <v>modified:</v>
      </c>
    </row>
    <row r="10" spans="1:5" x14ac:dyDescent="0.25">
      <c r="A10" t="str">
        <f>"-----HOST INFO-----"</f>
        <v>-----HOST INFO-----</v>
      </c>
      <c r="B10" t="str">
        <f>"-----HOST INFO-----"</f>
        <v>-----HOST INFO-----</v>
      </c>
      <c r="E10" t="str">
        <f>IF(LEFT(KeywordList[[#This Row],[Keyword]],1)="-","",KeywordList[[#This Row],[Keyword]]&amp;":")</f>
        <v/>
      </c>
    </row>
    <row r="11" spans="1:5" x14ac:dyDescent="0.25">
      <c r="A11" t="s">
        <v>272</v>
      </c>
      <c r="B11" t="s">
        <v>117</v>
      </c>
      <c r="E11" t="str">
        <f>IF(LEFT(KeywordList[[#This Row],[Keyword]],1)="-","",KeywordList[[#This Row],[Keyword]]&amp;":")</f>
        <v>host:</v>
      </c>
    </row>
    <row r="12" spans="1:5" x14ac:dyDescent="0.25">
      <c r="A12" t="s">
        <v>420</v>
      </c>
      <c r="B12" t="s">
        <v>460</v>
      </c>
      <c r="C12" t="s">
        <v>500</v>
      </c>
      <c r="E12" t="str">
        <f>IF(LEFT(KeywordList[[#This Row],[Keyword]],1)="-","",KeywordList[[#This Row],[Keyword]]&amp;":")</f>
        <v>rack:</v>
      </c>
    </row>
    <row r="13" spans="1:5" x14ac:dyDescent="0.25">
      <c r="A13" t="s">
        <v>119</v>
      </c>
      <c r="B13" t="s">
        <v>461</v>
      </c>
      <c r="C13" s="34">
        <v>2</v>
      </c>
      <c r="E13" t="str">
        <f>IF(LEFT(KeywordList[[#This Row],[Keyword]],1)="-","",KeywordList[[#This Row],[Keyword]]&amp;":")</f>
        <v>position:</v>
      </c>
    </row>
    <row r="14" spans="1:5" x14ac:dyDescent="0.25">
      <c r="A14" t="s">
        <v>421</v>
      </c>
      <c r="B14" t="s">
        <v>462</v>
      </c>
      <c r="C14" t="s">
        <v>501</v>
      </c>
      <c r="E14" t="str">
        <f>IF(LEFT(KeywordList[[#This Row],[Keyword]],1)="-","",KeywordList[[#This Row],[Keyword]]&amp;":")</f>
        <v>psnt:</v>
      </c>
    </row>
    <row r="15" spans="1:5" x14ac:dyDescent="0.25">
      <c r="A15" t="s">
        <v>484</v>
      </c>
      <c r="B15" t="s">
        <v>487</v>
      </c>
      <c r="C15" t="s">
        <v>502</v>
      </c>
      <c r="E15" t="str">
        <f>IF(LEFT(KeywordList[[#This Row],[Keyword]],1)="-","",KeywordList[[#This Row],[Keyword]]&amp;":")</f>
        <v>mgmt ip:</v>
      </c>
    </row>
    <row r="16" spans="1:5" x14ac:dyDescent="0.25">
      <c r="A16" t="s">
        <v>485</v>
      </c>
      <c r="B16" t="s">
        <v>488</v>
      </c>
      <c r="C16" t="s">
        <v>503</v>
      </c>
      <c r="E16" t="str">
        <f>IF(LEFT(KeywordList[[#This Row],[Keyword]],1)="-","",KeywordList[[#This Row],[Keyword]]&amp;":")</f>
        <v>vsan ip::</v>
      </c>
    </row>
    <row r="17" spans="1:5" x14ac:dyDescent="0.25">
      <c r="A17" t="s">
        <v>486</v>
      </c>
      <c r="B17" t="s">
        <v>489</v>
      </c>
      <c r="C17" t="s">
        <v>504</v>
      </c>
      <c r="E17" t="str">
        <f>IF(LEFT(KeywordList[[#This Row],[Keyword]],1)="-","",KeywordList[[#This Row],[Keyword]]&amp;":")</f>
        <v>vmotion ip:</v>
      </c>
    </row>
    <row r="18" spans="1:5" x14ac:dyDescent="0.25">
      <c r="A18" t="s">
        <v>490</v>
      </c>
      <c r="B18" t="s">
        <v>491</v>
      </c>
      <c r="C18" t="s">
        <v>505</v>
      </c>
      <c r="E18" t="str">
        <f>IF(LEFT(KeywordList[[#This Row],[Keyword]],1)="-","",KeywordList[[#This Row],[Keyword]]&amp;":")</f>
        <v>witness ip:</v>
      </c>
    </row>
    <row r="19" spans="1:5" x14ac:dyDescent="0.25">
      <c r="A19" t="str">
        <f>"-----EXTERNAL SERVICES-----"</f>
        <v>-----EXTERNAL SERVICES-----</v>
      </c>
      <c r="B19" t="str">
        <f>"-----EXTERNAL SERVICES-----"</f>
        <v>-----EXTERNAL SERVICES-----</v>
      </c>
      <c r="E19" t="str">
        <f>IF(LEFT(KeywordList[[#This Row],[Keyword]],1)="-","",KeywordList[[#This Row],[Keyword]]&amp;":")</f>
        <v/>
      </c>
    </row>
    <row r="20" spans="1:5" x14ac:dyDescent="0.25">
      <c r="A20" t="str">
        <f>"DNS Servers"</f>
        <v>DNS Servers</v>
      </c>
      <c r="B20" t="s">
        <v>435</v>
      </c>
      <c r="C20" t="s">
        <v>506</v>
      </c>
      <c r="E20" t="str">
        <f>IF(LEFT(KeywordList[[#This Row],[Keyword]],1)="-","",KeywordList[[#This Row],[Keyword]]&amp;":")</f>
        <v>DNS Servers:</v>
      </c>
    </row>
    <row r="21" spans="1:5" x14ac:dyDescent="0.25">
      <c r="A21" t="s">
        <v>418</v>
      </c>
      <c r="B21" t="s">
        <v>458</v>
      </c>
      <c r="C21" t="s">
        <v>478</v>
      </c>
      <c r="E21" t="str">
        <f>IF(LEFT(KeywordList[[#This Row],[Keyword]],1)="-","",KeywordList[[#This Row],[Keyword]]&amp;":")</f>
        <v>internal_dns:</v>
      </c>
    </row>
    <row r="22" spans="1:5" x14ac:dyDescent="0.25">
      <c r="A22" t="str">
        <f>"NTP Servers"</f>
        <v>NTP Servers</v>
      </c>
      <c r="B22" t="s">
        <v>434</v>
      </c>
      <c r="C22" t="s">
        <v>507</v>
      </c>
      <c r="E22" t="str">
        <f>IF(LEFT(KeywordList[[#This Row],[Keyword]],1)="-","",KeywordList[[#This Row],[Keyword]]&amp;":")</f>
        <v>NTP Servers:</v>
      </c>
    </row>
    <row r="23" spans="1:5" x14ac:dyDescent="0.25">
      <c r="A23" t="str">
        <f>"Syslog servers"</f>
        <v>Syslog servers</v>
      </c>
      <c r="B23" t="s">
        <v>436</v>
      </c>
      <c r="C23" t="s">
        <v>508</v>
      </c>
      <c r="E23" t="str">
        <f>IF(LEFT(KeywordList[[#This Row],[Keyword]],1)="-","",KeywordList[[#This Row],[Keyword]]&amp;":")</f>
        <v>Syslog servers:</v>
      </c>
    </row>
    <row r="24" spans="1:5" x14ac:dyDescent="0.25">
      <c r="A24" t="s">
        <v>220</v>
      </c>
      <c r="B24" t="s">
        <v>439</v>
      </c>
      <c r="C24" t="s">
        <v>478</v>
      </c>
      <c r="E24" t="str">
        <f>IF(LEFT(KeywordList[[#This Row],[Keyword]],1)="-","",KeywordList[[#This Row],[Keyword]]&amp;":")</f>
        <v>customer_supplied_vc:</v>
      </c>
    </row>
    <row r="25" spans="1:5" x14ac:dyDescent="0.25">
      <c r="A25" t="s">
        <v>71</v>
      </c>
      <c r="B25" t="s">
        <v>459</v>
      </c>
      <c r="C25" t="s">
        <v>509</v>
      </c>
      <c r="E25" t="str">
        <f>IF(LEFT(KeywordList[[#This Row],[Keyword]],1)="-","",KeywordList[[#This Row],[Keyword]]&amp;":")</f>
        <v>vxrail_supplied_vc_name:</v>
      </c>
    </row>
    <row r="26" spans="1:5" x14ac:dyDescent="0.25">
      <c r="A26" t="s">
        <v>232</v>
      </c>
      <c r="B26" t="s">
        <v>440</v>
      </c>
      <c r="C26" t="s">
        <v>510</v>
      </c>
      <c r="E26" t="str">
        <f>IF(LEFT(KeywordList[[#This Row],[Keyword]],1)="-","",KeywordList[[#This Row],[Keyword]]&amp;":")</f>
        <v>vcname:</v>
      </c>
    </row>
    <row r="27" spans="1:5" x14ac:dyDescent="0.25">
      <c r="A27" t="s">
        <v>183</v>
      </c>
      <c r="B27" t="s">
        <v>442</v>
      </c>
      <c r="E27" t="str">
        <f>IF(LEFT(KeywordList[[#This Row],[Keyword]],1)="-","",KeywordList[[#This Row],[Keyword]]&amp;":")</f>
        <v>vxrm hostname:</v>
      </c>
    </row>
    <row r="28" spans="1:5" x14ac:dyDescent="0.25">
      <c r="A28" t="s">
        <v>184</v>
      </c>
      <c r="B28" t="s">
        <v>443</v>
      </c>
      <c r="E28" t="str">
        <f>IF(LEFT(KeywordList[[#This Row],[Keyword]],1)="-","",KeywordList[[#This Row],[Keyword]]&amp;":")</f>
        <v>vxrm ip:</v>
      </c>
    </row>
    <row r="29" spans="1:5" x14ac:dyDescent="0.25">
      <c r="A29" t="s">
        <v>400</v>
      </c>
      <c r="B29" t="s">
        <v>441</v>
      </c>
      <c r="C29" t="s">
        <v>478</v>
      </c>
      <c r="E29" t="str">
        <f>IF(LEFT(KeywordList[[#This Row],[Keyword]],1)="-","",KeywordList[[#This Row],[Keyword]]&amp;":")</f>
        <v>sfs declared:</v>
      </c>
    </row>
    <row r="30" spans="1:5" x14ac:dyDescent="0.25">
      <c r="A30" t="str">
        <f>"-----CLUSTER DETAILS-----"</f>
        <v>-----CLUSTER DETAILS-----</v>
      </c>
      <c r="B30" t="str">
        <f>"-----CLUSTER DETAILS-----"</f>
        <v>-----CLUSTER DETAILS-----</v>
      </c>
      <c r="E30" t="str">
        <f>IF(LEFT(KeywordList[[#This Row],[Keyword]],1)="-","",KeywordList[[#This Row],[Keyword]]&amp;":")</f>
        <v/>
      </c>
    </row>
    <row r="31" spans="1:5" x14ac:dyDescent="0.25">
      <c r="A31" s="33" t="s">
        <v>256</v>
      </c>
      <c r="B31" t="s">
        <v>437</v>
      </c>
      <c r="C31" t="s">
        <v>529</v>
      </c>
      <c r="E31" t="str">
        <f>IF(LEFT(KeywordList[[#This Row],[Keyword]],1)="-","",KeywordList[[#This Row],[Keyword]]&amp;":")</f>
        <v>Datacenter name :</v>
      </c>
    </row>
    <row r="32" spans="1:5" x14ac:dyDescent="0.25">
      <c r="A32" t="str">
        <f>("DiskGroupType")</f>
        <v>DiskGroupType</v>
      </c>
      <c r="B32" t="s">
        <v>438</v>
      </c>
      <c r="C32" s="34">
        <v>2403</v>
      </c>
      <c r="E32" t="str">
        <f>IF(LEFT(KeywordList[[#This Row],[Keyword]],1)="-","",KeywordList[[#This Row],[Keyword]]&amp;":")</f>
        <v>DiskGroupType:</v>
      </c>
    </row>
    <row r="33" spans="1:5" x14ac:dyDescent="0.25">
      <c r="A33" t="str">
        <f>"-----ACCOUNT NAMES-----"</f>
        <v>-----ACCOUNT NAMES-----</v>
      </c>
      <c r="B33" t="str">
        <f>"-----ACCOUNT NAMES-----"</f>
        <v>-----ACCOUNT NAMES-----</v>
      </c>
      <c r="E33" t="str">
        <f>IF(LEFT(KeywordList[[#This Row],[Keyword]],1)="-","",KeywordList[[#This Row],[Keyword]]&amp;":")</f>
        <v/>
      </c>
    </row>
    <row r="34" spans="1:5" x14ac:dyDescent="0.25">
      <c r="A34" t="s">
        <v>86</v>
      </c>
      <c r="B34" t="s">
        <v>444</v>
      </c>
      <c r="C34" t="s">
        <v>511</v>
      </c>
      <c r="E34" t="str">
        <f>IF(LEFT(KeywordList[[#This Row],[Keyword]],1)="-","",KeywordList[[#This Row],[Keyword]]&amp;":")</f>
        <v>root:</v>
      </c>
    </row>
    <row r="35" spans="1:5" x14ac:dyDescent="0.25">
      <c r="A35" t="s">
        <v>366</v>
      </c>
      <c r="B35" t="s">
        <v>445</v>
      </c>
      <c r="C35" t="s">
        <v>512</v>
      </c>
      <c r="E35" t="str">
        <f>IF(LEFT(KeywordList[[#This Row],[Keyword]],1)="-","",KeywordList[[#This Row],[Keyword]]&amp;":")</f>
        <v>service:</v>
      </c>
    </row>
    <row r="36" spans="1:5" x14ac:dyDescent="0.25">
      <c r="A36" t="s">
        <v>238</v>
      </c>
      <c r="B36" t="s">
        <v>446</v>
      </c>
      <c r="C36" t="s">
        <v>513</v>
      </c>
      <c r="E36" t="str">
        <f>IF(LEFT(KeywordList[[#This Row],[Keyword]],1)="-","",KeywordList[[#This Row],[Keyword]]&amp;":")</f>
        <v>admin:</v>
      </c>
    </row>
    <row r="37" spans="1:5" x14ac:dyDescent="0.25">
      <c r="A37" t="s">
        <v>367</v>
      </c>
      <c r="B37" t="s">
        <v>447</v>
      </c>
      <c r="C37" t="s">
        <v>514</v>
      </c>
      <c r="E37" t="str">
        <f>IF(LEFT(KeywordList[[#This Row],[Keyword]],1)="-","",KeywordList[[#This Row],[Keyword]]&amp;":")</f>
        <v>mgmt:</v>
      </c>
    </row>
    <row r="38" spans="1:5" x14ac:dyDescent="0.25">
      <c r="A38" t="str">
        <f>("witness.username")</f>
        <v>witness.username</v>
      </c>
      <c r="B38" t="s">
        <v>455</v>
      </c>
      <c r="C38" t="s">
        <v>515</v>
      </c>
      <c r="E38" t="str">
        <f>IF(LEFT(KeywordList[[#This Row],[Keyword]],1)="-","",KeywordList[[#This Row],[Keyword]]&amp;":")</f>
        <v>witness.username:</v>
      </c>
    </row>
    <row r="39" spans="1:5" x14ac:dyDescent="0.25">
      <c r="A39" t="str">
        <f>"-----CLUSTER IP ADDRESSES-----"</f>
        <v>-----CLUSTER IP ADDRESSES-----</v>
      </c>
      <c r="B39" t="str">
        <f>"-----CLUSTER IP ADDRESSES-----"</f>
        <v>-----CLUSTER IP ADDRESSES-----</v>
      </c>
      <c r="E39" t="str">
        <f>IF(LEFT(KeywordList[[#This Row],[Keyword]],1)="-","",KeywordList[[#This Row],[Keyword]]&amp;":")</f>
        <v/>
      </c>
    </row>
    <row r="40" spans="1:5" x14ac:dyDescent="0.25">
      <c r="A40" t="s">
        <v>226</v>
      </c>
      <c r="B40" t="s">
        <v>448</v>
      </c>
      <c r="C40" t="s">
        <v>516</v>
      </c>
      <c r="E40" t="str">
        <f>IF(LEFT(KeywordList[[#This Row],[Keyword]],1)="-","",KeywordList[[#This Row],[Keyword]]&amp;":")</f>
        <v>cluster mgmt gw:</v>
      </c>
    </row>
    <row r="41" spans="1:5" x14ac:dyDescent="0.25">
      <c r="A41" t="str">
        <f>("witness.gateway")</f>
        <v>witness.gateway</v>
      </c>
      <c r="B41" t="s">
        <v>452</v>
      </c>
      <c r="C41" t="s">
        <v>517</v>
      </c>
      <c r="E41" t="str">
        <f>IF(LEFT(KeywordList[[#This Row],[Keyword]],1)="-","",KeywordList[[#This Row],[Keyword]]&amp;":")</f>
        <v>witness.gateway:</v>
      </c>
    </row>
    <row r="42" spans="1:5" x14ac:dyDescent="0.25">
      <c r="A42" t="str">
        <f>("witness.management_ip")</f>
        <v>witness.management_ip</v>
      </c>
      <c r="B42" t="s">
        <v>453</v>
      </c>
      <c r="C42" t="s">
        <v>502</v>
      </c>
      <c r="E42" t="str">
        <f>IF(LEFT(KeywordList[[#This Row],[Keyword]],1)="-","",KeywordList[[#This Row],[Keyword]]&amp;":")</f>
        <v>witness.management_ip:</v>
      </c>
    </row>
    <row r="43" spans="1:5" x14ac:dyDescent="0.25">
      <c r="A43" t="str">
        <f>("witness.netmask")</f>
        <v>witness.netmask</v>
      </c>
      <c r="B43" t="s">
        <v>454</v>
      </c>
      <c r="C43" t="s">
        <v>518</v>
      </c>
      <c r="E43" t="str">
        <f>IF(LEFT(KeywordList[[#This Row],[Keyword]],1)="-","",KeywordList[[#This Row],[Keyword]]&amp;":")</f>
        <v>witness.netmask:</v>
      </c>
    </row>
    <row r="44" spans="1:5" x14ac:dyDescent="0.25">
      <c r="A44" t="s">
        <v>70</v>
      </c>
      <c r="B44" t="s">
        <v>456</v>
      </c>
      <c r="C44" t="s">
        <v>519</v>
      </c>
      <c r="E44" t="str">
        <f>IF(LEFT(KeywordList[[#This Row],[Keyword]],1)="-","",KeywordList[[#This Row],[Keyword]]&amp;":")</f>
        <v>vxrail_supplied_vc_ip:</v>
      </c>
    </row>
    <row r="45" spans="1:5" x14ac:dyDescent="0.25">
      <c r="A45" t="s">
        <v>419</v>
      </c>
      <c r="B45" t="s">
        <v>457</v>
      </c>
      <c r="C45" t="s">
        <v>519</v>
      </c>
      <c r="E45" t="str">
        <f>IF(LEFT(KeywordList[[#This Row],[Keyword]],1)="-","",KeywordList[[#This Row],[Keyword]]&amp;":")</f>
        <v>cust_supplied_vc_ip:</v>
      </c>
    </row>
    <row r="46" spans="1:5" x14ac:dyDescent="0.25">
      <c r="A46" t="s">
        <v>227</v>
      </c>
      <c r="B46" t="s">
        <v>449</v>
      </c>
      <c r="C46" t="s">
        <v>518</v>
      </c>
      <c r="E46" t="str">
        <f>IF(LEFT(KeywordList[[#This Row],[Keyword]],1)="-","",KeywordList[[#This Row],[Keyword]]&amp;":")</f>
        <v>clus mgmt netmask:</v>
      </c>
    </row>
    <row r="47" spans="1:5" x14ac:dyDescent="0.25">
      <c r="A47" t="s">
        <v>228</v>
      </c>
      <c r="B47" t="s">
        <v>450</v>
      </c>
      <c r="C47" t="s">
        <v>518</v>
      </c>
      <c r="E47" t="str">
        <f>IF(LEFT(KeywordList[[#This Row],[Keyword]],1)="-","",KeywordList[[#This Row],[Keyword]]&amp;":")</f>
        <v>vsan netmask:</v>
      </c>
    </row>
    <row r="48" spans="1:5" x14ac:dyDescent="0.25">
      <c r="A48" t="s">
        <v>229</v>
      </c>
      <c r="B48" t="s">
        <v>451</v>
      </c>
      <c r="C48" t="s">
        <v>518</v>
      </c>
      <c r="E48" t="str">
        <f>IF(LEFT(KeywordList[[#This Row],[Keyword]],1)="-","",KeywordList[[#This Row],[Keyword]]&amp;":")</f>
        <v>vmotion netmask:</v>
      </c>
    </row>
    <row r="49" spans="1:5" x14ac:dyDescent="0.25">
      <c r="A49" t="str">
        <f>"-----VLANS-----"</f>
        <v>-----VLANS-----</v>
      </c>
      <c r="B49" t="str">
        <f>"-----VLANS-----"</f>
        <v>-----VLANS-----</v>
      </c>
      <c r="E49" t="str">
        <f>IF(LEFT(KeywordList[[#This Row],[Keyword]],1)="-","",KeywordList[[#This Row],[Keyword]]&amp;":")</f>
        <v/>
      </c>
    </row>
    <row r="50" spans="1:5" x14ac:dyDescent="0.25">
      <c r="A50" t="s">
        <v>20</v>
      </c>
      <c r="B50" t="s">
        <v>467</v>
      </c>
      <c r="C50" s="34" t="s">
        <v>520</v>
      </c>
      <c r="E50" t="str">
        <f>IF(LEFT(KeywordList[[#This Row],[Keyword]],1)="-","",KeywordList[[#This Row],[Keyword]]&amp;":")</f>
        <v>vlan_id:</v>
      </c>
    </row>
    <row r="51" spans="1:5" x14ac:dyDescent="0.25">
      <c r="A51" t="s">
        <v>424</v>
      </c>
      <c r="B51" t="s">
        <v>466</v>
      </c>
      <c r="C51" t="s">
        <v>521</v>
      </c>
      <c r="E51" t="str">
        <f>IF(LEFT(KeywordList[[#This Row],[Keyword]],1)="-","",KeywordList[[#This Row],[Keyword]]&amp;":")</f>
        <v>pgtype:</v>
      </c>
    </row>
    <row r="52" spans="1:5" x14ac:dyDescent="0.25">
      <c r="A52" t="s">
        <v>425</v>
      </c>
      <c r="B52" t="s">
        <v>468</v>
      </c>
      <c r="C52" t="s">
        <v>522</v>
      </c>
      <c r="E52" t="str">
        <f>IF(LEFT(KeywordList[[#This Row],[Keyword]],1)="-","",KeywordList[[#This Row],[Keyword]]&amp;":")</f>
        <v>pgname:</v>
      </c>
    </row>
    <row r="53" spans="1:5" x14ac:dyDescent="0.25">
      <c r="A53" t="s">
        <v>428</v>
      </c>
      <c r="B53" t="s">
        <v>471</v>
      </c>
      <c r="C53" t="s">
        <v>523</v>
      </c>
      <c r="E53" t="str">
        <f>IF(LEFT(KeywordList[[#This Row],[Keyword]],1)="-","",KeywordList[[#This Row],[Keyword]]&amp;":")</f>
        <v>pnic:</v>
      </c>
    </row>
    <row r="54" spans="1:5" x14ac:dyDescent="0.25">
      <c r="A54" t="s">
        <v>212</v>
      </c>
      <c r="B54" t="s">
        <v>472</v>
      </c>
      <c r="C54" t="s">
        <v>524</v>
      </c>
      <c r="E54" t="str">
        <f>IF(LEFT(KeywordList[[#This Row],[Keyword]],1)="-","",KeywordList[[#This Row],[Keyword]]&amp;":")</f>
        <v>vds.name:</v>
      </c>
    </row>
    <row r="55" spans="1:5" x14ac:dyDescent="0.25">
      <c r="A55" t="s">
        <v>426</v>
      </c>
      <c r="B55" t="s">
        <v>469</v>
      </c>
      <c r="C55" t="s">
        <v>525</v>
      </c>
      <c r="E55" t="str">
        <f>IF(LEFT(KeywordList[[#This Row],[Keyword]],1)="-","",KeywordList[[#This Row],[Keyword]]&amp;":")</f>
        <v>pg.failover.order:</v>
      </c>
    </row>
    <row r="56" spans="1:5" x14ac:dyDescent="0.25">
      <c r="A56" t="s">
        <v>427</v>
      </c>
      <c r="B56" t="s">
        <v>470</v>
      </c>
      <c r="C56" t="s">
        <v>526</v>
      </c>
      <c r="E56" t="str">
        <f>IF(LEFT(KeywordList[[#This Row],[Keyword]],1)="-","",KeywordList[[#This Row],[Keyword]]&amp;":")</f>
        <v>uplinkname:</v>
      </c>
    </row>
    <row r="57" spans="1:5" x14ac:dyDescent="0.25">
      <c r="A57" t="s">
        <v>18</v>
      </c>
      <c r="B57" t="s">
        <v>463</v>
      </c>
      <c r="C57" t="s">
        <v>527</v>
      </c>
      <c r="E57" t="str">
        <f>IF(LEFT(KeywordList[[#This Row],[Keyword]],1)="-","",KeywordList[[#This Row],[Keyword]]&amp;":")</f>
        <v>nic_profile:</v>
      </c>
    </row>
    <row r="58" spans="1:5" x14ac:dyDescent="0.25">
      <c r="A58" t="s">
        <v>422</v>
      </c>
      <c r="B58" t="s">
        <v>464</v>
      </c>
      <c r="C58" t="s">
        <v>528</v>
      </c>
      <c r="E58" t="str">
        <f>IF(LEFT(KeywordList[[#This Row],[Keyword]],1)="-","",KeywordList[[#This Row],[Keyword]]&amp;":")</f>
        <v>pgbindingtype:</v>
      </c>
    </row>
    <row r="59" spans="1:5" x14ac:dyDescent="0.25">
      <c r="A59" t="s">
        <v>423</v>
      </c>
      <c r="B59" t="s">
        <v>465</v>
      </c>
      <c r="C59" t="s">
        <v>528</v>
      </c>
      <c r="E59" t="str">
        <f>IF(LEFT(KeywordList[[#This Row],[Keyword]],1)="-","",KeywordList[[#This Row],[Keyword]]&amp;":")</f>
        <v>sysvmbindingtype: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1"/>
  <dimension ref="A1:A5"/>
  <sheetViews>
    <sheetView workbookViewId="0">
      <selection activeCell="A6" sqref="A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361</v>
      </c>
    </row>
    <row r="5" spans="1:1" x14ac:dyDescent="0.25">
      <c r="A5" t="s">
        <v>399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1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190</v>
      </c>
      <c r="B4" t="s">
        <v>191</v>
      </c>
      <c r="C4" t="s">
        <v>192</v>
      </c>
      <c r="D4" t="s">
        <v>196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networks</vt:lpstr>
      <vt:lpstr>global</vt:lpstr>
      <vt:lpstr>files</vt:lpstr>
      <vt:lpstr>hosts</vt:lpstr>
      <vt:lpstr>network_vds</vt:lpstr>
      <vt:lpstr>dashboard</vt:lpstr>
      <vt:lpstr>quickview</vt:lpstr>
      <vt:lpstr>search</vt:lpstr>
      <vt:lpstr>fileoverview</vt:lpstr>
      <vt:lpstr>diff</vt:lpstr>
      <vt:lpstr>keywords</vt:lpstr>
      <vt:lpstr>Notes</vt:lpstr>
      <vt:lpstr>template</vt:lpstr>
      <vt:lpstr>diff!File1</vt:lpstr>
      <vt:lpstr>File2</vt:lpstr>
      <vt:lpstr>File3</vt:lpstr>
      <vt:lpstr>searchterm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Paul Galjan</cp:lastModifiedBy>
  <dcterms:created xsi:type="dcterms:W3CDTF">2021-08-29T18:45:55Z</dcterms:created>
  <dcterms:modified xsi:type="dcterms:W3CDTF">2021-09-01T15:52:13Z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