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\Downloads\"/>
    </mc:Choice>
  </mc:AlternateContent>
  <xr:revisionPtr revIDLastSave="0" documentId="13_ncr:1_{495833FB-6EEF-4CBA-AD3E-E16577129DB5}" xr6:coauthVersionLast="47" xr6:coauthVersionMax="47" xr10:uidLastSave="{00000000-0000-0000-0000-000000000000}"/>
  <bookViews>
    <workbookView xWindow="-120" yWindow="-120" windowWidth="29040" windowHeight="15840" firstSheet="5" activeTab="8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keywords" sheetId="30" state="hidden" r:id="rId10"/>
    <sheet name="Notes" sheetId="17" r:id="rId11"/>
    <sheet name="template" sheetId="16" state="hidden" r:id="rId12"/>
  </sheets>
  <definedNames>
    <definedName name="ExternalData_1" localSheetId="5" hidden="1">dashboard!$R$4:$W$5</definedName>
    <definedName name="ExternalData_1" localSheetId="3" hidden="1">hosts!$A$1:$M$29</definedName>
    <definedName name="ExternalData_2" localSheetId="2" hidden="1">files!$A$1:$F$9</definedName>
    <definedName name="ExternalData_2" localSheetId="7" hidden="1">search!$A$1:$B$9</definedName>
    <definedName name="ExternalData_3" localSheetId="2" hidden="1">files!$J$1:$O$9</definedName>
    <definedName name="ExternalData_3" localSheetId="6" hidden="1">quickview!$A$1:$C$9</definedName>
    <definedName name="ExternalData_4" localSheetId="8" hidden="1">diff!$N$2:$O$4</definedName>
    <definedName name="ExternalData_5" localSheetId="4" hidden="1">network_vds!$A$1:$M$54</definedName>
    <definedName name="ExternalData_6" localSheetId="1" hidden="1">global!$A$1:$AJ$9</definedName>
    <definedName name="ExternalData_8" localSheetId="0" hidden="1">networks!$A$1:$F$9</definedName>
    <definedName name="File1" localSheetId="8">diff!$E$1</definedName>
    <definedName name="File1" localSheetId="9">keywords!#REF!</definedName>
    <definedName name="File2">diff!$I$1</definedName>
    <definedName name="File3">diff!$L$1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H2" i="4"/>
  <c r="H3" i="4"/>
  <c r="H4" i="4"/>
  <c r="H5" i="4"/>
  <c r="H6" i="4"/>
  <c r="H7" i="4"/>
  <c r="H8" i="4"/>
  <c r="H9" i="4"/>
  <c r="A2" i="30"/>
  <c r="E2" i="30"/>
  <c r="A3" i="1" s="1"/>
  <c r="B49" i="30"/>
  <c r="B39" i="30"/>
  <c r="B33" i="30"/>
  <c r="B30" i="30"/>
  <c r="A30" i="30"/>
  <c r="E30" i="30" s="1"/>
  <c r="B19" i="30"/>
  <c r="B10" i="30"/>
  <c r="B3" i="30"/>
  <c r="E15" i="30"/>
  <c r="E16" i="30"/>
  <c r="E17" i="30"/>
  <c r="E18" i="30"/>
  <c r="A39" i="30"/>
  <c r="E39" i="30" s="1"/>
  <c r="A3" i="30"/>
  <c r="E3" i="30" s="1"/>
  <c r="E11" i="30"/>
  <c r="A10" i="30"/>
  <c r="E10" i="30" s="1"/>
  <c r="A49" i="30"/>
  <c r="E49" i="30" s="1"/>
  <c r="E31" i="30"/>
  <c r="A32" i="30"/>
  <c r="E32" i="30" s="1"/>
  <c r="E24" i="30"/>
  <c r="E26" i="30"/>
  <c r="E29" i="30"/>
  <c r="E27" i="30"/>
  <c r="A19" i="30"/>
  <c r="E19" i="30" s="1"/>
  <c r="A33" i="30"/>
  <c r="E33" i="30" s="1"/>
  <c r="E8" i="30"/>
  <c r="E9" i="30"/>
  <c r="E54" i="30"/>
  <c r="E53" i="30"/>
  <c r="E56" i="30"/>
  <c r="E55" i="30"/>
  <c r="E52" i="30"/>
  <c r="E50" i="30"/>
  <c r="E51" i="30"/>
  <c r="E59" i="30"/>
  <c r="E58" i="30"/>
  <c r="E57" i="30"/>
  <c r="E14" i="30"/>
  <c r="E13" i="30"/>
  <c r="E12" i="30"/>
  <c r="E25" i="30"/>
  <c r="E21" i="30"/>
  <c r="E45" i="30"/>
  <c r="E44" i="30"/>
  <c r="E48" i="30"/>
  <c r="E47" i="30"/>
  <c r="E46" i="30"/>
  <c r="E40" i="30"/>
  <c r="E37" i="30"/>
  <c r="E36" i="30"/>
  <c r="E35" i="30"/>
  <c r="E34" i="30"/>
  <c r="E28" i="30"/>
  <c r="E6" i="30"/>
  <c r="E5" i="30"/>
  <c r="E4" i="30"/>
  <c r="A38" i="30"/>
  <c r="E38" i="30" s="1"/>
  <c r="A43" i="30"/>
  <c r="E43" i="30" s="1"/>
  <c r="A42" i="30"/>
  <c r="E42" i="30" s="1"/>
  <c r="A41" i="30"/>
  <c r="E41" i="30" s="1"/>
  <c r="A23" i="30"/>
  <c r="E23" i="30" s="1"/>
  <c r="A20" i="30"/>
  <c r="E20" i="30" s="1"/>
  <c r="A22" i="30"/>
  <c r="E22" i="30" s="1"/>
  <c r="A7" i="30"/>
  <c r="E7" i="30" s="1"/>
  <c r="K47" i="19"/>
  <c r="H47" i="19"/>
  <c r="E47" i="19"/>
  <c r="B8" i="1"/>
  <c r="B7" i="1"/>
  <c r="B11" i="1"/>
  <c r="B9" i="1"/>
  <c r="B6" i="1"/>
  <c r="B34" i="1"/>
  <c r="B33" i="1"/>
  <c r="B32" i="1"/>
  <c r="B31" i="1"/>
  <c r="B30" i="1"/>
  <c r="C20" i="1"/>
  <c r="L28" i="19"/>
  <c r="I28" i="19"/>
  <c r="F28" i="19"/>
  <c r="F26" i="19"/>
  <c r="F27" i="19"/>
  <c r="A3" i="19" l="1"/>
  <c r="E59" i="19"/>
  <c r="K59" i="19" s="1"/>
  <c r="L8" i="19"/>
  <c r="F8" i="19"/>
  <c r="I8" i="19"/>
  <c r="B39" i="1" a="1"/>
  <c r="B39" i="1" s="1"/>
  <c r="C5" i="19" a="1"/>
  <c r="C5" i="19" s="1"/>
  <c r="E46" i="19"/>
  <c r="K46" i="19" s="1"/>
  <c r="K60" i="19"/>
  <c r="H60" i="19"/>
  <c r="E60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L7" i="19"/>
  <c r="I7" i="19"/>
  <c r="F7" i="19"/>
  <c r="L44" i="19"/>
  <c r="K44" i="19" s="1"/>
  <c r="L43" i="19"/>
  <c r="K43" i="19" s="1"/>
  <c r="L42" i="19"/>
  <c r="K42" i="19" s="1"/>
  <c r="L41" i="19"/>
  <c r="K41" i="19" s="1"/>
  <c r="L40" i="19"/>
  <c r="K40" i="19" s="1"/>
  <c r="L39" i="19"/>
  <c r="K39" i="19" s="1"/>
  <c r="L38" i="19"/>
  <c r="K38" i="19" s="1"/>
  <c r="L36" i="19"/>
  <c r="L35" i="19"/>
  <c r="L34" i="19"/>
  <c r="L33" i="19"/>
  <c r="L31" i="19"/>
  <c r="L30" i="19"/>
  <c r="L27" i="19"/>
  <c r="L26" i="19"/>
  <c r="L25" i="19"/>
  <c r="L24" i="19"/>
  <c r="L21" i="19"/>
  <c r="L22" i="19" s="1"/>
  <c r="L19" i="19"/>
  <c r="L18" i="19"/>
  <c r="L17" i="19"/>
  <c r="L16" i="19"/>
  <c r="L15" i="19"/>
  <c r="L14" i="19"/>
  <c r="L13" i="19"/>
  <c r="L11" i="19"/>
  <c r="L10" i="19"/>
  <c r="L6" i="19"/>
  <c r="L5" i="19"/>
  <c r="I44" i="19"/>
  <c r="H44" i="19" s="1"/>
  <c r="I43" i="19"/>
  <c r="H43" i="19" s="1"/>
  <c r="I42" i="19"/>
  <c r="H42" i="19" s="1"/>
  <c r="I41" i="19"/>
  <c r="H41" i="19" s="1"/>
  <c r="I40" i="19"/>
  <c r="H40" i="19" s="1"/>
  <c r="I39" i="19"/>
  <c r="H39" i="19" s="1"/>
  <c r="I38" i="19"/>
  <c r="H38" i="19" s="1"/>
  <c r="I36" i="19"/>
  <c r="I35" i="19"/>
  <c r="I34" i="19"/>
  <c r="I33" i="19"/>
  <c r="I31" i="19"/>
  <c r="I30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4" i="19"/>
  <c r="E44" i="19" s="1"/>
  <c r="F43" i="19"/>
  <c r="E43" i="19" s="1"/>
  <c r="F42" i="19"/>
  <c r="E42" i="19" s="1"/>
  <c r="F41" i="19"/>
  <c r="E41" i="19" s="1"/>
  <c r="F40" i="19"/>
  <c r="E40" i="19" s="1"/>
  <c r="F39" i="19"/>
  <c r="E39" i="19" s="1"/>
  <c r="F38" i="19"/>
  <c r="E38" i="19" s="1"/>
  <c r="F36" i="19"/>
  <c r="F35" i="19"/>
  <c r="F34" i="19"/>
  <c r="F33" i="19"/>
  <c r="F31" i="19"/>
  <c r="F30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6" i="19"/>
  <c r="F10" i="19"/>
  <c r="F5" i="19"/>
  <c r="C8" i="1"/>
  <c r="J2" i="1"/>
  <c r="G1" i="1"/>
  <c r="G2" i="1"/>
  <c r="J1" i="1"/>
  <c r="C5" i="1"/>
  <c r="H46" i="19" l="1"/>
  <c r="H59" i="19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1" i="1"/>
  <c r="C19" i="1"/>
  <c r="C7" i="1"/>
  <c r="O76" i="1" a="1"/>
  <c r="O76" i="1" s="1"/>
  <c r="I79" i="1" a="1"/>
  <c r="I79" i="1" s="1"/>
  <c r="C11" i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3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30" i="1"/>
  <c r="C18" i="1"/>
  <c r="F24" i="1" a="1"/>
  <c r="G25" i="1" s="1" a="1"/>
  <c r="G25" i="1" s="1"/>
  <c r="I77" i="1" a="1"/>
  <c r="I77" i="1" s="1"/>
  <c r="C26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M67" i="1" a="1"/>
  <c r="M67" i="1" s="1"/>
  <c r="O74" i="1" a="1"/>
  <c r="O74" i="1" s="1"/>
  <c r="C25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4" i="1"/>
  <c r="C28" i="1"/>
  <c r="C22" i="1"/>
  <c r="C9" i="1"/>
  <c r="C27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3" i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2" i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7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 saveData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7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7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 saveData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 saveData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7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7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7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7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7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7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<sst xmlns="http://schemas.openxmlformats.org/spreadsheetml/2006/main" count="1417" uniqueCount="529">
  <si>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</si>
  <si>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</si>
  <si>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</si>
  <si>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</si>
  <si>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</si>
  <si>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</si>
  <si>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</si>
  <si>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</si>
  <si>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</si>
  <si>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</si>
  <si>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</si>
  <si>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</si>
  <si>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</si>
  <si>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</si>
  <si>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</si>
  <si>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</si>
  <si>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</si>
  <si>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</si>
  <si>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</si>
  <si>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</si>
  <si>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</si>
  <si>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</si>
  <si>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</si>
  <si>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</si>
  <si>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</si>
  <si>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</si>
  <si>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</si>
  <si>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</si>
  <si>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</si>
  <si>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</si>
  <si>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</si>
  <si>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</si>
  <si>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</si>
  <si>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</si>
  <si>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</si>
  <si>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</si>
  <si>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</si>
  <si>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</si>
  <si>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</si>
  <si>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</si>
  <si>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</si>
  <si>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</si>
  <si>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</si>
  <si>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</si>
  <si>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</si>
  <si>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</si>
  <si>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</si>
  <si>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</si>
  <si>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</si>
  <si>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</si>
  <si>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</si>
  <si>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</si>
  <si>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</si>
  <si>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</si>
  <si>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</si>
  <si>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</si>
  <si>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</si>
  <si>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</si>
  <si>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</si>
  <si>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</si>
  <si>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</si>
  <si>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</si>
  <si>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</si>
  <si>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</si>
  <si>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</si>
  <si>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</si>
  <si>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</si>
  <si>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</si>
  <si>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</si>
  <si>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</si>
  <si>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</si>
  <si>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</si>
  <si>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</si>
  <si>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</si>
  <si>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</si>
  <si>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</si>
  <si>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</si>
  <si>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</si>
  <si>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</si>
  <si>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</si>
  <si>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</si>
  <si>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</si>
  <si>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</si>
  <si>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</si>
  <si>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</si>
  <si>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</si>
  <si>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</si>
  <si>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</si>
  <si>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</si>
  <si>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</si>
  <si>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</si>
  <si>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</si>
  <si>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</si>
  <si>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</si>
  <si>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</si>
  <si>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</si>
  <si>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</si>
  <si>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</si>
  <si>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</si>
  <si>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</si>
  <si>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</si>
  <si>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</si>
  <si>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</si>
  <si>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</si>
  <si>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</si>
  <si>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</si>
  <si>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</si>
  <si>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</si>
  <si>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</si>
  <si>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</si>
  <si>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</si>
  <si>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</si>
  <si>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</si>
  <si>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</si>
  <si>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</si>
  <si>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</si>
  <si>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</si>
  <si>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</si>
  <si>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</si>
  <si>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</si>
  <si>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</si>
  <si>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</si>
  <si>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</si>
  <si>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</si>
  <si>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</si>
  <si>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</si>
  <si>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</si>
  <si>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</si>
  <si>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</si>
  <si>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</si>
  <si>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</si>
  <si>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</si>
  <si>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</si>
  <si>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</si>
  <si>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</si>
  <si>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</si>
  <si>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</si>
  <si>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</si>
  <si>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</si>
  <si>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</si>
  <si>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</si>
  <si>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</si>
  <si>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</si>
  <si>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</si>
  <si>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</si>
  <si>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</si>
  <si>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</si>
  <si>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</si>
  <si>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</si>
  <si>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</si>
  <si>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</si>
  <si>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</si>
  <si>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</si>
  <si>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</si>
  <si>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</si>
  <si>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</si>
  <si>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</si>
  <si>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</si>
  <si>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</si>
  <si>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</si>
  <si>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</si>
  <si>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</si>
  <si>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</si>
  <si>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</si>
  <si>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</si>
  <si>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</si>
  <si>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</si>
  <si>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</si>
  <si>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</si>
  <si>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</si>
  <si>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</si>
  <si>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</si>
  <si>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</si>
  <si>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</si>
  <si>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</si>
  <si>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</si>
  <si>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</si>
  <si>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</si>
  <si>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</si>
  <si>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</si>
  <si>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</si>
  <si>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</si>
  <si>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</si>
  <si>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</si>
  <si>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</si>
  <si>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</si>
  <si>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</si>
  <si>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</si>
  <si>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</si>
  <si>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</si>
  <si>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</si>
  <si>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</si>
  <si>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</si>
  <si>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</si>
  <si>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</si>
  <si>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</si>
  <si>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</si>
  <si>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</si>
  <si>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</si>
  <si>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</si>
  <si>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</si>
  <si>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</si>
  <si>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</si>
  <si>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</si>
  <si>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</si>
  <si>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</si>
  <si>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</si>
  <si>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</si>
  <si>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</si>
  <si>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</si>
  <si>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</si>
  <si>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</si>
  <si>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</si>
  <si>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</si>
  <si>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</si>
  <si>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</si>
  <si>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</si>
  <si>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</si>
  <si>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</si>
  <si>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</si>
  <si>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</si>
  <si>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</si>
  <si>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</si>
  <si>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</si>
  <si>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</si>
  <si>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</si>
  <si>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</si>
  <si>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</si>
  <si>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</si>
  <si>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</si>
  <si>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</si>
  <si>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</si>
  <si>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</si>
  <si>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</si>
  <si>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</si>
  <si>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</si>
  <si>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</si>
  <si>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</si>
  <si>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</si>
  <si>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</si>
  <si>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</si>
  <si>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</si>
  <si>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</si>
  <si>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</si>
  <si>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</si>
  <si>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</si>
  <si>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</si>
  <si>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</si>
  <si>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</si>
  <si>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</si>
  <si>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</si>
  <si>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</si>
  <si>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</si>
  <si>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</si>
  <si>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</si>
  <si>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</si>
  <si>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</si>
  <si>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</si>
  <si>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</si>
  <si>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</si>
  <si>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</si>
  <si>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</si>
  <si>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</si>
  <si>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</si>
  <si>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</si>
  <si>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</si>
  <si>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</si>
  <si>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</si>
  <si>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</si>
  <si>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</si>
  <si>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</si>
  <si>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</si>
  <si>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</si>
  <si>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</si>
  <si>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</si>
  <si>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</si>
  <si>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</si>
  <si>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</si>
  <si>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</si>
  <si>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</si>
  <si>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</si>
  <si>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</si>
  <si>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</si>
  <si>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</si>
  <si>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</si>
  <si>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</si>
  <si>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</si>
  <si>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</si>
  <si>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</si>
  <si>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</si>
  <si>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</si>
  <si>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</si>
  <si>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</si>
  <si>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</si>
  <si>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</si>
  <si>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</si>
  <si>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</si>
  <si>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</si>
  <si>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</si>
  <si>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</si>
  <si>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</si>
  <si>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</si>
  <si>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</si>
  <si>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</si>
  <si>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</si>
  <si>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</si>
  <si>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</si>
  <si>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</si>
  <si>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</si>
  <si>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</si>
  <si>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</si>
  <si>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</si>
  <si>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</si>
  <si>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</si>
  <si>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</si>
  <si>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</si>
  <si>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</si>
  <si>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</si>
  <si>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</si>
  <si>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</si>
  <si>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</si>
  <si>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</si>
  <si>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</si>
  <si>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</si>
  <si>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</si>
  <si>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</si>
  <si>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</si>
  <si>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</si>
  <si>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</si>
  <si>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</si>
  <si>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</si>
  <si>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</si>
  <si>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</si>
  <si>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</si>
  <si>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</si>
  <si>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</si>
  <si>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</si>
  <si>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</si>
  <si>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</si>
  <si>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</si>
  <si>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</si>
  <si>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</si>
  <si>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</si>
  <si>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</si>
  <si>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</si>
  <si>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</si>
  <si>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</si>
  <si>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</si>
  <si>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</si>
  <si>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</si>
  <si>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</si>
  <si>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</si>
  <si>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</si>
  <si>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</si>
  <si>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</si>
  <si>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</si>
  <si>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</si>
  <si>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uplink2;uplink1</t>
  </si>
  <si>
    <t>uplink1;uplink2</t>
  </si>
  <si>
    <t>failover order</t>
  </si>
  <si>
    <t>nic proflie</t>
  </si>
  <si>
    <t>cidr notation</t>
  </si>
  <si>
    <t>Global Search</t>
  </si>
  <si>
    <t>VLAN Quickview</t>
  </si>
  <si>
    <t>Search Results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</si>
  <si>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</si>
  <si>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</si>
  <si>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</si>
  <si>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</si>
  <si>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</si>
  <si>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</si>
  <si>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</si>
  <si>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</si>
  <si>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</si>
  <si>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</si>
  <si>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</si>
  <si>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</si>
  <si>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</si>
  <si>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</si>
  <si>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</si>
  <si>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</si>
  <si>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</si>
  <si>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</si>
  <si>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</si>
  <si>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</si>
  <si>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</si>
  <si>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</si>
  <si>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</si>
  <si>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</si>
  <si>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</si>
  <si>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</si>
  <si>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</si>
  <si>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</si>
  <si>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</si>
  <si>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</si>
  <si>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</si>
  <si>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</si>
  <si>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</si>
  <si>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</si>
  <si>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>dupe quickview vlans - valid or bug?</t>
  </si>
  <si>
    <t>sfs declared</t>
  </si>
  <si>
    <t>Custom</t>
  </si>
  <si>
    <t>Host Quickview</t>
  </si>
  <si>
    <t>HOST	MGMT	VSAN	VMOTION
host-01	192.168.1.50	192.168.80.1	192.168.90.1
host-02	192.168.1.51	192.168.80.2	192.168.90.2</t>
  </si>
  <si>
    <t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</si>
  <si>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HOST	MGMT	VSAN	VMOTION
esxi-01	192.168.1.20	192.168.4.1	192.168.5.1
esxi-02	192.168.1.21	192.168.4.2	192.168.5.2</t>
  </si>
  <si>
    <t xml:space="preserve">VLAN_ID	VLAN NAME	PNIC
1	(MANAGEMENT)	
2	(VSAN)	
3	(VMOTION)	
6	(WITNESS)	
4	(CUSTOMERVM)	
5	(CUSTOMERVM)	</t>
  </si>
  <si>
    <t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</si>
  <si>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</si>
  <si>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HOST	MGMT	VSAN	VMOTION
esxi-01	192.168.0.50	192.168.0.19	192.168.0.24
esxi-02	192.168.0.51	192.168.0.20	192.168.0.25
esxi-03	192.168.0.52	192.168.0.21	192.168.0.26</t>
  </si>
  <si>
    <t xml:space="preserve">VLAN_ID	VLAN NAME	PNIC
1	(MANAGEMENT)	
1	(VSAN)	
1	(VMOTION)	</t>
  </si>
  <si>
    <t>HOST	MGMT	VSAN	VMOTION
esx-01	192.168.1.51	192.168.1.170	192.168.1.179
esx-02	192.168.1.52	192.168.1.171	192.168.1.180
esx-03	192.168.1.53	192.168.1.172	192.168.1.181</t>
  </si>
  <si>
    <t>VLAN_ID	VLAN NAME	PNIC
3939	(VXRAILDISCOVERY)	vmnic2
1	(MANAGEMENT)	vmnic2
1	(VXRAILSYSTEMVM)	vmnic2
3939	(VXRAILDISCOVERY)	vmnic3
1	(MANAGEMENT)	vmnic3
1	(VXRAILSYSTEMVM)	vmnic3
3	(VSAN)	vmnic11
6	(VMOTION)	vmnic11
3	(VSAN)	vmnic10
6	(VMOTION)	vmnic10</t>
  </si>
  <si>
    <t>HOST	MGMT	VSAN	VMOTION
esxi-01	192.168.0.100	192.168.0.40	192.168.0.80
esxi-02	192.168.0.101	192.168.0.41	192.168.0.81
esxi-03	192.168.0.102	192.168.0.42	192.168.0.82</t>
  </si>
  <si>
    <t>HOST	MGMT	VSAN	VMOTION
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</si>
  <si>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 xml:space="preserve">VLAN_ID	VLAN NAME	PNIC
0	(MANAGEMENT)	
1	(VSAN)	
0	(VMOTION)	
0	(CUSTOMERVM)	</t>
  </si>
  <si>
    <t>HOST	MGMT	VSAN	VMOTION
esx-01	192.168.0.150	192.168.0.50	192.168.0.60
esx-02	192.168.0.151	192.168.0.51	192.168.0.61
esx-03	192.168.0.152	192.168.0.52	192.168.0.62</t>
  </si>
  <si>
    <t xml:space="preserve">VLAN_ID	VLAN NAME	PNIC
1	(MANAGEMENT)	
2	(VSAN)	
3	(VMOTION)	</t>
  </si>
  <si>
    <t>internal_dns</t>
  </si>
  <si>
    <t>cust_supplied_vc_ip</t>
  </si>
  <si>
    <t>rack</t>
  </si>
  <si>
    <t>psnt</t>
  </si>
  <si>
    <t>pgbindingtype</t>
  </si>
  <si>
    <t>sysvmbindingtype</t>
  </si>
  <si>
    <t>pgtype</t>
  </si>
  <si>
    <t>pgname</t>
  </si>
  <si>
    <t>pg.failover.order</t>
  </si>
  <si>
    <t>uplinkname</t>
  </si>
  <si>
    <t>pnic</t>
  </si>
  <si>
    <t>Global</t>
  </si>
  <si>
    <t>VxRail Version</t>
  </si>
  <si>
    <t>Cluster Type</t>
  </si>
  <si>
    <t>Top Level Domain</t>
  </si>
  <si>
    <t>Cluster Name</t>
  </si>
  <si>
    <t>First NTP Server</t>
  </si>
  <si>
    <t>First DNS Server</t>
  </si>
  <si>
    <t>First Syslog Server</t>
  </si>
  <si>
    <t>Datacenter name</t>
  </si>
  <si>
    <t>Disk Group Type</t>
  </si>
  <si>
    <t>Customer-supplied vcenter</t>
  </si>
  <si>
    <t>vCenter name</t>
  </si>
  <si>
    <t>Smart Fabric Services</t>
  </si>
  <si>
    <t>VxRail Manager hostname</t>
  </si>
  <si>
    <t>VxRail Manager IP address</t>
  </si>
  <si>
    <t>Account name - root</t>
  </si>
  <si>
    <t>Account name - service</t>
  </si>
  <si>
    <t>Account name - admin</t>
  </si>
  <si>
    <t>Account name - management</t>
  </si>
  <si>
    <t>Gateway - cluster management</t>
  </si>
  <si>
    <t>Netmask - cluster management</t>
  </si>
  <si>
    <t>Netmask - VSAN</t>
  </si>
  <si>
    <t>Netmask - vmotion</t>
  </si>
  <si>
    <t>Gateway - witness</t>
  </si>
  <si>
    <t>IP - witness management</t>
  </si>
  <si>
    <t>Netmask - witness</t>
  </si>
  <si>
    <t>Account name - witness</t>
  </si>
  <si>
    <t>IP - vxrail supplied</t>
  </si>
  <si>
    <t>IP - customer supplied</t>
  </si>
  <si>
    <t>Internal DNS</t>
  </si>
  <si>
    <t>vCenter name - VxRail Supplied</t>
  </si>
  <si>
    <t>Rack Name</t>
  </si>
  <si>
    <t>Rack position</t>
  </si>
  <si>
    <t>PSNT</t>
  </si>
  <si>
    <t>NIC Profile</t>
  </si>
  <si>
    <t>Portgroup binding type</t>
  </si>
  <si>
    <t>System VM binding type</t>
  </si>
  <si>
    <t>Portgroup type</t>
  </si>
  <si>
    <t>VLAN ID</t>
  </si>
  <si>
    <t>Portgroup name</t>
  </si>
  <si>
    <t>Failover Order</t>
  </si>
  <si>
    <t>Uplink Name</t>
  </si>
  <si>
    <t>Physical NIC</t>
  </si>
  <si>
    <t>VDS Name</t>
  </si>
  <si>
    <t>Keyword</t>
  </si>
  <si>
    <t>Display</t>
  </si>
  <si>
    <t>Search example</t>
  </si>
  <si>
    <t>Category</t>
  </si>
  <si>
    <t>Search prefix</t>
  </si>
  <si>
    <t>Standard;VSAN2NODE</t>
  </si>
  <si>
    <t>132.163.96.5</t>
  </si>
  <si>
    <t>8.8.8.8</t>
  </si>
  <si>
    <t>EU-GER-FRA-01</t>
  </si>
  <si>
    <t>true;false</t>
  </si>
  <si>
    <t>frankfurt-vc02</t>
  </si>
  <si>
    <t>admin@vsphere.local</t>
  </si>
  <si>
    <t>vcsamanager</t>
  </si>
  <si>
    <t>QCFVR161196001</t>
  </si>
  <si>
    <t>STATIC|EPHEMERAL</t>
  </si>
  <si>
    <t>uplink[n];uplink[n]</t>
  </si>
  <si>
    <t>EU-GER-BER-01-CL01</t>
  </si>
  <si>
    <t>EU-GER-BER-01-R08</t>
  </si>
  <si>
    <t>EU-GER-BER-01-VL-DISC</t>
  </si>
  <si>
    <t>EU-GER-BER-01-CL01-UL01</t>
  </si>
  <si>
    <t>EU-GER-BER-01-VDS01</t>
  </si>
  <si>
    <t>created</t>
  </si>
  <si>
    <t>Created date</t>
  </si>
  <si>
    <t>Modified date</t>
  </si>
  <si>
    <t>YYMMDD</t>
  </si>
  <si>
    <t>modified</t>
  </si>
  <si>
    <t>mgmt ip</t>
  </si>
  <si>
    <t>vsan ip:</t>
  </si>
  <si>
    <t>vmotion ip</t>
  </si>
  <si>
    <t>Management IP address</t>
  </si>
  <si>
    <t>VSAN IP address</t>
  </si>
  <si>
    <t>vMotion IP address</t>
  </si>
  <si>
    <t>192.168.3.10</t>
  </si>
  <si>
    <t>witness ip</t>
  </si>
  <si>
    <t>Witness IP address</t>
  </si>
  <si>
    <t>192.168.4.10</t>
  </si>
  <si>
    <t>192.168.2.10</t>
  </si>
  <si>
    <t>CreatVer</t>
  </si>
  <si>
    <t>ModVer</t>
  </si>
  <si>
    <t>CreateVer</t>
  </si>
  <si>
    <t xml:space="preserve">starter-2N-exisitng-vds.json
createver:20210713
modver:20210831
version:7.0.201
Type:VSAN2NODE	NTP Servers:	internal_dns:false	DNS Servers:192.168.1.1	Syslog Servers:	top level domain:example.com	clus mgmt netmask:255.255.255.0	clus mgmt gw:192.168.1.1	vsan netmask:255.255.255.0	vmotion netmask:255.255.255.0	witness.gateway:192.168.100.1	witness.netmask:255.255.255.0	vxrm hostname:vxrm	vxrm ip:192.168.1.58	root:root	service:mystic		customer_supplied_vc:true				admin:vcenteruser@vcadmin.com	mgmt:vcentermgr	cluster_name:2_node_2VDS	cust_supplied_vc_ip:192.168.1.151	Datacenter name:customdatacentername	witness.gateway:192.168.100.1	witness.management_ip:192.168.100.3	witness.netmask:255.255.255.0	witness.username:witnessuser	witness_ip:192.168.100.4	ADVANCED_CUSTOMER_SUPPLIED_VDS			sfs declared:FALSE
host:host-01	root:root	mgmt:esximgr	rack:		psnt:		MGMT IP:192.168.1.50	VSAN IP:192.168.80.1	VMOTION IP:192.168.90.1	WITNESS IP:192.168.100.1
host:host-02	root:root	mgmt:esximgr	rack:		psnt:		MGMT IP:192.168.1.51	VSAN IP:192.168.80.2	VMOTION IP:192.168.90.2	WITNESS IP:192.168.100.2
nic_profile:ADVANCED_CUSTOMER_SUPPLIED_VDS		pgtype:VXRAILDISCOVERY	vlan_id:5	pgname:DiscoveryCustomer		vds1uplink1	vmnic0	ExistingVDS1	
nic_profile:ADVANCED_CUSTOMER_SUPPLIED_VDS		pgtype:MANAGEMENT	vlan_id:0	pgname:MgmtCustom		vds1uplink1	vmnic0	ExistingVDS1	
nic_profile:ADVANCED_CUSTOMER_SUPPLIED_VDS		pgtype:VXRAILSYSTEMVM	vlan_id:4	pgname:vcenterCustom		vds1uplink1	vmnic0	ExistingVDS1	
nic_profile:ADVANCED_CUSTOMER_SUPPLIED_VDS		pgtype:VXRAILDISCOVERY	vlan_id:5	pgname:DiscoveryCustomer		vds1uplink2	vmnic1	ExistingVDS1	
nic_profile:ADVANCED_CUSTOMER_SUPPLIED_VDS		pgtype:MANAGEMENT	vlan_id:0	pgname:MgmtCustom		vds1uplink2	vmnic1	ExistingVDS1	
nic_profile:ADVANCED_CUSTOMER_SUPPLIED_VDS		pgtype:VXRAILSYSTEMVM	vlan_id:4	pgname:vcenterCustom		vds1uplink2	vmnic1	ExistingVDS1	
nic_profile:ADVANCED_CUSTOMER_SUPPLIED_VDS		pgtype:VSAN	vlan_id:1	pgname:vsancustom		vds2uplink1	vmnic2	ExistingVDS2	
nic_profile:ADVANCED_CUSTOMER_SUPPLIED_VDS		pgtype:VMOTION	vlan_id:2	pgname:vmotioncustom		vds2uplink1	vmnic2	ExistingVDS2	
nic_profile:ADVANCED_CUSTOMER_SUPPLIED_VDS		pgtype:WITNESS	vlan_id:6	pgname:witnesscustom		vds2uplink1	vmnic2	ExistingVDS2	
nic_profile:ADVANCED_CUSTOMER_SUPPLIED_VDS		pgtype:VSAN	vlan_id:1	pgname:vsancustom		vds2uplink2	vmnic3	ExistingVDS2	
nic_profile:ADVANCED_CUSTOMER_SUPPLIED_VDS		pgtype:VMOTION	vlan_id:2	pgname:vmotioncustom		vds2uplink2	vmnic3	ExistingVDS2	
nic_profile:ADVANCED_CUSTOMER_SUPPLIED_VDS		pgtype:WITNESS	vlan_id:6	pgname:witnesscustom		vds2uplink2	vmnic3	ExistingVDS2	</t>
  </si>
  <si>
    <t>starter-2N-novds.json
createver:20210712
modver:20210831
version:7.0.202
Type:VSAN2NODE	NTP Servers:	internal_dns:false	DNS Servers:192.168.0.1	Syslog Servers:	top level domain:example.com	clus mgmt netmask:255.255.255.0	clus mgmt gw:192.168.1.1	vsan netmask:255.255.255.0	vmotion netmask:255.255.255.0	witness.gateway:	witness.netmask:255.255.255.0	vxrm hostname:vxrm	vxrm ip:192.168.1.10	root:root	service:mystic		customer_supplied_vc:true				admin:admin@vcenter.example.com	mgmt:admin	cluster_name:2Node	cust_supplied_vc_ip:vcenter.example.com	Datacenter name:ROBO	witness.gateway:	witness.management_ip:192.168.5.3	witness.netmask:255.255.255.0	witness.username:admin	witness_ip:192.168.5.4	FOUR_HIGH_SPEED	STATIC_BINDING	EPHEMERAL	sfs declared:FALSE
host:esxi-01	root:root	mgmt:admin	rack:		psnt:		MGMT IP:192.168.1.20	VSAN IP:192.168.4.1	VMOTION IP:192.168.5.1	WITNESS IP:192.168.6.1
host:esxi-02	root:root	mgmt:admin	rack:		psnt:		MGMT IP:192.168.1.21	VSAN IP:192.168.4.2	VMOTION IP:192.168.5.2	WITNESS IP:192.168.6.2
nic_profile:FOUR_HIGH_SPEED	pgbindingtype:STATIC_BINDING	pgtype:MANAGEMENT	vlan_id:1						EPHEMERAL
nic_profile:FOUR_HIGH_SPEED	pgbindingtype:STATIC_BINDING	pgtype:VSAN	vlan_id:2						EPHEMERAL
nic_profile:FOUR_HIGH_SPEED	pgbindingtype:STATIC_BINDING	pgtype:VMOTION	vlan_id:3						EPHEMERAL
nic_profile:FOUR_HIGH_SPEED	pgbindingtype:STATIC_BINDING	pgtype:WITNESS	vlan_id:6						EPHEMERAL
nic_profile:FOUR_HIGH_SPEED	pgbindingtype:STATIC_BINDING	pgtype:CUSTOMERVM	vlan_id:4	pgname:Guest VLAN					EPHEMERAL
nic_profile:FOUR_HIGH_SPEED	pgbindingtype:STATIC_BINDING	pgtype:CUSTOMERVM	vlan_id:5	pgname:Admin VLAN					EPHEMERAL</t>
  </si>
  <si>
    <t>starter-6nodes.json
createver:20210720
modver:20210831
version:7.0.130
Type:STANDARD	NTP Servers:192.168.1.3	internal_dns:false	DNS Servers:192.168.1.2	Syslog Servers:192.168.1.4	top level domain:6nodes.com	clus mgmt netmask:255.255.255.0	clus mgmt gw:192.168.1.1	vsan netmask:255.255.255.0	vmotion netmask:255.255.255.0			vxrm hostname:vxrm	vxrm ip:192.168.1.7	root:root	service:mystic		customer_supplied_vc:false	vxrail_supplied_vc_ip:192.168.1.5	vxrail_supplied_vc_name:vcsa	root:root	admin:administrator@vsphere.local	mgmt:vcsamgr									ADVANCED_VXRAIL_SUPPLIED_VDS	EPHEMERAL	STATIC_BINDING	sfs declared:FALSE
host:6node-01	root:root	mgmt:esximgr	rack:rack01	position:5	psnt:		MGMT IP:192.168.1.10	VSAN IP:192.168.10.10	VMOTION IP:192.168.11.10	
host:6node-02	root:root	mgmt:esximgr	rack:rack01	position:6	psnt:		MGMT IP:192.168.1.11	VSAN IP:192.168.10.11	VMOTION IP:192.168.11.11	
host:6node-03	root:root	mgmt:esximgr	rack:rack01	position:7	psnt:		MGMT IP:192.168.1.12	VSAN IP:192.168.10.12	VMOTION IP:192.168.11.12	
host:6node-04	root:root	mgmt:esximgr	rack:rack01	position:5	psnt:		MGMT IP:192.168.1.13	VSAN IP:192.168.10.13	VMOTION IP:192.168.11.13	
host:6node-05	root:root	mgmt:esximgr	rack:rack02	position:4	psnt:		MGMT IP:192.168.1.14	VSAN IP:192.168.10.14	VMOTION IP:192.168.11.14	
host:6node-06	root:root	mgmt:esximgr	rack:rack02	position:5	psnt:		MGMT IP:192.168.1.15	VSAN IP:192.168.10.15	VMOTION IP:192.168.11.15	
nic_profile:ADVANCED_VXRAIL_SUPPLIED_VDS	pgbindingtype:EPHEMERAL	pgtype:VXRAILDISCOVERY	vlan_id:3939		uplink1;uplink2	uplink1	vmnic0		STATIC_BINDING
nic_profile:ADVANCED_VXRAIL_SUPPLIED_VDS	pgbindingtype:EPHEMERAL	pgtype:MANAGEMENT	vlan_id:1		uplink1;uplink2	uplink1	vmnic0		STATIC_BINDING
nic_profile:ADVANCED_VXRAIL_SUPPLIED_VDS	pgbindingtype:EPHEMERAL	pgtype:VXRAILSYSTEMVM	vlan_id:1		uplink1;uplink2	uplink1	vmnic0		STATIC_BINDING
nic_profile:ADVANCED_VXRAIL_SUPPLIED_VDS	pgbindingtype:EPHEMERAL	pgtype:VSAN	vlan_id:1		uplink1;uplink2	uplink1	vmnic0		STATIC_BINDING
nic_profile:ADVANCED_VXRAIL_SUPPLIED_VDS	pgbindingtype:EPHEMERAL	pgtype:VMOTION	vlan_id:1		uplink1;uplink2	uplink1	vmnic0		STATIC_BINDING
nic_profile:ADVANCED_VXRAIL_SUPPLIED_VDS	pgbindingtype:EPHEMERAL	pgtype:CUSTOMERVM	vlan_id:1	pgname:vmguest	uplink1;uplink2	uplink1	vmnic0		STATIC_BINDING
nic_profile:ADVANCED_VXRAIL_SUPPLIED_VDS	pgbindingtype:EPHEMERAL	pgtype:VXRAILDISCOVERY	vlan_id:3939		uplink1;uplink2	uplink2	vmnic3		STATIC_BINDING
nic_profile:ADVANCED_VXRAIL_SUPPLIED_VDS	pgbindingtype:EPHEMERAL	pgtype:MANAGEMENT	vlan_id:1		uplink1;uplink2	uplink2	vmnic3		STATIC_BINDING
nic_profile:ADVANCED_VXRAIL_SUPPLIED_VDS	pgbindingtype:EPHEMERAL	pgtype:VXRAILSYSTEMVM	vlan_id:1		uplink1;uplink2	uplink2	vmnic3		STATIC_BINDING
nic_profile:ADVANCED_VXRAIL_SUPPLIED_VDS	pgbindingtype:EPHEMERAL	pgtype:VSAN	vlan_id:1		uplink1;uplink2	uplink2	vmnic3		STATIC_BINDING
nic_profile:ADVANCED_VXRAIL_SUPPLIED_VDS	pgbindingtype:EPHEMERAL	pgtype:VMOTION	vlan_id:1		uplink1;uplink2	uplink2	vmnic3		STATIC_BINDING
nic_profile:ADVANCED_VXRAIL_SUPPLIED_VDS	pgbindingtype:EPHEMERAL	pgtype:CUSTOMERVM	vlan_id:1	pgname:vmguest	uplink1;uplink2	uplink2	vmnic3		STATIC_BINDING</t>
  </si>
  <si>
    <t>starter-7.0.100-2.json
createver:20210831
modver:20210831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ip:192.168.0.15	root:root	service:mystic		customer_supplied_vc:false	vxrail_supplied_vc_ip:192.168.0.10	vxrail_supplied_vc_name:vcenter	root:root	admin:administrator@vsphere.local	mgmt:vcuser												sfs declared:FALSE
host:esxi-01	root:root	mgmt:esxmgmtuser	rack:		psnt:		MGMT IP:192.168.0.50	VSAN IP:192.168.0.19	VMOTION IP:192.168.0.24	
host:esxi-02	root:root	mgmt:esxmgmtuser	rack:		psnt:		MGMT IP:192.168.0.51	VSAN IP:192.168.0.20	VMOTION IP:192.168.0.25	
host:esxi-03	root:root	mgmt:esxmgmtuser	rack:		psnt:		MGMT IP:192.168.0.52	VSAN IP:192.168.0.21	VMOTION IP:192.168.0.26	
nic_profile:TWO_HIGH_SPEED		pgtype:MANAGEMENT	vlan_id:1						EPHEMERAL
nic_profile:TWO_HIGH_SPEED		pgtype:VSAN	vlan_id:1						EPHEMERAL
nic_profile:TWO_HIGH_SPEED		pgtype:VMOTION	vlan_id:1						EPHEMERAL</t>
  </si>
  <si>
    <t>starter-7.0.210.json
createver:20210719
modver:20210831
version:7.0.210
Type:STANDARD	NTP Servers:192.168.1.10	internal_dns:false	DNS Servers:192.168.1.12	Syslog Servers:192.168.1.11	top level domain:example.com	clus mgmt netmask:255.255.255.0	clus mgmt gw:192.168.1.1	vsan netmask:255.255.255.0	vmotion netmask:255.255.255.0			vxrm hostname:vxrm	vxrm ip:192.168.1.70	root:root	service:mystic	DiskGroupType:2403	customer_supplied_vc:true				admin:vcadmin@example.com	mgmt:vcmgmt	cluster_name:7.x.210	cust_supplied_vc_ip:vcenter.example.com	Datacenter name:DC01						ADVANCED_VXRAIL_SUPPLIED_VDS	STATIC_BINDING	STATIC_BINDING	sfs declared:TRUE
host:esx-01	root:root	mgmt:esxmgmt	rack:Rack01	position:2	psnt:	192.168.1.100	MGMT IP:192.168.1.51	VSAN IP:192.168.1.170	VMOTION IP:192.168.1.179	
host:esx-02	root:root	mgmt:esxmgmt	rack:Rack02	position:3	psnt:	192.168.1.101	MGMT IP:192.168.1.52	VSAN IP:192.168.1.171	VMOTION IP:192.168.1.180	
host:esx-03	root:root	mgmt:esxmgmt	rack:Rack02	position:4	psnt:	192.168.1.102	MGMT IP:192.168.1.53	VSAN IP:192.168.1.172	VMOTION IP:192.168.1.181	
nic_profile:ADVANCED_VXRAIL_SUPPLIED_VDS	pgbindingtype:STATIC_BINDING	pgtype:VXRAILDISCOVERY	vlan_id:3939		uplink1;uplink2	uplink1	vmnic2		STATIC_BINDING
nic_profile:ADVANCED_VXRAIL_SUPPLIED_VDS	pgbindingtype:STATIC_BINDING	pgtype:MANAGEMENT	vlan_id:1		uplink1;uplink2	uplink1	vmnic2		STATIC_BINDING
nic_profile:ADVANCED_VXRAIL_SUPPLIED_VDS	pgbindingtype:STATIC_BINDING	pgtype:VXRAILSYSTEMVM	vlan_id:1		uplink1;uplink2	uplink1	vmnic2		STATIC_BINDING
nic_profile:ADVANCED_VXRAIL_SUPPLIED_VDS	pgbindingtype:STATIC_BINDING	pgtype:VXRAILDISCOVERY	vlan_id:3939		uplink1;uplink2	uplink2	vmnic3		STATIC_BINDING
nic_profile:ADVANCED_VXRAIL_SUPPLIED_VDS	pgbindingtype:STATIC_BINDING	pgtype:MANAGEMENT	vlan_id:1		uplink1;uplink2	uplink2	vmnic3		STATIC_BINDING
nic_profile:ADVANCED_VXRAIL_SUPPLIED_VDS	pgbindingtype:STATIC_BINDING	pgtype:VXRAILSYSTEMVM	vlan_id:1		uplink1;uplink2	uplink2	vmnic3		STATIC_BINDING
nic_profile:ADVANCED_VXRAIL_SUPPLIED_VDS	pgbindingtype:STATIC_BINDING	pgtype:VSAN	vlan_id:3		uplink2;uplink1	uplink1	vmnic11		STATIC_BINDING
nic_profile:ADVANCED_VXRAIL_SUPPLIED_VDS	pgbindingtype:STATIC_BINDING	pgtype:VMOTION	vlan_id:6		uplink1;uplink2	uplink1	vmnic11		STATIC_BINDING
nic_profile:ADVANCED_VXRAIL_SUPPLIED_VDS	pgbindingtype:STATIC_BINDING	pgtype:VSAN	vlan_id:3		uplink2;uplink1	uplink2	vmnic10		STATIC_BINDING
nic_profile:ADVANCED_VXRAIL_SUPPLIED_VDS	pgbindingtype:STATIC_BINDING	pgtype:VMOTION	vlan_id:6		uplink1;uplink2	uplink2	vmnic10		STATIC_BINDING</t>
  </si>
  <si>
    <t>starter-sfstest.json
createver:20210831
modver:20210831
version:7.0.210
Type:STANDARD	NTP Servers:	internal_dns:true	DNS Servers:	Syslog Servers:	top level domain:tld	clus mgmt netmask:255.255.255.0	clus mgmt gw:192.168.0.1	vsan netmask:255.255.255.0	vmotion netmask:255.255.255.0			vxrm hostname:vxrm-host	vxrm ip:192.168.0.205	root:root	service:mystic	DiskGroupType:1002	customer_supplied_vc:false	vxrail_supplied_vc_ip:192.168.0.200	vxrail_supplied_vc_name:host	root:root	admin:administrator@vsphere.local	mgmt:vcuser									TWO_HIGH_SPEED	STATIC_BINDING	EPHEMERAL	sfs declared:TRUE
host:esxi-01	root:root	mgmt:esxuname	rack:RAck07	position:1	psnt:		MGMT IP:192.168.0.100	VSAN IP:192.168.0.40	VMOTION IP:192.168.0.80	
host:esxi-02	root:root	mgmt:esxuname	rack:RAck07	position:3	psnt:		MGMT IP:192.168.0.101	VSAN IP:192.168.0.41	VMOTION IP:192.168.0.81	
host:esxi-03	root:root	mgmt:esxuname	rack:RAck07	position:4	psnt:		MGMT IP:192.168.0.102	VSAN IP:192.168.0.42	VMOTION IP:192.168.0.82	
nic_profile:TWO_HIGH_SPEED	pgbindingtype:STATIC_BINDING	pgtype:MANAGEMENT	vlan_id:1						EPHEMERAL
nic_profile:TWO_HIGH_SPEED	pgbindingtype:STATIC_BINDING	pgtype:VSAN	vlan_id:1						EPHEMERAL
nic_profile:TWO_HIGH_SPEED	pgbindingtype:STATIC_BINDING	pgtype:VMOTION	vlan_id:1						EPHEMERAL</t>
  </si>
  <si>
    <t>starter.7.0.010.json
createver:20210831
modver:20210831
version:7.0.010
Type:STANDARD	NTP Servers:	internal_dns:true	DNS Servers:	Syslog Servers:	top level domain:tld.com	clus mgmt netmask:255.255.255.0	clus mgmt gw:192.168.0.1	vsan netmask:255.255.255.0	vmotion netmask:255.255.255.0			vxrm hostname:vxrm-host	vxrm ip:192.168.0.35	root:root	service:mystic		customer_supplied_vc:false	vxrail_supplied_vc_ip:192.168.0.32	vxrail_supplied_vc_name:vcenter	root:root	admin:administrator@vsphere.local	mgmt:vcuser												sfs declared:TRUE
host:esxi-01	root:root	mgmt:esximgmtuser	rack:				MGMT IP:192.168.0.20	VSAN IP:192.168.0.99	VMOTION IP:192.168.0.49	
host:esxi-02	root:root	mgmt:esximgmtuser	rack:				MGMT IP:192.168.0.21	VSAN IP:192.168.0.100	VMOTION IP:192.168.0.50	
host:esxi-03	root:root	mgmt:esximgmtuser	rack:				MGMT IP:192.168.0.22	VSAN IP:192.168.0.101	VMOTION IP:192.168.0.51	
host:esxi-04	root:root	mgmt:esximgmtuser	rack:				MGMT IP:192.168.0.23	VSAN IP:192.168.0.102	VMOTION IP:192.168.0.52	
host:esxi-05	root:root	mgmt:esximgmtuser	rack:				MGMT IP:192.168.0.24	VSAN IP:192.168.0.103	VMOTION IP:192.168.0.53	
host:esxi-06	root:root	mgmt:esximgmtuser	rack:				MGMT IP:192.168.0.25	VSAN IP:192.168.0.104	VMOTION IP:192.168.0.54	
nic_profile:FOUR_HIGH_SPEED		pgtype:MANAGEMENT	vlan_id:0						EPHEMERAL
nic_profile:FOUR_HIGH_SPEED		pgtype:VSAN	vlan_id:1						EPHEMERAL
nic_profile:FOUR_HIGH_SPEED		pgtype:VMOTION	vlan_id:0						EPHEMERAL
nic_profile:FOUR_HIGH_SPEED		pgtype:CUSTOMERVM	vlan_id:0	pgname:vmguests					EPHEMERAL</t>
  </si>
  <si>
    <t>starter7.0.100-1.json
createver:20210831
modver:20210831
version:7.0.100
Type:STANDARD	NTP Servers:	internal_dns:true	DNS Servers:	Syslog Servers:	top level domain:tld.com	clus mgmt netmask:255.255.255.0	clus mgmt gw:192.168.0.1	vsan netmask:255.255.255.0	vmotion netmask:255.255.255.0			vxrm hostname:vxrmhost	vxrm ip:192.168.0.10	root:root	service:mystic		customer_supplied_vc:false	vxrail_supplied_vc_ip:192.168.0.100	vxrail_supplied_vc_name:vchost	root:root	admin:administrator@vsphere.local	mgmt:vcmgmt												sfs declared:TRUE
host:esx-01	root:root	mgmt:esxmgmt	rack:		psnt:		MGMT IP:192.168.0.150	VSAN IP:192.168.0.50	VMOTION IP:192.168.0.60	
host:esx-02	root:root	mgmt:esxmgmt	rack:		psnt:		MGMT IP:192.168.0.151	VSAN IP:192.168.0.51	VMOTION IP:192.168.0.61	
host:esx-03	root:root	mgmt:esxmgmt	rack:		psnt:		MGMT IP:192.168.0.152	VSAN IP:192.168.0.52	VMOTION IP:192.168.0.62	
nic_profile:TWO_HIGH_SPEED		pgtype:MANAGEMENT	vlan_id:1						EPHEMERAL
nic_profile:TWO_HIGH_SPEED		pgtype:VSAN	vlan_id:2						EPHEMERAL
nic_profile:TWO_HIGH_SPEED		pgtype:VMOTION	vlan_id:3						EPHEMERAL</t>
  </si>
  <si>
    <t>create</t>
  </si>
  <si>
    <t>mod</t>
  </si>
  <si>
    <t>20210713</t>
  </si>
  <si>
    <t>20210831</t>
  </si>
  <si>
    <t>20210712</t>
  </si>
  <si>
    <t>20210720</t>
  </si>
  <si>
    <t>20210719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</si>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</sst>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4" borderId="0" xfId="3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0" fillId="7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6" fillId="4" borderId="0" xfId="3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3" borderId="10" xfId="2" applyFont="1" applyBorder="1" applyAlignment="1">
      <alignment horizontal="left"/>
    </xf>
    <xf numFmtId="0" fontId="1" fillId="3" borderId="11" xfId="2" applyFont="1" applyBorder="1" applyAlignment="1">
      <alignment horizontal="left"/>
    </xf>
    <xf numFmtId="0" fontId="1" fillId="5" borderId="10" xfId="4" applyFont="1" applyBorder="1" applyAlignment="1">
      <alignment horizontal="left"/>
    </xf>
    <xf numFmtId="0" fontId="1" fillId="5" borderId="11" xfId="4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 applyAlignment="1">
      <alignment shrinkToFit="1"/>
    </xf>
    <xf numFmtId="14" fontId="0" fillId="0" borderId="0" xfId="0" applyNumberFormat="1"/>
  </cellXfs>
  <cellStyles count="5">
    <cellStyle name="20% - Accent3" xfId="3" builtinId="38"/>
    <cellStyle name="Accent1" xfId="1" builtinId="29"/>
    <cellStyle name="Accent3" xfId="2" builtinId="37"/>
    <cellStyle name="Accent6" xfId="4" builtinId="49"/>
    <cellStyle name="Normal" xfId="0" builtinId="0"/>
  </cellStyles>
  <dxfs count="40"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11.emf"/><Relationship Id="rId11" Type="http://schemas.openxmlformats.org/officeDocument/2006/relationships/image" Target="../media/image5.emf"/><Relationship Id="rId5" Type="http://schemas.openxmlformats.org/officeDocument/2006/relationships/image" Target="../media/image10.emf"/><Relationship Id="rId10" Type="http://schemas.openxmlformats.org/officeDocument/2006/relationships/image" Target="../media/image2.emf"/><Relationship Id="rId4" Type="http://schemas.openxmlformats.org/officeDocument/2006/relationships/image" Target="../media/image9.emf"/><Relationship Id="rId9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171450</xdr:rowOff>
        </xdr:from>
        <xdr:to>
          <xdr:col>2</xdr:col>
          <xdr:colOff>1714500</xdr:colOff>
          <xdr:row>2</xdr:row>
          <xdr:rowOff>95250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34</xdr:row>
          <xdr:rowOff>142875</xdr:rowOff>
        </xdr:from>
        <xdr:to>
          <xdr:col>3</xdr:col>
          <xdr:colOff>0</xdr:colOff>
          <xdr:row>36</xdr:row>
          <xdr:rowOff>57150</xdr:rowOff>
        </xdr:to>
        <xdr:sp macro="" textlink="">
          <xdr:nvSpPr>
            <xdr:cNvPr id="1044" name="TextBox2" descr="Keyword search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3B2877E-1861-4872-9DC5-841A53D4B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34</xdr:row>
          <xdr:rowOff>152400</xdr:rowOff>
        </xdr:from>
        <xdr:to>
          <xdr:col>2</xdr:col>
          <xdr:colOff>19050</xdr:colOff>
          <xdr:row>36</xdr:row>
          <xdr:rowOff>38100</xdr:rowOff>
        </xdr:to>
        <xdr:sp macro="" textlink="">
          <xdr:nvSpPr>
            <xdr:cNvPr id="1045" name="ComboBox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611C3F8-74C9-4CB1-90DF-66926AD2D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5</xdr:col>
          <xdr:colOff>1866900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8</xdr:col>
          <xdr:colOff>1876425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152400</xdr:rowOff>
        </xdr:from>
        <xdr:to>
          <xdr:col>11</xdr:col>
          <xdr:colOff>1876425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0</xdr:row>
      <xdr:rowOff>0</xdr:rowOff>
    </xdr:from>
    <xdr:to>
      <xdr:col>1</xdr:col>
      <xdr:colOff>108585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19050</xdr:rowOff>
        </xdr:from>
        <xdr:to>
          <xdr:col>6</xdr:col>
          <xdr:colOff>9525</xdr:colOff>
          <xdr:row>57</xdr:row>
          <xdr:rowOff>19050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59</xdr:row>
          <xdr:rowOff>19050</xdr:rowOff>
        </xdr:from>
        <xdr:to>
          <xdr:col>6</xdr:col>
          <xdr:colOff>19050</xdr:colOff>
          <xdr:row>70</xdr:row>
          <xdr:rowOff>28575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19050</xdr:rowOff>
        </xdr:from>
        <xdr:to>
          <xdr:col>9</xdr:col>
          <xdr:colOff>9525</xdr:colOff>
          <xdr:row>70</xdr:row>
          <xdr:rowOff>28575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59</xdr:row>
          <xdr:rowOff>19050</xdr:rowOff>
        </xdr:from>
        <xdr:to>
          <xdr:col>12</xdr:col>
          <xdr:colOff>19050</xdr:colOff>
          <xdr:row>70</xdr:row>
          <xdr:rowOff>28575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19050</xdr:rowOff>
        </xdr:from>
        <xdr:to>
          <xdr:col>9</xdr:col>
          <xdr:colOff>9525</xdr:colOff>
          <xdr:row>57</xdr:row>
          <xdr:rowOff>28575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46</xdr:row>
          <xdr:rowOff>19050</xdr:rowOff>
        </xdr:from>
        <xdr:to>
          <xdr:col>12</xdr:col>
          <xdr:colOff>19050</xdr:colOff>
          <xdr:row>57</xdr:row>
          <xdr:rowOff>28575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2257425</xdr:colOff>
          <xdr:row>0</xdr:row>
          <xdr:rowOff>161924</xdr:rowOff>
        </xdr:from>
        <xdr:to>
          <xdr:col>3</xdr:col>
          <xdr:colOff>38100</xdr:colOff>
          <xdr:row>2</xdr:row>
          <xdr:rowOff>76199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171451</xdr:rowOff>
        </xdr:from>
        <xdr:to>
          <xdr:col>2</xdr:col>
          <xdr:colOff>2162175</xdr:colOff>
          <xdr:row>2</xdr:row>
          <xdr:rowOff>57151</xdr:rowOff>
        </xdr:to>
        <xdr:sp macro="" textlink="">
          <xdr:nvSpPr>
            <xdr:cNvPr id="9229" name="ComboBox4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Value" tableColumnId="2"/>
      <queryTableField id="3" name="create" tableColumnId="3"/>
      <queryTableField id="4" name="mod" tableColumnId="4"/>
      <queryTableField id="5" name="CreateVer" tableColumnId="5"/>
      <queryTableField id="6" name="ModVe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  <queryTableField id="13" name="Custom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11">
    <queryTableFields count="6">
      <queryTableField id="3" name="create" tableColumnId="3"/>
      <queryTableField id="4" name="mod" tableColumnId="4"/>
      <queryTableField id="5" name="CreateVer" tableColumnId="5"/>
      <queryTableField id="6" name="ModVer" tableColumnId="6"/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6">
    <queryTableFields count="3">
      <queryTableField id="1" name="Source.Name" tableColumnId="1"/>
      <queryTableField id="4" name="Host Quickvi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8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28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27"/>
    <tableColumn id="2" xr3:uid="{B9AD241B-4A7E-4E8C-8E10-5653566450F1}" uniqueName="2" name="cluster_type" queryTableFieldId="2"/>
    <tableColumn id="3" xr3:uid="{45AE1F46-CE24-4D33-93EA-8B59EB672311}" uniqueName="3" name="ntp_servers" queryTableFieldId="3" dataDxfId="26"/>
    <tableColumn id="4" xr3:uid="{B0438563-365C-431D-B2AC-676EEE16AA8F}" uniqueName="4" name="is_internal_dns" queryTableFieldId="4"/>
    <tableColumn id="5" xr3:uid="{3D3DDD21-AA9E-4A05-A7BB-6110D7928C31}" uniqueName="5" name="dns_servers" queryTableFieldId="5" dataDxfId="25"/>
    <tableColumn id="6" xr3:uid="{2CEBB835-1445-4642-B60F-4EEEB0829A9C}" uniqueName="6" name="syslog_servers" queryTableFieldId="6" dataDxfId="24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H9" tableType="queryTable" totalsRowShown="0">
  <autoFilter ref="A1:H9" xr:uid="{A4D3EDEE-1C93-4569-AA5E-372CD75570C6}"/>
  <tableColumns count="8">
    <tableColumn id="1" xr3:uid="{46A81E0B-E755-481E-AF32-CCAE89DD0C88}" uniqueName="1" name="Name" queryTableFieldId="1" dataDxfId="20"/>
    <tableColumn id="2" xr3:uid="{DEE8C1D0-5E02-49B9-8033-FAA7A85C454C}" uniqueName="2" name="Extension" queryTableFieldId="2" dataDxfId="19"/>
    <tableColumn id="3" xr3:uid="{2576DAE5-EE2D-49A1-9F1E-7AABE40016E1}" uniqueName="3" name="Date accessed" queryTableFieldId="3" dataDxfId="18"/>
    <tableColumn id="4" xr3:uid="{581A13CC-B8BA-4F2B-9584-6AAC82232F2B}" uniqueName="4" name="Date modified" queryTableFieldId="4" dataDxfId="17"/>
    <tableColumn id="5" xr3:uid="{CD85DBBA-A383-48EB-BE16-8264AF92736D}" uniqueName="5" name="Date created" queryTableFieldId="5" dataDxfId="16"/>
    <tableColumn id="6" xr3:uid="{4883EA12-8DD5-4C17-BAFD-E69CEF2735AB}" uniqueName="6" name="Folder Path" queryTableFieldId="6" dataDxfId="15"/>
    <tableColumn id="7" xr3:uid="{804DC829-CFC5-46D7-803B-6AD0D44283BB}" uniqueName="7" name="CreatVer" queryTableFieldId="7" dataDxfId="14">
      <calculatedColumnFormula>TEXT(Source[[#This Row],[Date created]],"YYMMDD")</calculatedColumnFormula>
    </tableColumn>
    <tableColumn id="8" xr3:uid="{43F43A07-0677-4195-A752-C1C05A67786B}" uniqueName="8" name="ModVer" queryTableFieldId="8" dataDxfId="13">
      <calculatedColumnFormula>TEXT(Source[[#This Row],[Date modified]],"YYMMDD")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J1:O9" tableType="queryTable" totalsRowShown="0">
  <autoFilter ref="J1:O9" xr:uid="{B120C6D0-14E3-4A39-994D-149ABDC94688}"/>
  <tableColumns count="6">
    <tableColumn id="1" xr3:uid="{C003D099-29A2-48B7-8DCA-92642423D5CB}" uniqueName="1" name="Source.Name" queryTableFieldId="1" dataDxfId="23"/>
    <tableColumn id="2" xr3:uid="{B3E8BE60-AA07-4A2A-9211-156742059753}" uniqueName="2" name="Value" queryTableFieldId="2"/>
    <tableColumn id="3" xr3:uid="{8B653149-8586-4CBD-B1C5-F630372FAD35}" uniqueName="3" name="create" queryTableFieldId="3" dataDxfId="22"/>
    <tableColumn id="4" xr3:uid="{D9665DC5-E401-4C1C-B802-ECBC7D692E38}" uniqueName="4" name="mod" queryTableFieldId="4" dataDxfId="21"/>
    <tableColumn id="5" xr3:uid="{81537E38-1FA4-42B8-96E1-658366044C5B}" uniqueName="5" name="CreateVer" queryTableFieldId="5"/>
    <tableColumn id="6" xr3:uid="{F63950D0-C116-41B5-AFCD-BBB7EDA55687}" uniqueName="6" name="ModVer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12"/>
    <tableColumn id="2" xr3:uid="{EC0B5BC1-3D91-44BE-804E-000EE0BCD016}" uniqueName="2" name="Source.Name" queryTableFieldId="2" dataDxfId="11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M54" tableType="queryTable" totalsRowShown="0">
  <autoFilter ref="A1:M54" xr:uid="{4DFF1324-DFE5-4D60-A8E9-EA8214B4AB5F}"/>
  <tableColumns count="13">
    <tableColumn id="1" xr3:uid="{BA90C779-B834-4DFA-8817-F66DF32B0E79}" uniqueName="1" name="Source.Name" queryTableFieldId="1" dataDxfId="10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9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8"/>
    <tableColumn id="13" xr3:uid="{2F60492F-743B-4391-98B5-AECA4BCA2104}" uniqueName="13" name="Custom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dashdetail" displayName="dashdetail" ref="B4:C34" totalsRowShown="0">
  <autoFilter ref="B4:C34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39"/>
    <tableColumn id="2" xr3:uid="{693DE1F8-788A-44A2-9F23-0F74F6494AB8}" name="Value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W5" tableType="queryTable" insertRow="1" totalsRowShown="0">
  <autoFilter ref="R4:W5" xr:uid="{46FFBED7-34A1-488D-A9A3-853A2A118D73}"/>
  <tableColumns count="6">
    <tableColumn id="3" xr3:uid="{6F14CEE9-BD07-4252-8074-1693BB800A98}" uniqueName="3" name="create" queryTableFieldId="3" dataDxfId="7"/>
    <tableColumn id="4" xr3:uid="{CCC28F70-24FB-4EAC-B000-57AC760522AF}" uniqueName="4" name="mod" queryTableFieldId="4" dataDxfId="6"/>
    <tableColumn id="5" xr3:uid="{32F3ADEB-6F84-46BB-8AF7-243E14A628E5}" uniqueName="5" name="CreateVer" queryTableFieldId="5"/>
    <tableColumn id="6" xr3:uid="{F9268A84-1B3B-4216-B787-3A407EA93B53}" uniqueName="6" name="ModVer" queryTableFieldId="6"/>
    <tableColumn id="1" xr3:uid="{AD309283-E1A2-4469-9B7B-9E34E511CC7B}" uniqueName="1" name="Unsupported files" queryTableFieldId="1" dataDxfId="5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4"/>
    <tableColumn id="2" xr3:uid="{618F2D41-AE38-4F3A-8D10-6668E3F06415}" uniqueName="2" name="Host Quickview" queryTableFieldId="4" dataDxfId="3"/>
    <tableColumn id="3" xr3:uid="{431E6D0B-1F60-418D-8B69-03E4394816C9}" uniqueName="3" name="VLAN Quickview" queryTableFieldId="3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1"/>
    <tableColumn id="2" xr3:uid="{2D734794-24BE-4E55-A89E-D942FE676967}" uniqueName="2" name="Global Search" queryTableFieldId="2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compare1" displayName="compare1" ref="E4:F44" totalsRowShown="0" dataDxfId="37">
  <autoFilter ref="E4:F44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36"/>
    <tableColumn id="2" xr3:uid="{801C6A41-975C-433A-A507-9AC4FCEAB9BB}" name="Value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compare2" displayName="compare2" ref="H4:I44" totalsRowShown="0" dataDxfId="34">
  <autoFilter ref="H4:I44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33"/>
    <tableColumn id="2" xr3:uid="{4AD50311-411C-4036-A634-C96A84BD7430}" name="Value" dataDxfId="32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compare3" displayName="compare3" ref="K4:L44" totalsRowShown="0" dataDxfId="31">
  <autoFilter ref="K4:L44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30"/>
    <tableColumn id="2" xr3:uid="{E1BE69C7-7946-424D-86E1-341293668CDB}" name="Value" dataDxfId="2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1BE44A-3ED1-4A7E-AEB5-E3E63F1ABC3C}" name="KeywordList" displayName="KeywordList" ref="A1:E59" totalsRowShown="0">
  <autoFilter ref="A1:E59" xr:uid="{A21BE44A-3ED1-4A7E-AEB5-E3E63F1ABC3C}"/>
  <tableColumns count="5">
    <tableColumn id="1" xr3:uid="{74B792AF-C588-4E55-81B2-055A04C78216}" name="Keyword"/>
    <tableColumn id="2" xr3:uid="{3CB0D898-1DB3-46DE-82D1-C09F3A49611C}" name="Display"/>
    <tableColumn id="3" xr3:uid="{58F12ACC-1E0F-442E-AE34-9B42D665E891}" name="Search example"/>
    <tableColumn id="4" xr3:uid="{1B203B8B-1A0E-4524-897D-F7A1337318D3}" name="Category"/>
    <tableColumn id="5" xr3:uid="{978355B9-995E-482F-85A7-E29E01967B7A}" name="Search prefix">
      <calculatedColumnFormula>IF(LEFT(KeywordList[[#This Row],[Keyword]],1)="-","",KeywordList[[#This Row],[Keyword]]&amp;":")</calculatedColumn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11" Type="http://schemas.openxmlformats.org/officeDocument/2006/relationships/table" Target="../tables/table8.xml"/><Relationship Id="rId5" Type="http://schemas.openxmlformats.org/officeDocument/2006/relationships/image" Target="../media/image1.emf"/><Relationship Id="rId10" Type="http://schemas.openxmlformats.org/officeDocument/2006/relationships/table" Target="../tables/table7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9.emf"/><Relationship Id="rId18" Type="http://schemas.openxmlformats.org/officeDocument/2006/relationships/control" Target="../activeX/activeX11.xml"/><Relationship Id="rId26" Type="http://schemas.openxmlformats.org/officeDocument/2006/relationships/table" Target="../tables/table11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3.emf"/><Relationship Id="rId7" Type="http://schemas.openxmlformats.org/officeDocument/2006/relationships/image" Target="../media/image6.emf"/><Relationship Id="rId12" Type="http://schemas.openxmlformats.org/officeDocument/2006/relationships/control" Target="../activeX/activeX8.xml"/><Relationship Id="rId17" Type="http://schemas.openxmlformats.org/officeDocument/2006/relationships/image" Target="../media/image11.emf"/><Relationship Id="rId25" Type="http://schemas.openxmlformats.org/officeDocument/2006/relationships/image" Target="../media/image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2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5.xml"/><Relationship Id="rId11" Type="http://schemas.openxmlformats.org/officeDocument/2006/relationships/image" Target="../media/image8.emf"/><Relationship Id="rId24" Type="http://schemas.openxmlformats.org/officeDocument/2006/relationships/control" Target="../activeX/activeX14.xml"/><Relationship Id="rId5" Type="http://schemas.openxmlformats.org/officeDocument/2006/relationships/image" Target="../media/image5.emf"/><Relationship Id="rId15" Type="http://schemas.openxmlformats.org/officeDocument/2006/relationships/image" Target="../media/image10.emf"/><Relationship Id="rId23" Type="http://schemas.openxmlformats.org/officeDocument/2006/relationships/image" Target="../media/image14.emf"/><Relationship Id="rId28" Type="http://schemas.openxmlformats.org/officeDocument/2006/relationships/table" Target="../tables/table13.xml"/><Relationship Id="rId10" Type="http://schemas.openxmlformats.org/officeDocument/2006/relationships/control" Target="../activeX/activeX7.xml"/><Relationship Id="rId19" Type="http://schemas.openxmlformats.org/officeDocument/2006/relationships/image" Target="../media/image12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3.xml"/><Relationship Id="rId27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369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370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371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372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369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370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371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372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O9"/>
  <sheetViews>
    <sheetView workbookViewId="0">
      <selection sqref="A1:F7"/>
    </sheetView>
  </sheetViews>
  <sheetFormatPr defaultRowHeight="15" x14ac:dyDescent="0.25"/>
  <cols>
    <col min="1" max="1" width="26.425781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7" max="7" width="11.140625" bestFit="1" customWidth="1"/>
    <col min="8" max="8" width="10.5703125" bestFit="1" customWidth="1"/>
    <col min="10" max="10" width="26.42578125" bestFit="1" customWidth="1"/>
    <col min="11" max="11" width="8.42578125" bestFit="1" customWidth="1"/>
    <col min="12" max="13" width="9.85546875" bestFit="1" customWidth="1"/>
    <col min="14" max="14" width="12.28515625" bestFit="1" customWidth="1"/>
    <col min="15" max="15" width="10.5703125" bestFit="1" customWidth="1"/>
    <col min="16" max="16" width="15.85546875" bestFit="1" customWidth="1"/>
    <col min="17" max="17" width="16.140625" bestFit="1" customWidth="1"/>
    <col min="18" max="18" width="15" bestFit="1" customWidth="1"/>
    <col min="19" max="19" width="20.28515625" bestFit="1" customWidth="1"/>
  </cols>
  <sheetData>
    <row r="1" spans="1:15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510</v>
      </c>
      <c r="H1" t="s">
        <v>511</v>
      </c>
      <c r="J1" t="s">
        <v>0</v>
      </c>
      <c r="K1" t="s">
        <v>2</v>
      </c>
      <c r="L1" t="s">
        <v>521</v>
      </c>
      <c r="M1" t="s">
        <v>522</v>
      </c>
      <c r="N1" t="s">
        <v>512</v>
      </c>
      <c r="O1" t="s">
        <v>511</v>
      </c>
    </row>
    <row r="2" spans="1:15" x14ac:dyDescent="0.25">
      <c r="A2" s="1" t="s">
        <v>5</v>
      </c>
      <c r="B2" s="1" t="s">
        <v>14</v>
      </c>
      <c r="C2" s="2">
        <v>44440.390407407409</v>
      </c>
      <c r="D2" s="2">
        <v>44439.935448819444</v>
      </c>
      <c r="E2" s="2">
        <v>44390.443194444444</v>
      </c>
      <c r="F2" s="1" t="s">
        <v>15</v>
      </c>
      <c r="G2" s="2" t="str">
        <f>TEXT(Source[[#This Row],[Date created]],"YYMMDD")</f>
        <v>210713</v>
      </c>
      <c r="H2" s="2" t="str">
        <f>TEXT(Source[[#This Row],[Date modified]],"YYMMDD")</f>
        <v>210831</v>
      </c>
      <c r="J2" s="1" t="s">
        <v>5</v>
      </c>
      <c r="K2" t="s">
        <v>4</v>
      </c>
      <c r="L2" s="44">
        <v>44390</v>
      </c>
      <c r="M2" s="44">
        <v>44439</v>
      </c>
      <c r="N2" t="s">
        <v>523</v>
      </c>
      <c r="O2" t="s">
        <v>524</v>
      </c>
    </row>
    <row r="3" spans="1:15" x14ac:dyDescent="0.25">
      <c r="A3" s="1" t="s">
        <v>369</v>
      </c>
      <c r="B3" s="1" t="s">
        <v>14</v>
      </c>
      <c r="C3" s="2">
        <v>44440.390415381946</v>
      </c>
      <c r="D3" s="2">
        <v>44439.935449178243</v>
      </c>
      <c r="E3" s="2">
        <v>44389.609629629631</v>
      </c>
      <c r="F3" s="1" t="s">
        <v>15</v>
      </c>
      <c r="G3" s="2" t="str">
        <f>TEXT(Source[[#This Row],[Date created]],"YYMMDD")</f>
        <v>210712</v>
      </c>
      <c r="H3" s="2" t="str">
        <f>TEXT(Source[[#This Row],[Date modified]],"YYMMDD")</f>
        <v>210831</v>
      </c>
      <c r="J3" s="1" t="s">
        <v>369</v>
      </c>
      <c r="K3" t="s">
        <v>233</v>
      </c>
      <c r="L3" s="44">
        <v>44389</v>
      </c>
      <c r="M3" s="44">
        <v>44439</v>
      </c>
      <c r="N3" t="s">
        <v>525</v>
      </c>
      <c r="O3" t="s">
        <v>524</v>
      </c>
    </row>
    <row r="4" spans="1:15" x14ac:dyDescent="0.25">
      <c r="A4" s="1" t="s">
        <v>6</v>
      </c>
      <c r="B4" s="1" t="s">
        <v>14</v>
      </c>
      <c r="C4" s="2">
        <v>44440.390415381946</v>
      </c>
      <c r="D4" s="2">
        <v>44439.935449363424</v>
      </c>
      <c r="E4" s="2">
        <v>44397.245879629627</v>
      </c>
      <c r="F4" s="1" t="s">
        <v>15</v>
      </c>
      <c r="G4" s="2" t="str">
        <f>TEXT(Source[[#This Row],[Date created]],"YYMMDD")</f>
        <v>210720</v>
      </c>
      <c r="H4" s="2" t="str">
        <f>TEXT(Source[[#This Row],[Date modified]],"YYMMDD")</f>
        <v>210831</v>
      </c>
      <c r="J4" s="1" t="s">
        <v>6</v>
      </c>
      <c r="K4" t="s">
        <v>3</v>
      </c>
      <c r="L4" s="44">
        <v>44397</v>
      </c>
      <c r="M4" s="44">
        <v>44439</v>
      </c>
      <c r="N4" t="s">
        <v>526</v>
      </c>
      <c r="O4" t="s">
        <v>524</v>
      </c>
    </row>
    <row r="5" spans="1:15" x14ac:dyDescent="0.25">
      <c r="A5" s="1" t="s">
        <v>370</v>
      </c>
      <c r="B5" s="1" t="s">
        <v>14</v>
      </c>
      <c r="C5" s="2">
        <v>44440.390415381946</v>
      </c>
      <c r="D5" s="2">
        <v>44439.935449942132</v>
      </c>
      <c r="E5" s="2">
        <v>44439.268263888887</v>
      </c>
      <c r="F5" s="1" t="s">
        <v>15</v>
      </c>
      <c r="G5" s="2" t="str">
        <f>TEXT(Source[[#This Row],[Date created]],"YYMMDD")</f>
        <v>210831</v>
      </c>
      <c r="H5" s="2" t="str">
        <f>TEXT(Source[[#This Row],[Date modified]],"YYMMDD")</f>
        <v>210831</v>
      </c>
      <c r="J5" s="1" t="s">
        <v>370</v>
      </c>
      <c r="K5" t="s">
        <v>259</v>
      </c>
      <c r="L5" s="44">
        <v>44439</v>
      </c>
      <c r="M5" s="44">
        <v>44439</v>
      </c>
      <c r="N5" t="s">
        <v>524</v>
      </c>
      <c r="O5" t="s">
        <v>524</v>
      </c>
    </row>
    <row r="6" spans="1:15" x14ac:dyDescent="0.25">
      <c r="A6" s="1" t="s">
        <v>7</v>
      </c>
      <c r="B6" s="1" t="s">
        <v>14</v>
      </c>
      <c r="C6" s="2">
        <v>44440.390415381946</v>
      </c>
      <c r="D6" s="2">
        <v>44439.935450173609</v>
      </c>
      <c r="E6" s="2">
        <v>44396.703611111108</v>
      </c>
      <c r="F6" s="1" t="s">
        <v>15</v>
      </c>
      <c r="G6" s="2" t="str">
        <f>TEXT(Source[[#This Row],[Date created]],"YYMMDD")</f>
        <v>210719</v>
      </c>
      <c r="H6" s="2" t="str">
        <f>TEXT(Source[[#This Row],[Date modified]],"YYMMDD")</f>
        <v>210831</v>
      </c>
      <c r="J6" s="1" t="s">
        <v>7</v>
      </c>
      <c r="K6" t="s">
        <v>8</v>
      </c>
      <c r="L6" s="44">
        <v>44396</v>
      </c>
      <c r="M6" s="44">
        <v>44439</v>
      </c>
      <c r="N6" t="s">
        <v>527</v>
      </c>
      <c r="O6" t="s">
        <v>524</v>
      </c>
    </row>
    <row r="7" spans="1:15" x14ac:dyDescent="0.25">
      <c r="A7" s="1" t="s">
        <v>371</v>
      </c>
      <c r="B7" s="1" t="s">
        <v>14</v>
      </c>
      <c r="C7" s="2">
        <v>44440.390415381946</v>
      </c>
      <c r="D7" s="2">
        <v>44439.935450405093</v>
      </c>
      <c r="E7" s="2">
        <v>44439.399189814816</v>
      </c>
      <c r="F7" s="1" t="s">
        <v>15</v>
      </c>
      <c r="G7" s="2" t="str">
        <f>TEXT(Source[[#This Row],[Date created]],"YYMMDD")</f>
        <v>210831</v>
      </c>
      <c r="H7" s="2" t="str">
        <f>TEXT(Source[[#This Row],[Date modified]],"YYMMDD")</f>
        <v>210831</v>
      </c>
      <c r="J7" s="1" t="s">
        <v>371</v>
      </c>
      <c r="K7" t="s">
        <v>8</v>
      </c>
      <c r="L7" s="44">
        <v>44439</v>
      </c>
      <c r="M7" s="44">
        <v>44439</v>
      </c>
      <c r="N7" t="s">
        <v>524</v>
      </c>
      <c r="O7" t="s">
        <v>524</v>
      </c>
    </row>
    <row r="8" spans="1:15" x14ac:dyDescent="0.25">
      <c r="A8" s="1" t="s">
        <v>260</v>
      </c>
      <c r="B8" s="1" t="s">
        <v>14</v>
      </c>
      <c r="C8" s="2">
        <v>44440.390415381946</v>
      </c>
      <c r="D8" s="2">
        <v>44439.935448506942</v>
      </c>
      <c r="E8" s="2">
        <v>44439.264768518522</v>
      </c>
      <c r="F8" s="1" t="s">
        <v>15</v>
      </c>
      <c r="G8" s="2" t="str">
        <f>TEXT(Source[[#This Row],[Date created]],"YYMMDD")</f>
        <v>210831</v>
      </c>
      <c r="H8" s="2" t="str">
        <f>TEXT(Source[[#This Row],[Date modified]],"YYMMDD")</f>
        <v>210831</v>
      </c>
      <c r="J8" s="1" t="s">
        <v>260</v>
      </c>
      <c r="K8" t="s">
        <v>258</v>
      </c>
      <c r="L8" s="44">
        <v>44439</v>
      </c>
      <c r="M8" s="44">
        <v>44439</v>
      </c>
      <c r="N8" t="s">
        <v>524</v>
      </c>
      <c r="O8" t="s">
        <v>524</v>
      </c>
    </row>
    <row r="9" spans="1:15" x14ac:dyDescent="0.25">
      <c r="A9" s="1" t="s">
        <v>372</v>
      </c>
      <c r="B9" s="1" t="s">
        <v>14</v>
      </c>
      <c r="C9" s="2">
        <v>44440.390415381946</v>
      </c>
      <c r="D9" s="2">
        <v>44439.935449548611</v>
      </c>
      <c r="E9" s="2">
        <v>44439.417407407411</v>
      </c>
      <c r="F9" s="1" t="s">
        <v>15</v>
      </c>
      <c r="G9" s="2" t="str">
        <f>TEXT(Source[[#This Row],[Date created]],"YYMMDD")</f>
        <v>210831</v>
      </c>
      <c r="H9" s="2" t="str">
        <f>TEXT(Source[[#This Row],[Date modified]],"YYMMDD")</f>
        <v>210831</v>
      </c>
      <c r="J9" s="1" t="s">
        <v>372</v>
      </c>
      <c r="K9" t="s">
        <v>259</v>
      </c>
      <c r="L9" s="44">
        <v>44439</v>
      </c>
      <c r="M9" s="44">
        <v>44439</v>
      </c>
      <c r="N9" t="s">
        <v>524</v>
      </c>
      <c r="O9" t="s">
        <v>524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373</v>
      </c>
      <c r="B4" s="1" t="s">
        <v>369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374</v>
      </c>
      <c r="B5" s="1" t="s">
        <v>369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375</v>
      </c>
      <c r="B12" s="1" t="s">
        <v>370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376</v>
      </c>
      <c r="B13" s="1" t="s">
        <v>370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377</v>
      </c>
      <c r="B14" s="1" t="s">
        <v>370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378</v>
      </c>
      <c r="B18" s="1" t="s">
        <v>371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379</v>
      </c>
      <c r="B19" s="1" t="s">
        <v>371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380</v>
      </c>
      <c r="B20" s="1" t="s">
        <v>371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381</v>
      </c>
      <c r="B27" s="1" t="s">
        <v>372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382</v>
      </c>
      <c r="B28" s="1" t="s">
        <v>372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383</v>
      </c>
      <c r="B29" s="1" t="s">
        <v>372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M54"/>
  <sheetViews>
    <sheetView topLeftCell="C37" workbookViewId="0">
      <selection activeCell="H4" sqref="H4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  <col min="13" max="13" width="14.85546875" bestFit="1" customWidth="1"/>
  </cols>
  <sheetData>
    <row r="1" spans="1:13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  <c r="M1" t="s">
        <v>401</v>
      </c>
    </row>
    <row r="2" spans="1:13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/>
      <c r="H2" t="s">
        <v>41</v>
      </c>
      <c r="I2" t="s">
        <v>32</v>
      </c>
      <c r="J2" t="s">
        <v>42</v>
      </c>
      <c r="L2" s="1" t="s">
        <v>333</v>
      </c>
    </row>
    <row r="3" spans="1:13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/>
      <c r="H3" t="s">
        <v>41</v>
      </c>
      <c r="I3" t="s">
        <v>32</v>
      </c>
      <c r="J3" t="s">
        <v>42</v>
      </c>
      <c r="L3" s="1" t="s">
        <v>334</v>
      </c>
    </row>
    <row r="4" spans="1:13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/>
      <c r="H4" t="s">
        <v>41</v>
      </c>
      <c r="I4" t="s">
        <v>32</v>
      </c>
      <c r="J4" t="s">
        <v>42</v>
      </c>
      <c r="L4" s="1" t="s">
        <v>335</v>
      </c>
    </row>
    <row r="5" spans="1:13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/>
      <c r="H5" t="s">
        <v>43</v>
      </c>
      <c r="I5" t="s">
        <v>37</v>
      </c>
      <c r="J5" t="s">
        <v>42</v>
      </c>
      <c r="L5" s="1" t="s">
        <v>333</v>
      </c>
    </row>
    <row r="6" spans="1:13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/>
      <c r="H6" t="s">
        <v>43</v>
      </c>
      <c r="I6" t="s">
        <v>37</v>
      </c>
      <c r="J6" t="s">
        <v>42</v>
      </c>
      <c r="L6" s="1" t="s">
        <v>334</v>
      </c>
    </row>
    <row r="7" spans="1:13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/>
      <c r="H7" t="s">
        <v>43</v>
      </c>
      <c r="I7" t="s">
        <v>37</v>
      </c>
      <c r="J7" t="s">
        <v>42</v>
      </c>
      <c r="L7" s="1" t="s">
        <v>335</v>
      </c>
    </row>
    <row r="8" spans="1:13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/>
      <c r="H8" t="s">
        <v>47</v>
      </c>
      <c r="I8" t="s">
        <v>38</v>
      </c>
      <c r="J8" t="s">
        <v>48</v>
      </c>
      <c r="L8" s="1" t="s">
        <v>336</v>
      </c>
    </row>
    <row r="9" spans="1:13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/>
      <c r="H9" t="s">
        <v>47</v>
      </c>
      <c r="I9" t="s">
        <v>38</v>
      </c>
      <c r="J9" t="s">
        <v>48</v>
      </c>
      <c r="L9" s="1" t="s">
        <v>337</v>
      </c>
    </row>
    <row r="10" spans="1:13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/>
      <c r="H10" t="s">
        <v>47</v>
      </c>
      <c r="I10" t="s">
        <v>38</v>
      </c>
      <c r="J10" t="s">
        <v>48</v>
      </c>
      <c r="L10" s="1" t="s">
        <v>338</v>
      </c>
    </row>
    <row r="11" spans="1:13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/>
      <c r="H11" t="s">
        <v>49</v>
      </c>
      <c r="I11" t="s">
        <v>34</v>
      </c>
      <c r="J11" t="s">
        <v>48</v>
      </c>
      <c r="L11" s="1" t="s">
        <v>336</v>
      </c>
    </row>
    <row r="12" spans="1:13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/>
      <c r="H12" t="s">
        <v>49</v>
      </c>
      <c r="I12" t="s">
        <v>34</v>
      </c>
      <c r="J12" t="s">
        <v>48</v>
      </c>
      <c r="L12" s="1" t="s">
        <v>337</v>
      </c>
    </row>
    <row r="13" spans="1:13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/>
      <c r="H13" t="s">
        <v>49</v>
      </c>
      <c r="I13" t="s">
        <v>34</v>
      </c>
      <c r="J13" t="s">
        <v>48</v>
      </c>
      <c r="L13" s="1" t="s">
        <v>338</v>
      </c>
    </row>
    <row r="14" spans="1:13" x14ac:dyDescent="0.25">
      <c r="A14" s="1" t="s">
        <v>369</v>
      </c>
      <c r="B14" t="s">
        <v>234</v>
      </c>
      <c r="C14" t="s">
        <v>22</v>
      </c>
      <c r="D14" t="s">
        <v>23</v>
      </c>
      <c r="E14">
        <v>1</v>
      </c>
      <c r="G14" s="1"/>
      <c r="K14" t="s">
        <v>24</v>
      </c>
      <c r="L14" s="1" t="s">
        <v>384</v>
      </c>
    </row>
    <row r="15" spans="1:13" x14ac:dyDescent="0.25">
      <c r="A15" s="1" t="s">
        <v>369</v>
      </c>
      <c r="B15" t="s">
        <v>234</v>
      </c>
      <c r="C15" t="s">
        <v>22</v>
      </c>
      <c r="D15" t="s">
        <v>25</v>
      </c>
      <c r="E15">
        <v>2</v>
      </c>
      <c r="G15" s="1"/>
      <c r="K15" t="s">
        <v>24</v>
      </c>
      <c r="L15" s="1" t="s">
        <v>385</v>
      </c>
    </row>
    <row r="16" spans="1:13" x14ac:dyDescent="0.25">
      <c r="A16" s="1" t="s">
        <v>369</v>
      </c>
      <c r="B16" t="s">
        <v>234</v>
      </c>
      <c r="C16" t="s">
        <v>22</v>
      </c>
      <c r="D16" t="s">
        <v>26</v>
      </c>
      <c r="E16">
        <v>3</v>
      </c>
      <c r="G16" s="1"/>
      <c r="K16" t="s">
        <v>24</v>
      </c>
      <c r="L16" s="1" t="s">
        <v>386</v>
      </c>
    </row>
    <row r="17" spans="1:13" x14ac:dyDescent="0.25">
      <c r="A17" s="1" t="s">
        <v>369</v>
      </c>
      <c r="B17" t="s">
        <v>234</v>
      </c>
      <c r="C17" t="s">
        <v>22</v>
      </c>
      <c r="D17" t="s">
        <v>28</v>
      </c>
      <c r="E17">
        <v>6</v>
      </c>
      <c r="G17" s="1"/>
      <c r="K17" t="s">
        <v>24</v>
      </c>
      <c r="L17" s="1" t="s">
        <v>387</v>
      </c>
    </row>
    <row r="18" spans="1:13" x14ac:dyDescent="0.25">
      <c r="A18" s="1" t="s">
        <v>369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/>
      <c r="K18" t="s">
        <v>24</v>
      </c>
      <c r="L18" s="1" t="s">
        <v>388</v>
      </c>
    </row>
    <row r="19" spans="1:13" x14ac:dyDescent="0.25">
      <c r="A19" s="1" t="s">
        <v>369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/>
      <c r="K19" t="s">
        <v>24</v>
      </c>
      <c r="L19" s="1" t="s">
        <v>389</v>
      </c>
    </row>
    <row r="20" spans="1:13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  <c r="M20" t="s">
        <v>358</v>
      </c>
    </row>
    <row r="21" spans="1:13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  <c r="M21" t="s">
        <v>358</v>
      </c>
    </row>
    <row r="22" spans="1:13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  <c r="M22" t="s">
        <v>358</v>
      </c>
    </row>
    <row r="23" spans="1:13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  <c r="M23" t="s">
        <v>358</v>
      </c>
    </row>
    <row r="24" spans="1:13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  <c r="M24" t="s">
        <v>358</v>
      </c>
    </row>
    <row r="25" spans="1:13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  <c r="M25" t="s">
        <v>358</v>
      </c>
    </row>
    <row r="26" spans="1:13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  <c r="M26" t="s">
        <v>358</v>
      </c>
    </row>
    <row r="27" spans="1:13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  <c r="M27" t="s">
        <v>358</v>
      </c>
    </row>
    <row r="28" spans="1:13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  <c r="M28" t="s">
        <v>358</v>
      </c>
    </row>
    <row r="29" spans="1:13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  <c r="M29" t="s">
        <v>358</v>
      </c>
    </row>
    <row r="30" spans="1:13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  <c r="M30" t="s">
        <v>358</v>
      </c>
    </row>
    <row r="31" spans="1:13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  <c r="M31" t="s">
        <v>358</v>
      </c>
    </row>
    <row r="32" spans="1:13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  <c r="M32" t="s">
        <v>358</v>
      </c>
    </row>
    <row r="33" spans="1:13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  <c r="M33" t="s">
        <v>358</v>
      </c>
    </row>
    <row r="34" spans="1:13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  <c r="M34" t="s">
        <v>358</v>
      </c>
    </row>
    <row r="35" spans="1:13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  <c r="M35" t="s">
        <v>358</v>
      </c>
    </row>
    <row r="36" spans="1:13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  <c r="M36" t="s">
        <v>358</v>
      </c>
    </row>
    <row r="37" spans="1:13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  <c r="M37" t="s">
        <v>358</v>
      </c>
    </row>
    <row r="38" spans="1:13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357</v>
      </c>
      <c r="H38" t="s">
        <v>31</v>
      </c>
      <c r="I38" t="s">
        <v>52</v>
      </c>
      <c r="K38" t="s">
        <v>22</v>
      </c>
      <c r="L38" s="1" t="s">
        <v>348</v>
      </c>
      <c r="M38" t="s">
        <v>357</v>
      </c>
    </row>
    <row r="39" spans="1:13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  <c r="M39" t="s">
        <v>358</v>
      </c>
    </row>
    <row r="40" spans="1:13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357</v>
      </c>
      <c r="H40" t="s">
        <v>33</v>
      </c>
      <c r="I40" t="s">
        <v>53</v>
      </c>
      <c r="K40" t="s">
        <v>22</v>
      </c>
      <c r="L40" s="1" t="s">
        <v>348</v>
      </c>
      <c r="M40" t="s">
        <v>357</v>
      </c>
    </row>
    <row r="41" spans="1:13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  <c r="M41" t="s">
        <v>358</v>
      </c>
    </row>
    <row r="42" spans="1:13" x14ac:dyDescent="0.25">
      <c r="A42" s="1" t="s">
        <v>371</v>
      </c>
      <c r="B42" t="s">
        <v>327</v>
      </c>
      <c r="C42" t="s">
        <v>22</v>
      </c>
      <c r="D42" t="s">
        <v>23</v>
      </c>
      <c r="E42">
        <v>1</v>
      </c>
      <c r="G42" s="1"/>
      <c r="K42" t="s">
        <v>24</v>
      </c>
      <c r="L42" s="1" t="s">
        <v>390</v>
      </c>
    </row>
    <row r="43" spans="1:13" x14ac:dyDescent="0.25">
      <c r="A43" s="1" t="s">
        <v>371</v>
      </c>
      <c r="B43" t="s">
        <v>327</v>
      </c>
      <c r="C43" t="s">
        <v>22</v>
      </c>
      <c r="D43" t="s">
        <v>25</v>
      </c>
      <c r="E43">
        <v>1</v>
      </c>
      <c r="G43" s="1"/>
      <c r="K43" t="s">
        <v>24</v>
      </c>
      <c r="L43" s="1" t="s">
        <v>391</v>
      </c>
    </row>
    <row r="44" spans="1:13" x14ac:dyDescent="0.25">
      <c r="A44" s="1" t="s">
        <v>371</v>
      </c>
      <c r="B44" t="s">
        <v>327</v>
      </c>
      <c r="C44" t="s">
        <v>22</v>
      </c>
      <c r="D44" t="s">
        <v>26</v>
      </c>
      <c r="E44">
        <v>1</v>
      </c>
      <c r="G44" s="1"/>
      <c r="K44" t="s">
        <v>24</v>
      </c>
      <c r="L44" s="1" t="s">
        <v>392</v>
      </c>
    </row>
    <row r="45" spans="1:13" x14ac:dyDescent="0.25">
      <c r="A45" s="1" t="s">
        <v>370</v>
      </c>
      <c r="B45" t="s">
        <v>327</v>
      </c>
      <c r="D45" t="s">
        <v>23</v>
      </c>
      <c r="E45">
        <v>1</v>
      </c>
      <c r="G45" s="1"/>
      <c r="K45" t="s">
        <v>24</v>
      </c>
      <c r="L45" s="1" t="s">
        <v>393</v>
      </c>
    </row>
    <row r="46" spans="1:13" x14ac:dyDescent="0.25">
      <c r="A46" s="1" t="s">
        <v>370</v>
      </c>
      <c r="B46" t="s">
        <v>327</v>
      </c>
      <c r="D46" t="s">
        <v>25</v>
      </c>
      <c r="E46">
        <v>1</v>
      </c>
      <c r="G46" s="1"/>
      <c r="K46" t="s">
        <v>24</v>
      </c>
      <c r="L46" s="1" t="s">
        <v>394</v>
      </c>
    </row>
    <row r="47" spans="1:13" x14ac:dyDescent="0.25">
      <c r="A47" s="1" t="s">
        <v>370</v>
      </c>
      <c r="B47" t="s">
        <v>327</v>
      </c>
      <c r="D47" t="s">
        <v>26</v>
      </c>
      <c r="E47">
        <v>1</v>
      </c>
      <c r="G47" s="1"/>
      <c r="K47" t="s">
        <v>24</v>
      </c>
      <c r="L47" s="1" t="s">
        <v>395</v>
      </c>
    </row>
    <row r="48" spans="1:13" x14ac:dyDescent="0.25">
      <c r="A48" s="1" t="s">
        <v>260</v>
      </c>
      <c r="B48" t="s">
        <v>234</v>
      </c>
      <c r="D48" t="s">
        <v>23</v>
      </c>
      <c r="E48">
        <v>0</v>
      </c>
      <c r="G48" s="1"/>
      <c r="K48" t="s">
        <v>24</v>
      </c>
      <c r="L48" s="1" t="s">
        <v>350</v>
      </c>
    </row>
    <row r="49" spans="1:12" x14ac:dyDescent="0.25">
      <c r="A49" s="1" t="s">
        <v>260</v>
      </c>
      <c r="B49" t="s">
        <v>234</v>
      </c>
      <c r="D49" t="s">
        <v>25</v>
      </c>
      <c r="E49">
        <v>1</v>
      </c>
      <c r="G49" s="1"/>
      <c r="K49" t="s">
        <v>24</v>
      </c>
      <c r="L49" s="1" t="s">
        <v>351</v>
      </c>
    </row>
    <row r="50" spans="1:12" x14ac:dyDescent="0.25">
      <c r="A50" s="1" t="s">
        <v>260</v>
      </c>
      <c r="B50" t="s">
        <v>234</v>
      </c>
      <c r="D50" t="s">
        <v>26</v>
      </c>
      <c r="E50">
        <v>0</v>
      </c>
      <c r="G50" s="1"/>
      <c r="K50" t="s">
        <v>24</v>
      </c>
      <c r="L50" s="1" t="s">
        <v>352</v>
      </c>
    </row>
    <row r="51" spans="1:12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/>
      <c r="K51" t="s">
        <v>24</v>
      </c>
      <c r="L51" s="1" t="s">
        <v>353</v>
      </c>
    </row>
    <row r="52" spans="1:12" x14ac:dyDescent="0.25">
      <c r="A52" s="1" t="s">
        <v>372</v>
      </c>
      <c r="B52" t="s">
        <v>327</v>
      </c>
      <c r="D52" t="s">
        <v>23</v>
      </c>
      <c r="E52">
        <v>1</v>
      </c>
      <c r="G52" s="1"/>
      <c r="K52" t="s">
        <v>24</v>
      </c>
      <c r="L52" s="1" t="s">
        <v>396</v>
      </c>
    </row>
    <row r="53" spans="1:12" x14ac:dyDescent="0.25">
      <c r="A53" s="1" t="s">
        <v>372</v>
      </c>
      <c r="B53" t="s">
        <v>327</v>
      </c>
      <c r="D53" t="s">
        <v>25</v>
      </c>
      <c r="E53">
        <v>2</v>
      </c>
      <c r="G53" s="1"/>
      <c r="K53" t="s">
        <v>24</v>
      </c>
      <c r="L53" s="1" t="s">
        <v>397</v>
      </c>
    </row>
    <row r="54" spans="1:12" x14ac:dyDescent="0.25">
      <c r="A54" s="1" t="s">
        <v>372</v>
      </c>
      <c r="B54" t="s">
        <v>327</v>
      </c>
      <c r="D54" t="s">
        <v>26</v>
      </c>
      <c r="E54">
        <v>3</v>
      </c>
      <c r="G54" s="1"/>
      <c r="K54" t="s">
        <v>24</v>
      </c>
      <c r="L54" s="1" t="s">
        <v>398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X131"/>
  <sheetViews>
    <sheetView showGridLines="0" showZeros="0" zoomScaleNormal="100" workbookViewId="0">
      <selection activeCell="E30" sqref="E30"/>
    </sheetView>
  </sheetViews>
  <sheetFormatPr defaultRowHeight="15" x14ac:dyDescent="0.25"/>
  <cols>
    <col min="1" max="1" width="6.28515625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8.85546875" bestFit="1" customWidth="1"/>
    <col min="19" max="19" width="7.28515625" bestFit="1" customWidth="1"/>
    <col min="20" max="20" width="12.28515625" bestFit="1" customWidth="1"/>
    <col min="21" max="21" width="10.5703125" bestFit="1" customWidth="1"/>
    <col min="22" max="22" width="19.5703125" bestFit="1" customWidth="1"/>
    <col min="23" max="23" width="10.140625" bestFit="1" customWidth="1"/>
    <col min="24" max="24" width="19.140625" bestFit="1" customWidth="1"/>
    <col min="25" max="25" width="21.7109375" bestFit="1" customWidth="1"/>
    <col min="26" max="26" width="20.140625" bestFit="1" customWidth="1"/>
    <col min="27" max="27" width="34.28515625" bestFit="1" customWidth="1"/>
    <col min="28" max="28" width="36" bestFit="1" customWidth="1"/>
    <col min="29" max="29" width="30" bestFit="1" customWidth="1"/>
    <col min="30" max="30" width="35.85546875" bestFit="1" customWidth="1"/>
    <col min="31" max="31" width="9.5703125" bestFit="1" customWidth="1"/>
    <col min="32" max="32" width="33.28515625" bestFit="1" customWidth="1"/>
  </cols>
  <sheetData>
    <row r="1" spans="1:24" x14ac:dyDescent="0.25">
      <c r="A1" s="43">
        <v>13</v>
      </c>
      <c r="B1" s="15" t="s">
        <v>5</v>
      </c>
      <c r="F1" s="27" t="s">
        <v>17</v>
      </c>
      <c r="G1" s="25" t="str">
        <f>_xlfn.XLOOKUP(SelectedFile,supported[Source.Name],supported[Value])</f>
        <v>7.0.201</v>
      </c>
      <c r="I1" s="27" t="s">
        <v>193</v>
      </c>
      <c r="J1" s="25" t="str">
        <f ca="1">(TEXT((_xlfn.XLOOKUP(SelectedFile,Source[Name],Source[Date created])),"mm/dd/yy")) &amp; (" ("&amp;ROUND((TODAY()-(_xlfn.XLOOKUP(SelectedFile,Source[Name],Source[Date created]))),0)&amp;"d)")</f>
        <v>07/13/21 (50d)</v>
      </c>
    </row>
    <row r="2" spans="1:24" x14ac:dyDescent="0.25">
      <c r="A2" s="43" t="s">
        <v>429</v>
      </c>
      <c r="F2" s="27" t="s">
        <v>231</v>
      </c>
      <c r="G2" s="26" t="str">
        <f>_xlfn.XLOOKUP(SelectedFile,global[Source.Name],global[cluster_type])</f>
        <v>VSAN2NODE</v>
      </c>
      <c r="I2" s="27" t="s">
        <v>194</v>
      </c>
      <c r="J2" s="26" t="str">
        <f ca="1">(TEXT((_xlfn.XLOOKUP(SelectedFile,Source[Name],Source[Date modified])),"mm/dd/yy")) &amp; (" ("&amp;ROUND((TODAY()-(_xlfn.XLOOKUP(SelectedFile,Source[Name],Source[Date modified]))),0)&amp;"d)")</f>
        <v>08/31/21 (0d)</v>
      </c>
    </row>
    <row r="3" spans="1:24" x14ac:dyDescent="0.25">
      <c r="A3" s="43" t="str">
        <f>(_xlfn.XLOOKUP(A2,KeywordList[Display],KeywordList[Search prefix]))&amp;A4</f>
        <v/>
      </c>
    </row>
    <row r="4" spans="1:24" x14ac:dyDescent="0.25">
      <c r="A4" s="43" t="s">
        <v>84</v>
      </c>
      <c r="B4" s="3" t="s">
        <v>195</v>
      </c>
      <c r="C4" s="30" t="s">
        <v>2</v>
      </c>
      <c r="E4" s="15" t="s">
        <v>331</v>
      </c>
      <c r="F4" s="5" t="s">
        <v>20</v>
      </c>
      <c r="G4" s="6" t="s">
        <v>216</v>
      </c>
      <c r="H4" s="6" t="s">
        <v>360</v>
      </c>
      <c r="I4" s="6" t="s">
        <v>215</v>
      </c>
      <c r="J4" s="6" t="s">
        <v>217</v>
      </c>
      <c r="K4" s="6" t="s">
        <v>219</v>
      </c>
      <c r="L4" s="6" t="s">
        <v>359</v>
      </c>
      <c r="M4" s="6" t="s">
        <v>214</v>
      </c>
      <c r="N4" s="6" t="s">
        <v>213</v>
      </c>
      <c r="O4" s="6" t="s">
        <v>212</v>
      </c>
      <c r="R4" t="s">
        <v>521</v>
      </c>
      <c r="S4" t="s">
        <v>522</v>
      </c>
      <c r="T4" t="s">
        <v>512</v>
      </c>
      <c r="U4" t="s">
        <v>511</v>
      </c>
      <c r="V4" t="s">
        <v>16</v>
      </c>
      <c r="W4" t="s">
        <v>17</v>
      </c>
    </row>
    <row r="5" spans="1:24" x14ac:dyDescent="0.25">
      <c r="B5" s="3" t="s">
        <v>368</v>
      </c>
      <c r="C5" s="30" t="str">
        <f>_xlfn.XLOOKUP(SelectedFile,global[Source.Name],global[top_level_domain])</f>
        <v>example.com</v>
      </c>
      <c r="E5" s="15" t="str" cm="1">
        <f t="array" ref="E5:E10">_xlfn.UNIQUE(_xlfn._xlws.FILTER(network_vds[vlanguid],network_vds[Source.Name]=dashboard!B1))</f>
        <v>5VXRAILDISCOVERYstarter-2N-exisitng-vds.json</v>
      </c>
      <c r="F5" s="28" cm="1">
        <f t="array" ref="F5">_xlfn.XLOOKUP(SelectedFile&amp;$E5,network_vds[Source.Name]&amp;network_vds[vlanguid],network_vds[vds.portgroups.vlan_id],"")</f>
        <v>5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ADVANCED_CUSTOMER_SUPPLIED_VDS</v>
      </c>
      <c r="I5" s="22" t="str" cm="1">
        <f t="array" ref="I5">_xlfn.XLOOKUP(SelectedFile&amp;$E5,network_vds[Source.Name]&amp;network_vds[vlanguid],network_vds[vds.portgroups.name],"")</f>
        <v>DiscoveryCustomer</v>
      </c>
      <c r="J5" s="22" cm="1">
        <f t="array" ref="J5">_xlfn.XLOOKUP(SelectedFile&amp;$E5,network_vds[Source.Name]&amp;network_vds[vlanguid],network_vds[management_portgroup_binding_type],"")</f>
        <v>0</v>
      </c>
      <c r="K5" s="22" cm="1">
        <f t="array" ref="K5">_xlfn.XLOOKUP(SelectedFile&amp;$E5,network_vds[Source.Name]&amp;network_vds[vlanguid],network_vds[systemvm_portgroup_binding_type],"")</f>
        <v>0</v>
      </c>
      <c r="L5" s="22" cm="1">
        <f t="array" ref="L5">_xlfn.XLOOKUP(SelectedFile&amp;$E5,network_vds[Source.Name]&amp;network_vds[vlanguid],network_vds[vds.portgroups.failover_order],"")</f>
        <v>0</v>
      </c>
      <c r="M5" s="22" t="str" cm="1">
        <f t="array" ref="M5">_xlfn.XLOOKUP(SelectedFile&amp;$E5,network_vds[Source.Name]&amp;network_vds[vlanguid],network_vds[vds.nic_mappings.uplinks.name],"")</f>
        <v>vds1uplink1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t="str" cm="1">
        <f t="array" ref="O5">_xlfn.XLOOKUP(SelectedFile&amp;$E5,network_vds[Source.Name]&amp;network_vds[vlanguid],network_vds[vds.name],"")</f>
        <v>ExistingVDS1</v>
      </c>
      <c r="R5" s="44"/>
      <c r="S5" s="44"/>
      <c r="V5" s="1"/>
    </row>
    <row r="6" spans="1:24" x14ac:dyDescent="0.25">
      <c r="B6" s="3" t="str">
        <f>("cluster_name")</f>
        <v>cluster_name</v>
      </c>
      <c r="C6" s="30" t="str">
        <f>_xlfn.XLOOKUP(SelectedFile,global[Source.Name],global[cluster_name])</f>
        <v>2_node_2VDS</v>
      </c>
      <c r="E6" s="15" t="str">
        <v>0MANAGEMENTstarter-2N-exisitng-vds.json</v>
      </c>
      <c r="F6" s="28" cm="1">
        <f t="array" ref="F6">_xlfn.XLOOKUP(SelectedFile&amp;$E6,network_vds[Source.Name]&amp;network_vds[vlanguid],network_vds[vds.portgroups.vlan_id],"")</f>
        <v>0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ADVANCED_CUSTOMER_SUPPLIED_VDS</v>
      </c>
      <c r="I6" s="22" t="str" cm="1">
        <f t="array" ref="I6">_xlfn.XLOOKUP(SelectedFile&amp;$E6,network_vds[Source.Name]&amp;network_vds[vlanguid],network_vds[vds.portgroups.name],"")</f>
        <v>MgmtCustom</v>
      </c>
      <c r="J6" s="22" cm="1">
        <f t="array" ref="J6">_xlfn.XLOOKUP(SelectedFile&amp;$E6,network_vds[Source.Name]&amp;network_vds[vlanguid],network_vds[management_portgroup_binding_type],"")</f>
        <v>0</v>
      </c>
      <c r="K6" s="22" cm="1">
        <f t="array" ref="K6">_xlfn.XLOOKUP(SelectedFile&amp;$E6,network_vds[Source.Name]&amp;network_vds[vlanguid],network_vds[systemvm_portgroup_binding_type],"")</f>
        <v>0</v>
      </c>
      <c r="L6" s="22" cm="1">
        <f t="array" ref="L6">_xlfn.XLOOKUP(SelectedFile&amp;$E6,network_vds[Source.Name]&amp;network_vds[vlanguid],network_vds[vds.portgroups.failover_order],"")</f>
        <v>0</v>
      </c>
      <c r="M6" s="22" t="str" cm="1">
        <f t="array" ref="M6">_xlfn.XLOOKUP(SelectedFile&amp;$E6,network_vds[Source.Name]&amp;network_vds[vlanguid],network_vds[vds.nic_mappings.uplinks.name],"")</f>
        <v>vds1uplink1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t="str" cm="1">
        <f t="array" ref="O6">_xlfn.XLOOKUP(SelectedFile&amp;$E6,network_vds[Source.Name]&amp;network_vds[vlanguid],network_vds[vds.name],"")</f>
        <v>ExistingVDS1</v>
      </c>
      <c r="R6" s="7"/>
      <c r="S6" s="7"/>
      <c r="T6" s="7"/>
      <c r="U6" s="7"/>
      <c r="V6" s="7"/>
      <c r="W6" s="7"/>
    </row>
    <row r="7" spans="1:24" x14ac:dyDescent="0.25">
      <c r="B7" s="3" t="str">
        <f>"NTP Servers"</f>
        <v>NTP Servers</v>
      </c>
      <c r="C7" s="30" t="str">
        <f>_xlfn.XLOOKUP(SelectedFile,global[Source.Name],global[ntp_servers])</f>
        <v/>
      </c>
      <c r="E7" s="15" t="str">
        <v>4VXRAILSYSTEMVMstarter-2N-exisitng-vds.json</v>
      </c>
      <c r="F7" s="28" cm="1">
        <f t="array" ref="F7">_xlfn.XLOOKUP(SelectedFile&amp;$E7,network_vds[Source.Name]&amp;network_vds[vlanguid],network_vds[vds.portgroups.vlan_id],"")</f>
        <v>4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ADVANCED_CUSTOMER_SUPPLIED_VDS</v>
      </c>
      <c r="I7" s="22" t="str" cm="1">
        <f t="array" ref="I7">_xlfn.XLOOKUP(SelectedFile&amp;$E7,network_vds[Source.Name]&amp;network_vds[vlanguid],network_vds[vds.portgroups.name],"")</f>
        <v>vcenterCustom</v>
      </c>
      <c r="J7" s="22" cm="1">
        <f t="array" ref="J7">_xlfn.XLOOKUP(SelectedFile&amp;$E7,network_vds[Source.Name]&amp;network_vds[vlanguid],network_vds[management_portgroup_binding_type],"")</f>
        <v>0</v>
      </c>
      <c r="K7" s="22" cm="1">
        <f t="array" ref="K7">_xlfn.XLOOKUP(SelectedFile&amp;$E7,network_vds[Source.Name]&amp;network_vds[vlanguid],network_vds[systemvm_portgroup_binding_type],"")</f>
        <v>0</v>
      </c>
      <c r="L7" s="22" cm="1">
        <f t="array" ref="L7">_xlfn.XLOOKUP(SelectedFile&amp;$E7,network_vds[Source.Name]&amp;network_vds[vlanguid],network_vds[vds.portgroups.failover_order],"")</f>
        <v>0</v>
      </c>
      <c r="M7" s="22" t="str" cm="1">
        <f t="array" ref="M7">_xlfn.XLOOKUP(SelectedFile&amp;$E7,network_vds[Source.Name]&amp;network_vds[vlanguid],network_vds[vds.nic_mappings.uplinks.name],"")</f>
        <v>vds1uplink1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t="str" cm="1">
        <f t="array" ref="O7">_xlfn.XLOOKUP(SelectedFile&amp;$E7,network_vds[Source.Name]&amp;network_vds[vlanguid],network_vds[vds.name],"")</f>
        <v>ExistingVDS1</v>
      </c>
      <c r="R7" s="7"/>
      <c r="S7" s="7"/>
      <c r="T7" s="7"/>
      <c r="U7" s="7"/>
      <c r="V7" s="7"/>
      <c r="W7" s="7"/>
    </row>
    <row r="8" spans="1:24" x14ac:dyDescent="0.25">
      <c r="B8" s="3" t="str">
        <f>"DNS Servers"</f>
        <v>DNS Servers</v>
      </c>
      <c r="C8" s="30" t="str">
        <f>IF((_xlfn.XLOOKUP(SelectedFile,global[Source.Name],global[is_internal_dns]))=TRUE,"Internal",_xlfn.XLOOKUP(SelectedFile,global[Source.Name],global[dns_servers]))</f>
        <v>192.168.1.1</v>
      </c>
      <c r="E8" s="15" t="str">
        <v>1VSANstarter-2N-exisitng-vds.json</v>
      </c>
      <c r="F8" s="28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ADVANCED_CUSTOMER_SUPPLIED_VDS</v>
      </c>
      <c r="I8" s="22" t="str" cm="1">
        <f t="array" ref="I8">_xlfn.XLOOKUP(SelectedFile&amp;$E8,network_vds[Source.Name]&amp;network_vds[vlanguid],network_vds[vds.portgroups.name],"")</f>
        <v>vsancustom</v>
      </c>
      <c r="J8" s="22" cm="1">
        <f t="array" ref="J8">_xlfn.XLOOKUP(SelectedFile&amp;$E8,network_vds[Source.Name]&amp;network_vds[vlanguid],network_vds[management_portgroup_binding_type],"")</f>
        <v>0</v>
      </c>
      <c r="K8" s="22" cm="1">
        <f t="array" ref="K8">_xlfn.XLOOKUP(SelectedFile&amp;$E8,network_vds[Source.Name]&amp;network_vds[vlanguid],network_vds[systemvm_portgroup_binding_type],"")</f>
        <v>0</v>
      </c>
      <c r="L8" s="22" cm="1">
        <f t="array" ref="L8">_xlfn.XLOOKUP(SelectedFile&amp;$E8,network_vds[Source.Name]&amp;network_vds[vlanguid],network_vds[vds.portgroups.failover_order],"")</f>
        <v>0</v>
      </c>
      <c r="M8" s="22" t="str" cm="1">
        <f t="array" ref="M8">_xlfn.XLOOKUP(SelectedFile&amp;$E8,network_vds[Source.Name]&amp;network_vds[vlanguid],network_vds[vds.nic_mappings.uplinks.name],"")</f>
        <v>vds2uplink1</v>
      </c>
      <c r="N8" s="22" t="str" cm="1">
        <f t="array" ref="N8">_xlfn.XLOOKUP(SelectedFile&amp;$E8,network_vds[Source.Name]&amp;network_vds[vlanguid],network_vds[vds.nic_mappings.uplinks.physical_nic],"")</f>
        <v>vmnic2</v>
      </c>
      <c r="O8" s="22" t="str" cm="1">
        <f t="array" ref="O8">_xlfn.XLOOKUP(SelectedFile&amp;$E8,network_vds[Source.Name]&amp;network_vds[vlanguid],network_vds[vds.name],"")</f>
        <v>ExistingVDS2</v>
      </c>
      <c r="R8" s="7"/>
      <c r="S8" s="7"/>
      <c r="T8" s="7"/>
      <c r="U8" s="7"/>
      <c r="V8" s="7"/>
      <c r="W8" s="7"/>
    </row>
    <row r="9" spans="1:24" x14ac:dyDescent="0.25">
      <c r="B9" s="3" t="str">
        <f>"Syslog servers"</f>
        <v>Syslog servers</v>
      </c>
      <c r="C9" s="30" t="str">
        <f>_xlfn.XLOOKUP(SelectedFile,global[Source.Name],global[syslog_servers])</f>
        <v/>
      </c>
      <c r="E9" s="15" t="str">
        <v>2VMOTIONstarter-2N-exisitng-vds.json</v>
      </c>
      <c r="F9" s="28" cm="1">
        <f t="array" ref="F9">_xlfn.XLOOKUP(SelectedFile&amp;$E9,network_vds[Source.Name]&amp;network_vds[vlanguid],network_vds[vds.portgroups.vlan_id],"")</f>
        <v>2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ADVANCED_CUSTOMER_SUPPLIED_VDS</v>
      </c>
      <c r="I9" s="22" t="str" cm="1">
        <f t="array" ref="I9">_xlfn.XLOOKUP(SelectedFile&amp;$E9,network_vds[Source.Name]&amp;network_vds[vlanguid],network_vds[vds.portgroups.name],"")</f>
        <v>vmotioncustom</v>
      </c>
      <c r="J9" s="22" cm="1">
        <f t="array" ref="J9">_xlfn.XLOOKUP(SelectedFile&amp;$E9,network_vds[Source.Name]&amp;network_vds[vlanguid],network_vds[management_portgroup_binding_type],"")</f>
        <v>0</v>
      </c>
      <c r="K9" s="22" cm="1">
        <f t="array" ref="K9">_xlfn.XLOOKUP(SelectedFile&amp;$E9,network_vds[Source.Name]&amp;network_vds[vlanguid],network_vds[systemvm_portgroup_binding_type],"")</f>
        <v>0</v>
      </c>
      <c r="L9" s="22" cm="1">
        <f t="array" ref="L9">_xlfn.XLOOKUP(SelectedFile&amp;$E9,network_vds[Source.Name]&amp;network_vds[vlanguid],network_vds[vds.portgroups.failover_order],"")</f>
        <v>0</v>
      </c>
      <c r="M9" s="22" t="str" cm="1">
        <f t="array" ref="M9">_xlfn.XLOOKUP(SelectedFile&amp;$E9,network_vds[Source.Name]&amp;network_vds[vlanguid],network_vds[vds.nic_mappings.uplinks.name],"")</f>
        <v>vds2uplink1</v>
      </c>
      <c r="N9" s="22" t="str" cm="1">
        <f t="array" ref="N9">_xlfn.XLOOKUP(SelectedFile&amp;$E9,network_vds[Source.Name]&amp;network_vds[vlanguid],network_vds[vds.nic_mappings.uplinks.physical_nic],"")</f>
        <v>vmnic2</v>
      </c>
      <c r="O9" s="22" t="str" cm="1">
        <f t="array" ref="O9">_xlfn.XLOOKUP(SelectedFile&amp;$E9,network_vds[Source.Name]&amp;network_vds[vlanguid],network_vds[vds.name],"")</f>
        <v>ExistingVDS2</v>
      </c>
      <c r="R9" s="7"/>
      <c r="S9" s="7"/>
      <c r="T9" s="7"/>
      <c r="U9" s="7"/>
      <c r="V9" s="7"/>
      <c r="W9" s="7"/>
    </row>
    <row r="10" spans="1:24" x14ac:dyDescent="0.25">
      <c r="B10" s="3" t="s">
        <v>256</v>
      </c>
      <c r="C10" s="30" t="str">
        <f>_xlfn.XLOOKUP(SelectedFile,global[Source.Name],global[datacenter_name])</f>
        <v>customdatacentername</v>
      </c>
      <c r="E10" s="15" t="str">
        <v>6WITNESSstarter-2N-exisitng-vds.json</v>
      </c>
      <c r="F10" s="28" cm="1">
        <f t="array" ref="F10">_xlfn.XLOOKUP(SelectedFile&amp;$E10,network_vds[Source.Name]&amp;network_vds[vlanguid],network_vds[vds.portgroups.vlan_id],"")</f>
        <v>6</v>
      </c>
      <c r="G10" s="22" t="str" cm="1">
        <f t="array" ref="G10">_xlfn.XLOOKUP(SelectedFile&amp;$E10,network_vds[Source.Name]&amp;network_vds[vlanguid],network_vds[vds.portgroups.type],"")</f>
        <v>WITNESS</v>
      </c>
      <c r="H10" s="22" t="str" cm="1">
        <f t="array" ref="H10">_xlfn.XLOOKUP(SelectedFile&amp;$E10,network_vds[Source.Name]&amp;network_vds[vlanguid],network_vds[nic_profile],"")</f>
        <v>ADVANCED_CUSTOMER_SUPPLIED_VDS</v>
      </c>
      <c r="I10" s="22" t="str" cm="1">
        <f t="array" ref="I10">_xlfn.XLOOKUP(SelectedFile&amp;$E10,network_vds[Source.Name]&amp;network_vds[vlanguid],network_vds[vds.portgroups.name],"")</f>
        <v>witnesscustom</v>
      </c>
      <c r="J10" s="22" cm="1">
        <f t="array" ref="J10">_xlfn.XLOOKUP(SelectedFile&amp;$E10,network_vds[Source.Name]&amp;network_vds[vlanguid],network_vds[management_portgroup_binding_type],"")</f>
        <v>0</v>
      </c>
      <c r="K10" s="22" cm="1">
        <f t="array" ref="K10">_xlfn.XLOOKUP(SelectedFile&amp;$E10,network_vds[Source.Name]&amp;network_vds[vlanguid],network_vds[systemvm_portgroup_binding_type],"")</f>
        <v>0</v>
      </c>
      <c r="L10" s="22" cm="1">
        <f t="array" ref="L10">_xlfn.XLOOKUP(SelectedFile&amp;$E10,network_vds[Source.Name]&amp;network_vds[vlanguid],network_vds[vds.portgroups.failover_order],"")</f>
        <v>0</v>
      </c>
      <c r="M10" s="22" t="str" cm="1">
        <f t="array" ref="M10">_xlfn.XLOOKUP(SelectedFile&amp;$E10,network_vds[Source.Name]&amp;network_vds[vlanguid],network_vds[vds.nic_mappings.uplinks.name],"")</f>
        <v>vds2uplink1</v>
      </c>
      <c r="N10" s="22" t="str" cm="1">
        <f t="array" ref="N10">_xlfn.XLOOKUP(SelectedFile&amp;$E10,network_vds[Source.Name]&amp;network_vds[vlanguid],network_vds[vds.nic_mappings.uplinks.physical_nic],"")</f>
        <v>vmnic2</v>
      </c>
      <c r="O10" s="22" t="str" cm="1">
        <f t="array" ref="O10">_xlfn.XLOOKUP(SelectedFile&amp;$E10,network_vds[Source.Name]&amp;network_vds[vlanguid],network_vds[vds.name],"")</f>
        <v>ExistingVDS2</v>
      </c>
      <c r="R10" s="7"/>
      <c r="S10" s="7"/>
      <c r="T10" s="7"/>
      <c r="U10" s="7"/>
      <c r="V10" s="7"/>
      <c r="W10" s="7"/>
    </row>
    <row r="11" spans="1:24" x14ac:dyDescent="0.25">
      <c r="B11" s="3" t="str">
        <f>("DiskGroupType")</f>
        <v>DiskGroupType</v>
      </c>
      <c r="C11" s="30">
        <f>_xlfn.XLOOKUP(SelectedFile,global[Source.Name],global[disk_group_type])</f>
        <v>0</v>
      </c>
      <c r="E11" s="15"/>
      <c r="F11" s="28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  <c r="T11" s="7"/>
      <c r="U11" s="7"/>
      <c r="V11" s="7"/>
      <c r="W11" s="7"/>
    </row>
    <row r="12" spans="1:24" x14ac:dyDescent="0.25">
      <c r="B12" s="3"/>
      <c r="C12" s="30"/>
      <c r="E12" s="15"/>
      <c r="F12" s="28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  <c r="T12" s="7"/>
      <c r="U12" s="7"/>
      <c r="V12" s="7"/>
      <c r="W12" s="7"/>
    </row>
    <row r="13" spans="1:24" x14ac:dyDescent="0.25">
      <c r="B13" s="3" t="s">
        <v>220</v>
      </c>
      <c r="C13" s="30" t="b">
        <f>_xlfn.XLOOKUP(SelectedFile,global[Source.Name],global[customer_supplied])</f>
        <v>1</v>
      </c>
      <c r="E13" s="15"/>
      <c r="F13" s="28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  <c r="U13" s="7"/>
      <c r="V13" s="7"/>
      <c r="W13" s="7"/>
      <c r="X13" s="7"/>
    </row>
    <row r="14" spans="1:24" x14ac:dyDescent="0.25">
      <c r="B14" s="3" t="s">
        <v>232</v>
      </c>
      <c r="C14" s="31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192.168.1.151 ()</v>
      </c>
      <c r="E14" s="15"/>
      <c r="F14" s="28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  <c r="U14" s="7"/>
      <c r="V14" s="7"/>
      <c r="W14" s="7"/>
      <c r="X14" s="7"/>
    </row>
    <row r="15" spans="1:24" x14ac:dyDescent="0.25">
      <c r="B15" s="3"/>
      <c r="C15" s="30"/>
      <c r="E15" s="15"/>
      <c r="F15" s="28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  <c r="U15" s="7"/>
      <c r="V15" s="7"/>
      <c r="W15" s="7"/>
      <c r="X15" s="7"/>
    </row>
    <row r="16" spans="1:24" x14ac:dyDescent="0.25">
      <c r="B16" s="3" t="s">
        <v>226</v>
      </c>
      <c r="C16" s="30" t="str">
        <f>_xlfn.XLOOKUP(SelectedFile,global[Source.Name],global[cluster_management_gateway])</f>
        <v>192.168.1.1</v>
      </c>
      <c r="E16" s="15"/>
      <c r="F16" s="28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3" t="s">
        <v>227</v>
      </c>
      <c r="C17" s="30" t="str">
        <f>_xlfn.XLOOKUP(SelectedFile,global[Source.Name],global[cluster_management_netmask])</f>
        <v>255.255.255.0</v>
      </c>
      <c r="E17" s="15"/>
      <c r="F17" s="28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3" t="s">
        <v>228</v>
      </c>
      <c r="C18" s="30" t="str">
        <f>_xlfn.XLOOKUP(SelectedFile,global[Source.Name],global[cluster_vsan_netmask])</f>
        <v>255.255.255.0</v>
      </c>
      <c r="E18" s="15"/>
      <c r="F18" s="28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3" t="s">
        <v>229</v>
      </c>
      <c r="C19" s="30" t="str">
        <f>_xlfn.XLOOKUP(SelectedFile,global[Source.Name],global[cluster_vsan_netmask])</f>
        <v>255.255.255.0</v>
      </c>
      <c r="E19" s="15"/>
      <c r="F19" s="28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3" t="s">
        <v>400</v>
      </c>
      <c r="C20" s="30" t="str">
        <f>_xlfn.XLOOKUP(B1,global[Source.Name],global[network.sfs.configured])</f>
        <v>FALSE</v>
      </c>
      <c r="E20" s="15"/>
      <c r="F20" s="28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3"/>
      <c r="C21" s="32"/>
      <c r="E21" s="15"/>
      <c r="F21" s="28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3" t="s">
        <v>183</v>
      </c>
      <c r="C22" s="30" t="str">
        <f>_xlfn.XLOOKUP(SelectedFile,global[Source.Name],global[vxrm hostname])</f>
        <v>vxrm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3" t="s">
        <v>184</v>
      </c>
      <c r="C23" s="30" t="str">
        <f>_xlfn.XLOOKUP(SelectedFile,global[Source.Name],global[vxrm ip])</f>
        <v>192.168.1.58</v>
      </c>
      <c r="F23" s="12" t="s">
        <v>365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3"/>
      <c r="C24" s="30"/>
      <c r="F24" s="23" t="str" cm="1">
        <f t="array" ref="F24:F25">_xlfn.UNIQUE(_xlfn._xlws.FILTER(hosts_2[hostname],hosts_2[Source.Name]=dashboard!B1))</f>
        <v>host-01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/>
      </c>
      <c r="J24" s="24" cm="1">
        <f t="array" ref="J24">_xlfn.XLOOKUP(SelectedFile&amp;$F24,hosts_2[Source.Name]&amp;hosts_2[hostname],hosts_2[position],"")</f>
        <v>0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192.168.1.50</v>
      </c>
      <c r="M24" s="24" t="str" cm="1">
        <f t="array" ref="M24">_xlfn.XLOOKUP(SelectedFile&amp;$F24,hosts_2[Source.Name]&amp;hosts_2[hostname],hosts_2[VSAN],"")</f>
        <v>192.168.80.1</v>
      </c>
      <c r="N24" s="24" t="str" cm="1">
        <f t="array" ref="N24">_xlfn.XLOOKUP(SelectedFile&amp;$F24,hosts_2[Source.Name]&amp;hosts_2[hostname],hosts_2[VMOTION],"")</f>
        <v>192.168.90.1</v>
      </c>
      <c r="O24" s="24" t="str" cm="1">
        <f t="array" ref="O24">_xlfn.XLOOKUP(SelectedFile&amp;$F24,hosts_2[Source.Name]&amp;hosts_2[hostname],hosts_2[WITNESS],"")</f>
        <v>192.168.100.1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3" t="s">
        <v>86</v>
      </c>
      <c r="C25" s="30" t="str">
        <f>_xlfn.XLOOKUP(SelectedFile,global[Source.Name],global[accounts.root.username])</f>
        <v>root</v>
      </c>
      <c r="F25" s="23" t="str">
        <v>host-02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/>
      </c>
      <c r="J25" s="24" cm="1">
        <f t="array" ref="J25">_xlfn.XLOOKUP(SelectedFile&amp;$F25,hosts_2[Source.Name]&amp;hosts_2[hostname],hosts_2[position],"")</f>
        <v>0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192.168.1.51</v>
      </c>
      <c r="M25" s="24" t="str" cm="1">
        <f t="array" ref="M25">_xlfn.XLOOKUP(SelectedFile&amp;$F25,hosts_2[Source.Name]&amp;hosts_2[hostname],hosts_2[VSAN],"")</f>
        <v>192.168.80.2</v>
      </c>
      <c r="N25" s="24" t="str" cm="1">
        <f t="array" ref="N25">_xlfn.XLOOKUP(SelectedFile&amp;$F25,hosts_2[Source.Name]&amp;hosts_2[hostname],hosts_2[VMOTION],"")</f>
        <v>192.168.90.2</v>
      </c>
      <c r="O25" s="24" t="str" cm="1">
        <f t="array" ref="O25">_xlfn.XLOOKUP(SelectedFile&amp;$F25,hosts_2[Source.Name]&amp;hosts_2[hostname],hosts_2[WITNESS],"")</f>
        <v>192.168.100.2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3" t="s">
        <v>366</v>
      </c>
      <c r="C26" s="30" t="str">
        <f>_xlfn.XLOOKUP(SelectedFile,global[Source.Name],global[accounts.service.username])</f>
        <v>mystic</v>
      </c>
      <c r="F26" s="23"/>
      <c r="G26" s="24" t="str" cm="1">
        <f t="array" ref="G26">_xlfn.XLOOKUP(SelectedFile&amp;$F26,hosts_2[Source.Name]&amp;hosts_2[hostname],hosts_2[root.username],"")</f>
        <v/>
      </c>
      <c r="H26" s="24" t="str" cm="1">
        <f t="array" ref="H26">_xlfn.XLOOKUP(SelectedFile&amp;$F26,hosts_2[Source.Name]&amp;hosts_2[hostname],hosts_2[management.username],"")</f>
        <v/>
      </c>
      <c r="I26" s="24" t="str" cm="1">
        <f t="array" ref="I26">_xlfn.XLOOKUP(SelectedFile&amp;$F26,hosts_2[Source.Name]&amp;hosts_2[hostname],hosts_2[rack_name],"")</f>
        <v/>
      </c>
      <c r="J26" s="24" t="str" cm="1">
        <f t="array" ref="J26">_xlfn.XLOOKUP(SelectedFile&amp;$F26,hosts_2[Source.Name]&amp;hosts_2[hostname],hosts_2[position],"")</f>
        <v/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/>
      </c>
      <c r="M26" s="24" t="str" cm="1">
        <f t="array" ref="M26">_xlfn.XLOOKUP(SelectedFile&amp;$F26,hosts_2[Source.Name]&amp;hosts_2[hostname],hosts_2[VSAN],"")</f>
        <v/>
      </c>
      <c r="N26" s="24" t="str" cm="1">
        <f t="array" ref="N26">_xlfn.XLOOKUP(SelectedFile&amp;$F26,hosts_2[Source.Name]&amp;hosts_2[hostname],hosts_2[VMOTION],"")</f>
        <v/>
      </c>
      <c r="O26" s="24" t="str" cm="1">
        <f t="array" ref="O26">_xlfn.XLOOKUP(SelectedFile&amp;$F26,hosts_2[Source.Name]&amp;hosts_2[hostname],hosts_2[WITNESS],"")</f>
        <v/>
      </c>
      <c r="P26" s="24" t="str" cm="1">
        <f t="array" ref="P26">_xlfn.XLOOKUP(SelectedFile&amp;$F26,hosts_2[Source.Name]&amp;hosts_2[hostname],hosts_2[management_ip],"")</f>
        <v/>
      </c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3" t="s">
        <v>238</v>
      </c>
      <c r="C27" s="30" t="str">
        <f>_xlfn.XLOOKUP(SelectedFile,global[Source.Name],global[administrator.username])</f>
        <v>vcenteruser@vcadmin.com</v>
      </c>
      <c r="F27" s="23"/>
      <c r="G27" s="24" t="str" cm="1">
        <f t="array" ref="G27">_xlfn.XLOOKUP(SelectedFile&amp;$F27,hosts_2[Source.Name]&amp;hosts_2[hostname],hosts_2[root.username],"")</f>
        <v/>
      </c>
      <c r="H27" s="24" t="str" cm="1">
        <f t="array" ref="H27">_xlfn.XLOOKUP(SelectedFile&amp;$F27,hosts_2[Source.Name]&amp;hosts_2[hostname],hosts_2[management.username],"")</f>
        <v/>
      </c>
      <c r="I27" s="24" t="str" cm="1">
        <f t="array" ref="I27">_xlfn.XLOOKUP(SelectedFile&amp;$F27,hosts_2[Source.Name]&amp;hosts_2[hostname],hosts_2[rack_name],"")</f>
        <v/>
      </c>
      <c r="J27" s="24" t="str" cm="1">
        <f t="array" ref="J27">_xlfn.XLOOKUP(SelectedFile&amp;$F27,hosts_2[Source.Name]&amp;hosts_2[hostname],hosts_2[position],"")</f>
        <v/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/>
      </c>
      <c r="M27" s="24" t="str" cm="1">
        <f t="array" ref="M27">_xlfn.XLOOKUP(SelectedFile&amp;$F27,hosts_2[Source.Name]&amp;hosts_2[hostname],hosts_2[VSAN],"")</f>
        <v/>
      </c>
      <c r="N27" s="24" t="str" cm="1">
        <f t="array" ref="N27">_xlfn.XLOOKUP(SelectedFile&amp;$F27,hosts_2[Source.Name]&amp;hosts_2[hostname],hosts_2[VMOTION],"")</f>
        <v/>
      </c>
      <c r="O27" s="24" t="str" cm="1">
        <f t="array" ref="O27">_xlfn.XLOOKUP(SelectedFile&amp;$F27,hosts_2[Source.Name]&amp;hosts_2[hostname],hosts_2[WITNESS],"")</f>
        <v/>
      </c>
      <c r="P27" s="24" t="str" cm="1">
        <f t="array" ref="P27">_xlfn.XLOOKUP(SelectedFile&amp;$F27,hosts_2[Source.Name]&amp;hosts_2[hostname],hosts_2[management_ip],"")</f>
        <v/>
      </c>
      <c r="Q27" s="7"/>
      <c r="R27" s="7"/>
      <c r="S27" s="7"/>
      <c r="T27" s="7"/>
      <c r="U27" s="7"/>
      <c r="V27" s="7"/>
      <c r="W27" s="7"/>
      <c r="X27" s="7"/>
    </row>
    <row r="28" spans="2:24" x14ac:dyDescent="0.25">
      <c r="B28" s="3" t="s">
        <v>367</v>
      </c>
      <c r="C28" s="30" t="str">
        <f>_xlfn.XLOOKUP(SelectedFile,global[Source.Name],global[management.username])</f>
        <v>vcentermgr</v>
      </c>
      <c r="F28" s="23"/>
      <c r="G28" s="24" t="str" cm="1">
        <f t="array" ref="G28">_xlfn.XLOOKUP(SelectedFile&amp;$F28,hosts_2[Source.Name]&amp;hosts_2[hostname],hosts_2[root.username],"")</f>
        <v/>
      </c>
      <c r="H28" s="24" t="str" cm="1">
        <f t="array" ref="H28">_xlfn.XLOOKUP(SelectedFile&amp;$F28,hosts_2[Source.Name]&amp;hosts_2[hostname],hosts_2[management.username],"")</f>
        <v/>
      </c>
      <c r="I28" s="24" t="str" cm="1">
        <f t="array" ref="I28">_xlfn.XLOOKUP(SelectedFile&amp;$F28,hosts_2[Source.Name]&amp;hosts_2[hostname],hosts_2[rack_name],"")</f>
        <v/>
      </c>
      <c r="J28" s="24" t="str" cm="1">
        <f t="array" ref="J28">_xlfn.XLOOKUP(SelectedFile&amp;$F28,hosts_2[Source.Name]&amp;hosts_2[hostname],hosts_2[position],"")</f>
        <v/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/>
      </c>
      <c r="M28" s="24" t="str" cm="1">
        <f t="array" ref="M28">_xlfn.XLOOKUP(SelectedFile&amp;$F28,hosts_2[Source.Name]&amp;hosts_2[hostname],hosts_2[VSAN],"")</f>
        <v/>
      </c>
      <c r="N28" s="24" t="str" cm="1">
        <f t="array" ref="N28">_xlfn.XLOOKUP(SelectedFile&amp;$F28,hosts_2[Source.Name]&amp;hosts_2[hostname],hosts_2[VMOTION],"")</f>
        <v/>
      </c>
      <c r="O28" s="24" t="str" cm="1">
        <f t="array" ref="O28">_xlfn.XLOOKUP(SelectedFile&amp;$F28,hosts_2[Source.Name]&amp;hosts_2[hostname],hosts_2[WITNESS],"")</f>
        <v/>
      </c>
      <c r="P28" s="24" t="str" cm="1">
        <f t="array" ref="P28">_xlfn.XLOOKUP(SelectedFile&amp;$F28,hosts_2[Source.Name]&amp;hosts_2[hostname],hosts_2[management_ip],"")</f>
        <v/>
      </c>
      <c r="Q28" s="7"/>
      <c r="R28" s="7"/>
      <c r="S28" s="7"/>
      <c r="T28" s="7"/>
      <c r="U28" s="7"/>
      <c r="V28" s="7"/>
      <c r="W28" s="7"/>
      <c r="X28" s="7"/>
    </row>
    <row r="29" spans="2:24" x14ac:dyDescent="0.25">
      <c r="B29" s="3"/>
      <c r="C29" s="30"/>
      <c r="F29" s="23"/>
      <c r="G29" s="24" t="str" cm="1">
        <f t="array" ref="G29">_xlfn.XLOOKUP(SelectedFile&amp;$F29,hosts_2[Source.Name]&amp;hosts_2[hostname],hosts_2[root.username],"")</f>
        <v/>
      </c>
      <c r="H29" s="24" t="str" cm="1">
        <f t="array" ref="H29">_xlfn.XLOOKUP(SelectedFile&amp;$F29,hosts_2[Source.Name]&amp;hosts_2[hostname],hosts_2[management.username],"")</f>
        <v/>
      </c>
      <c r="I29" s="24" t="str" cm="1">
        <f t="array" ref="I29">_xlfn.XLOOKUP(SelectedFile&amp;$F29,hosts_2[Source.Name]&amp;hosts_2[hostname],hosts_2[rack_name],"")</f>
        <v/>
      </c>
      <c r="J29" s="24" t="str" cm="1">
        <f t="array" ref="J29">_xlfn.XLOOKUP(SelectedFile&amp;$F29,hosts_2[Source.Name]&amp;hosts_2[hostname],hosts_2[position],"")</f>
        <v/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/>
      </c>
      <c r="M29" s="24" t="str" cm="1">
        <f t="array" ref="M29">_xlfn.XLOOKUP(SelectedFile&amp;$F29,hosts_2[Source.Name]&amp;hosts_2[hostname],hosts_2[VSAN],"")</f>
        <v/>
      </c>
      <c r="N29" s="24" t="str" cm="1">
        <f t="array" ref="N29">_xlfn.XLOOKUP(SelectedFile&amp;$F29,hosts_2[Source.Name]&amp;hosts_2[hostname],hosts_2[VMOTION],"")</f>
        <v/>
      </c>
      <c r="O29" s="24" t="str" cm="1">
        <f t="array" ref="O29">_xlfn.XLOOKUP(SelectedFile&amp;$F29,hosts_2[Source.Name]&amp;hosts_2[hostname],hosts_2[WITNESS],"")</f>
        <v/>
      </c>
      <c r="P29" s="24" t="str" cm="1">
        <f t="array" ref="P29">_xlfn.XLOOKUP(SelectedFile&amp;$F29,hosts_2[Source.Name]&amp;hosts_2[hostname],hosts_2[management_ip],"")</f>
        <v/>
      </c>
      <c r="Q29" s="7"/>
      <c r="R29" s="7"/>
      <c r="S29" s="7"/>
      <c r="T29" s="7"/>
      <c r="U29" s="7"/>
      <c r="V29" s="7"/>
      <c r="W29" s="7"/>
      <c r="X29" s="7"/>
    </row>
    <row r="30" spans="2:24" x14ac:dyDescent="0.25">
      <c r="B30" s="3" t="str">
        <f>("witness.gateway")</f>
        <v>witness.gateway</v>
      </c>
      <c r="C30" s="30" t="str">
        <f>_xlfn.XLOOKUP(SelectedFile,global[Source.Name],global[witness.gateway])</f>
        <v>192.168.100.1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  <c r="U30" s="7"/>
      <c r="V30" s="7"/>
      <c r="W30" s="7"/>
      <c r="X30" s="7"/>
    </row>
    <row r="31" spans="2:24" x14ac:dyDescent="0.25">
      <c r="B31" s="3" t="str">
        <f>("witness.management_ip")</f>
        <v>witness.management_ip</v>
      </c>
      <c r="C31" s="30" t="str">
        <f>_xlfn.XLOOKUP(SelectedFile,global[Source.Name],global[witness.management_ip])</f>
        <v>192.168.100.3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  <c r="U31" s="7"/>
      <c r="V31" s="7"/>
      <c r="W31" s="7"/>
      <c r="X31" s="7"/>
    </row>
    <row r="32" spans="2:24" x14ac:dyDescent="0.25">
      <c r="B32" s="3" t="str">
        <f>("witness.netmask")</f>
        <v>witness.netmask</v>
      </c>
      <c r="C32" s="30" t="str">
        <f>_xlfn.XLOOKUP(SelectedFile,global[Source.Name],global[witness.netmask])</f>
        <v>255.255.255.0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  <c r="U32" s="7"/>
      <c r="V32" s="7"/>
      <c r="W32" s="7"/>
      <c r="X32" s="7"/>
    </row>
    <row r="33" spans="2:24" x14ac:dyDescent="0.25">
      <c r="B33" s="3" t="str">
        <f>("witness.username")</f>
        <v>witness.username</v>
      </c>
      <c r="C33" s="30" t="str">
        <f>_xlfn.XLOOKUP(SelectedFile,global[Source.Name],global[witness.username])</f>
        <v>witnessuser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  <c r="U33" s="7"/>
      <c r="V33" s="7"/>
      <c r="W33" s="7"/>
      <c r="X33" s="7"/>
    </row>
    <row r="34" spans="2:24" x14ac:dyDescent="0.25">
      <c r="B34" s="3" t="str">
        <f>("witness.witness_ip")</f>
        <v>witness.witness_ip</v>
      </c>
      <c r="C34" s="30" t="str">
        <f>_xlfn.XLOOKUP(SelectedFile,global[Source.Name],global[witness.witness_ip])</f>
        <v>192.168.100.4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  <c r="U34" s="7"/>
      <c r="V34" s="7"/>
      <c r="W34" s="7"/>
      <c r="X34" s="7"/>
    </row>
    <row r="35" spans="2:24" x14ac:dyDescent="0.25"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  <c r="U35" s="7"/>
      <c r="V35" s="7"/>
      <c r="W35" s="7"/>
      <c r="X35" s="7"/>
    </row>
    <row r="36" spans="2:24" x14ac:dyDescent="0.25">
      <c r="E36" t="s">
        <v>528</v>
      </c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  <c r="U36" s="7"/>
      <c r="V36" s="7"/>
      <c r="W36" s="7"/>
      <c r="X36" s="7"/>
    </row>
    <row r="37" spans="2:24" x14ac:dyDescent="0.25"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  <c r="U37" s="7"/>
      <c r="V37" s="7"/>
      <c r="W37" s="7"/>
      <c r="X37" s="7"/>
    </row>
    <row r="38" spans="2:24" ht="15" customHeight="1" x14ac:dyDescent="0.25">
      <c r="B38" s="33" t="s">
        <v>364</v>
      </c>
      <c r="C38" s="33"/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  <c r="U38" s="7"/>
      <c r="V38" s="7"/>
      <c r="W38" s="7"/>
      <c r="X38" s="7"/>
    </row>
    <row r="39" spans="2:24" x14ac:dyDescent="0.25">
      <c r="B39" s="21" t="str" cm="1">
        <f t="array" ref="B39:B46">_xlfn._xlws.FILTER(searchtable[Source.Name],ISNUMBER(SEARCH(A4,searchtable[Global Search])),"No Results")</f>
        <v>starter-2N-exisitng-vds.json</v>
      </c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  <c r="U39" s="7"/>
      <c r="V39" s="7"/>
      <c r="W39" s="7"/>
      <c r="X39" s="7"/>
    </row>
    <row r="40" spans="2:24" x14ac:dyDescent="0.25">
      <c r="B40" s="21" t="str">
        <v>starter-2N-novds.json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  <c r="U40" s="7"/>
      <c r="V40" s="7"/>
      <c r="W40" s="7"/>
      <c r="X40" s="7"/>
    </row>
    <row r="41" spans="2:24" x14ac:dyDescent="0.25">
      <c r="B41" s="21" t="str">
        <v>starter-6nodes.json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  <c r="U41" s="7"/>
      <c r="V41" s="7"/>
      <c r="W41" s="7"/>
      <c r="X41" s="7"/>
    </row>
    <row r="42" spans="2:24" x14ac:dyDescent="0.25">
      <c r="B42" s="21" t="str">
        <v>starter-7.0.100-2.json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  <c r="U42" s="7"/>
      <c r="V42" s="7"/>
      <c r="W42" s="7"/>
      <c r="X42" s="7"/>
    </row>
    <row r="43" spans="2:24" x14ac:dyDescent="0.25">
      <c r="B43" s="21" t="str">
        <v>starter-7.0.210.json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  <c r="U43" s="7"/>
      <c r="V43" s="7"/>
      <c r="W43" s="7"/>
      <c r="X43" s="7"/>
    </row>
    <row r="44" spans="2:24" x14ac:dyDescent="0.25">
      <c r="B44" s="21" t="str">
        <v>starter-sfstest.json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  <c r="U44" s="7"/>
      <c r="V44" s="7"/>
      <c r="W44" s="7"/>
      <c r="X44" s="7"/>
    </row>
    <row r="45" spans="2:24" x14ac:dyDescent="0.25">
      <c r="B45" s="21" t="str">
        <v>starter.7.0.010.json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  <c r="U45" s="7"/>
      <c r="V45" s="7"/>
      <c r="W45" s="7"/>
      <c r="X45" s="7"/>
    </row>
    <row r="46" spans="2:24" x14ac:dyDescent="0.25">
      <c r="B46" s="21" t="str">
        <v>starter7.0.100-1.json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  <c r="U46" s="7"/>
      <c r="V46" s="7"/>
      <c r="W46" s="7"/>
      <c r="X46" s="7"/>
    </row>
    <row r="47" spans="2:24" x14ac:dyDescent="0.25">
      <c r="B47" s="21"/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  <c r="U47" s="7"/>
      <c r="V47" s="7"/>
      <c r="W47" s="7"/>
      <c r="X47" s="7"/>
    </row>
    <row r="48" spans="2:24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  <c r="U48" s="7"/>
      <c r="V48" s="7"/>
      <c r="W48" s="7"/>
      <c r="X48" s="7"/>
    </row>
    <row r="49" spans="2:24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  <c r="U49" s="7"/>
      <c r="V49" s="7"/>
      <c r="W49" s="7"/>
      <c r="X49" s="7"/>
    </row>
    <row r="50" spans="2:24" x14ac:dyDescent="0.25">
      <c r="B50" s="21"/>
      <c r="F50" s="23"/>
      <c r="G50" s="24" t="str" cm="1">
        <f t="array" ref="G50">_xlfn.XLOOKUP(SelectedFile&amp;$E51,hosts_2[Source.Name]&amp;hosts_2[hostname],hosts_2[root.username],"")</f>
        <v/>
      </c>
      <c r="H50" s="24" t="str" cm="1">
        <f t="array" ref="H50">_xlfn.XLOOKUP(SelectedFile&amp;$E51,hosts_2[Source.Name]&amp;hosts_2[hostname],hosts_2[management.username],"")</f>
        <v/>
      </c>
      <c r="I50" s="24" t="str" cm="1">
        <f t="array" ref="I50">_xlfn.XLOOKUP(SelectedFile&amp;$E51,hosts_2[Source.Name]&amp;hosts_2[hostname],hosts_2[rack_name],"")</f>
        <v/>
      </c>
      <c r="J50" s="24" t="str" cm="1">
        <f t="array" ref="J50">_xlfn.XLOOKUP(SelectedFile&amp;$E51,hosts_2[Source.Name]&amp;hosts_2[hostname],hosts_2[position],"")</f>
        <v/>
      </c>
      <c r="K50" s="24" t="str" cm="1">
        <f t="array" ref="K50">_xlfn.XLOOKUP(SelectedFile&amp;$E51,hosts_2[Source.Name]&amp;hosts_2[hostname],hosts_2[host_psnt],"")</f>
        <v/>
      </c>
      <c r="L50" s="24" t="str" cm="1">
        <f t="array" ref="L50">_xlfn.XLOOKUP(SelectedFile&amp;$E51,hosts_2[Source.Name]&amp;hosts_2[hostname],hosts_2[MANAGEMENT],"")</f>
        <v/>
      </c>
      <c r="M50" s="24" t="str" cm="1">
        <f t="array" ref="M50">_xlfn.XLOOKUP(SelectedFile&amp;$E51,hosts_2[Source.Name]&amp;hosts_2[hostname],hosts_2[VSAN],"")</f>
        <v/>
      </c>
      <c r="N50" s="24" t="str" cm="1">
        <f t="array" ref="N50">_xlfn.XLOOKUP(SelectedFile&amp;$E51,hosts_2[Source.Name]&amp;hosts_2[hostname],hosts_2[VMOTION],"")</f>
        <v/>
      </c>
      <c r="O50" s="24" t="str" cm="1">
        <f t="array" ref="O50">_xlfn.XLOOKUP(SelectedFile&amp;$E51,hosts_2[Source.Name]&amp;hosts_2[hostname],hosts_2[WITNESS],"")</f>
        <v/>
      </c>
      <c r="P50" s="24" t="str" cm="1">
        <f t="array" ref="P50">_xlfn.XLOOKUP(SelectedFile&amp;$E51,hosts_2[Source.Name]&amp;hosts_2[hostname],hosts_2[management_ip],"")</f>
        <v/>
      </c>
      <c r="Q50" s="7"/>
      <c r="R50" s="7"/>
      <c r="S50" s="7"/>
      <c r="T50" s="7"/>
      <c r="U50" s="7"/>
      <c r="V50" s="7"/>
      <c r="W50" s="7"/>
      <c r="X50" s="7"/>
    </row>
    <row r="51" spans="2:24" x14ac:dyDescent="0.25">
      <c r="B51" s="21"/>
      <c r="F51" s="23"/>
      <c r="G51" s="24" t="str" cm="1">
        <f t="array" ref="G51">_xlfn.XLOOKUP(SelectedFile&amp;$E52,hosts_2[Source.Name]&amp;hosts_2[hostname],hosts_2[root.username],"")</f>
        <v/>
      </c>
      <c r="H51" s="24" t="str" cm="1">
        <f t="array" ref="H51">_xlfn.XLOOKUP(SelectedFile&amp;$E52,hosts_2[Source.Name]&amp;hosts_2[hostname],hosts_2[management.username],"")</f>
        <v/>
      </c>
      <c r="I51" s="24" t="str" cm="1">
        <f t="array" ref="I51">_xlfn.XLOOKUP(SelectedFile&amp;$E52,hosts_2[Source.Name]&amp;hosts_2[hostname],hosts_2[rack_name],"")</f>
        <v/>
      </c>
      <c r="J51" s="24" t="str" cm="1">
        <f t="array" ref="J51">_xlfn.XLOOKUP(SelectedFile&amp;$E52,hosts_2[Source.Name]&amp;hosts_2[hostname],hosts_2[position],"")</f>
        <v/>
      </c>
      <c r="K51" s="24" t="str" cm="1">
        <f t="array" ref="K51">_xlfn.XLOOKUP(SelectedFile&amp;$E52,hosts_2[Source.Name]&amp;hosts_2[hostname],hosts_2[host_psnt],"")</f>
        <v/>
      </c>
      <c r="L51" s="24" t="str" cm="1">
        <f t="array" ref="L51">_xlfn.XLOOKUP(SelectedFile&amp;$E52,hosts_2[Source.Name]&amp;hosts_2[hostname],hosts_2[MANAGEMENT],"")</f>
        <v/>
      </c>
      <c r="M51" s="24" t="str" cm="1">
        <f t="array" ref="M51">_xlfn.XLOOKUP(SelectedFile&amp;$E52,hosts_2[Source.Name]&amp;hosts_2[hostname],hosts_2[VSAN],"")</f>
        <v/>
      </c>
      <c r="N51" s="24" t="str" cm="1">
        <f t="array" ref="N51">_xlfn.XLOOKUP(SelectedFile&amp;$E52,hosts_2[Source.Name]&amp;hosts_2[hostname],hosts_2[VMOTION],"")</f>
        <v/>
      </c>
      <c r="O51" s="24" t="str" cm="1">
        <f t="array" ref="O51">_xlfn.XLOOKUP(SelectedFile&amp;$E52,hosts_2[Source.Name]&amp;hosts_2[hostname],hosts_2[WITNESS],"")</f>
        <v/>
      </c>
      <c r="P51" s="24" t="str" cm="1">
        <f t="array" ref="P51">_xlfn.XLOOKUP(SelectedFile&amp;$E52,hosts_2[Source.Name]&amp;hosts_2[hostname],hosts_2[management_ip],"")</f>
        <v/>
      </c>
      <c r="Q51" s="7"/>
      <c r="R51" s="7"/>
      <c r="S51" s="7"/>
      <c r="T51" s="7"/>
      <c r="U51" s="7"/>
      <c r="V51" s="7"/>
      <c r="W51" s="7"/>
      <c r="X51" s="7"/>
    </row>
    <row r="52" spans="2:24" x14ac:dyDescent="0.25">
      <c r="B52" s="21"/>
      <c r="F52" s="23"/>
      <c r="G52" s="24" t="str" cm="1">
        <f t="array" ref="G52">_xlfn.XLOOKUP(SelectedFile&amp;$E53,hosts_2[Source.Name]&amp;hosts_2[hostname],hosts_2[root.username],"")</f>
        <v/>
      </c>
      <c r="H52" s="24" t="str" cm="1">
        <f t="array" ref="H52">_xlfn.XLOOKUP(SelectedFile&amp;$E53,hosts_2[Source.Name]&amp;hosts_2[hostname],hosts_2[management.username],"")</f>
        <v/>
      </c>
      <c r="I52" s="24" t="str" cm="1">
        <f t="array" ref="I52">_xlfn.XLOOKUP(SelectedFile&amp;$E53,hosts_2[Source.Name]&amp;hosts_2[hostname],hosts_2[rack_name],"")</f>
        <v/>
      </c>
      <c r="J52" s="24" t="str" cm="1">
        <f t="array" ref="J52">_xlfn.XLOOKUP(SelectedFile&amp;$E53,hosts_2[Source.Name]&amp;hosts_2[hostname],hosts_2[position],"")</f>
        <v/>
      </c>
      <c r="K52" s="24" t="str" cm="1">
        <f t="array" ref="K52">_xlfn.XLOOKUP(SelectedFile&amp;$E53,hosts_2[Source.Name]&amp;hosts_2[hostname],hosts_2[host_psnt],"")</f>
        <v/>
      </c>
      <c r="L52" s="24" t="str" cm="1">
        <f t="array" ref="L52">_xlfn.XLOOKUP(SelectedFile&amp;$E53,hosts_2[Source.Name]&amp;hosts_2[hostname],hosts_2[MANAGEMENT],"")</f>
        <v/>
      </c>
      <c r="M52" s="24" t="str" cm="1">
        <f t="array" ref="M52">_xlfn.XLOOKUP(SelectedFile&amp;$E53,hosts_2[Source.Name]&amp;hosts_2[hostname],hosts_2[VSAN],"")</f>
        <v/>
      </c>
      <c r="N52" s="24" t="str" cm="1">
        <f t="array" ref="N52">_xlfn.XLOOKUP(SelectedFile&amp;$E53,hosts_2[Source.Name]&amp;hosts_2[hostname],hosts_2[VMOTION],"")</f>
        <v/>
      </c>
      <c r="O52" s="24" t="str" cm="1">
        <f t="array" ref="O52">_xlfn.XLOOKUP(SelectedFile&amp;$E53,hosts_2[Source.Name]&amp;hosts_2[hostname],hosts_2[WITNESS],"")</f>
        <v/>
      </c>
      <c r="P52" s="24" t="str" cm="1">
        <f t="array" ref="P52">_xlfn.XLOOKUP(SelectedFile&amp;$E53,hosts_2[Source.Name]&amp;hosts_2[hostname],hosts_2[management_ip],"")</f>
        <v/>
      </c>
      <c r="Q52" s="7"/>
      <c r="R52" s="7"/>
      <c r="S52" s="7"/>
      <c r="T52" s="7"/>
      <c r="U52" s="7"/>
      <c r="V52" s="7"/>
      <c r="W52" s="7"/>
      <c r="X52" s="7"/>
    </row>
    <row r="53" spans="2:24" x14ac:dyDescent="0.25">
      <c r="B53" s="21"/>
      <c r="F53" s="23"/>
      <c r="G53" s="24" t="str" cm="1">
        <f t="array" ref="G53">_xlfn.XLOOKUP(SelectedFile&amp;$E54,hosts_2[Source.Name]&amp;hosts_2[hostname],hosts_2[root.username],"")</f>
        <v/>
      </c>
      <c r="H53" s="24" t="str" cm="1">
        <f t="array" ref="H53">_xlfn.XLOOKUP(SelectedFile&amp;$E54,hosts_2[Source.Name]&amp;hosts_2[hostname],hosts_2[management.username],"")</f>
        <v/>
      </c>
      <c r="I53" s="24" t="str" cm="1">
        <f t="array" ref="I53">_xlfn.XLOOKUP(SelectedFile&amp;$E54,hosts_2[Source.Name]&amp;hosts_2[hostname],hosts_2[rack_name],"")</f>
        <v/>
      </c>
      <c r="J53" s="24" t="str" cm="1">
        <f t="array" ref="J53">_xlfn.XLOOKUP(SelectedFile&amp;$E54,hosts_2[Source.Name]&amp;hosts_2[hostname],hosts_2[position],"")</f>
        <v/>
      </c>
      <c r="K53" s="24" t="str" cm="1">
        <f t="array" ref="K53">_xlfn.XLOOKUP(SelectedFile&amp;$E54,hosts_2[Source.Name]&amp;hosts_2[hostname],hosts_2[host_psnt],"")</f>
        <v/>
      </c>
      <c r="L53" s="24" t="str" cm="1">
        <f t="array" ref="L53">_xlfn.XLOOKUP(SelectedFile&amp;$E54,hosts_2[Source.Name]&amp;hosts_2[hostname],hosts_2[MANAGEMENT],"")</f>
        <v/>
      </c>
      <c r="M53" s="24" t="str" cm="1">
        <f t="array" ref="M53">_xlfn.XLOOKUP(SelectedFile&amp;$E54,hosts_2[Source.Name]&amp;hosts_2[hostname],hosts_2[VSAN],"")</f>
        <v/>
      </c>
      <c r="N53" s="24" t="str" cm="1">
        <f t="array" ref="N53">_xlfn.XLOOKUP(SelectedFile&amp;$E54,hosts_2[Source.Name]&amp;hosts_2[hostname],hosts_2[VMOTION],"")</f>
        <v/>
      </c>
      <c r="O53" s="24" t="str" cm="1">
        <f t="array" ref="O53">_xlfn.XLOOKUP(SelectedFile&amp;$E54,hosts_2[Source.Name]&amp;hosts_2[hostname],hosts_2[WITNESS],"")</f>
        <v/>
      </c>
      <c r="P53" s="24" t="str" cm="1">
        <f t="array" ref="P53">_xlfn.XLOOKUP(SelectedFile&amp;$E54,hosts_2[Source.Name]&amp;hosts_2[hostname],hosts_2[management_ip],"")</f>
        <v/>
      </c>
      <c r="Q53" s="7"/>
      <c r="R53" s="7"/>
      <c r="S53" s="7"/>
      <c r="T53" s="7"/>
      <c r="U53" s="7"/>
      <c r="V53" s="7"/>
      <c r="W53" s="7"/>
      <c r="X53" s="7"/>
    </row>
    <row r="54" spans="2:24" x14ac:dyDescent="0.25">
      <c r="B54" s="21"/>
      <c r="F54" s="23"/>
      <c r="G54" s="24" t="str" cm="1">
        <f t="array" ref="G54">_xlfn.XLOOKUP(SelectedFile&amp;$E55,hosts_2[Source.Name]&amp;hosts_2[hostname],hosts_2[root.username],"")</f>
        <v/>
      </c>
      <c r="H54" s="24" t="str" cm="1">
        <f t="array" ref="H54">_xlfn.XLOOKUP(SelectedFile&amp;$E55,hosts_2[Source.Name]&amp;hosts_2[hostname],hosts_2[management.username],"")</f>
        <v/>
      </c>
      <c r="I54" s="24" t="str" cm="1">
        <f t="array" ref="I54">_xlfn.XLOOKUP(SelectedFile&amp;$E55,hosts_2[Source.Name]&amp;hosts_2[hostname],hosts_2[rack_name],"")</f>
        <v/>
      </c>
      <c r="J54" s="24" t="str" cm="1">
        <f t="array" ref="J54">_xlfn.XLOOKUP(SelectedFile&amp;$E55,hosts_2[Source.Name]&amp;hosts_2[hostname],hosts_2[position],"")</f>
        <v/>
      </c>
      <c r="K54" s="24" t="str" cm="1">
        <f t="array" ref="K54">_xlfn.XLOOKUP(SelectedFile&amp;$E55,hosts_2[Source.Name]&amp;hosts_2[hostname],hosts_2[host_psnt],"")</f>
        <v/>
      </c>
      <c r="L54" s="24" t="str" cm="1">
        <f t="array" ref="L54">_xlfn.XLOOKUP(SelectedFile&amp;$E55,hosts_2[Source.Name]&amp;hosts_2[hostname],hosts_2[MANAGEMENT],"")</f>
        <v/>
      </c>
      <c r="M54" s="24" t="str" cm="1">
        <f t="array" ref="M54">_xlfn.XLOOKUP(SelectedFile&amp;$E55,hosts_2[Source.Name]&amp;hosts_2[hostname],hosts_2[VSAN],"")</f>
        <v/>
      </c>
      <c r="N54" s="24" t="str" cm="1">
        <f t="array" ref="N54">_xlfn.XLOOKUP(SelectedFile&amp;$E55,hosts_2[Source.Name]&amp;hosts_2[hostname],hosts_2[VMOTION],"")</f>
        <v/>
      </c>
      <c r="O54" s="24" t="str" cm="1">
        <f t="array" ref="O54">_xlfn.XLOOKUP(SelectedFile&amp;$E55,hosts_2[Source.Name]&amp;hosts_2[hostname],hosts_2[WITNESS],"")</f>
        <v/>
      </c>
      <c r="P54" s="24" t="str" cm="1">
        <f t="array" ref="P54">_xlfn.XLOOKUP(SelectedFile&amp;$E55,hosts_2[Source.Name]&amp;hosts_2[hostname],hosts_2[management_ip],"")</f>
        <v/>
      </c>
      <c r="Q54" s="7"/>
      <c r="R54" s="7"/>
      <c r="S54" s="7"/>
      <c r="T54" s="7"/>
      <c r="U54" s="7"/>
      <c r="V54" s="7"/>
      <c r="W54" s="7"/>
      <c r="X54" s="7"/>
    </row>
    <row r="55" spans="2:24" x14ac:dyDescent="0.25">
      <c r="B55" s="21"/>
      <c r="F55" s="23"/>
      <c r="G55" s="24" t="str" cm="1">
        <f t="array" ref="G55">_xlfn.XLOOKUP(SelectedFile&amp;$E56,hosts_2[Source.Name]&amp;hosts_2[hostname],hosts_2[root.username],"")</f>
        <v/>
      </c>
      <c r="H55" s="24" t="str" cm="1">
        <f t="array" ref="H55">_xlfn.XLOOKUP(SelectedFile&amp;$E56,hosts_2[Source.Name]&amp;hosts_2[hostname],hosts_2[management.username],"")</f>
        <v/>
      </c>
      <c r="I55" s="24" t="str" cm="1">
        <f t="array" ref="I55">_xlfn.XLOOKUP(SelectedFile&amp;$E56,hosts_2[Source.Name]&amp;hosts_2[hostname],hosts_2[rack_name],"")</f>
        <v/>
      </c>
      <c r="J55" s="24" t="str" cm="1">
        <f t="array" ref="J55">_xlfn.XLOOKUP(SelectedFile&amp;$E56,hosts_2[Source.Name]&amp;hosts_2[hostname],hosts_2[position],"")</f>
        <v/>
      </c>
      <c r="K55" s="24" t="str" cm="1">
        <f t="array" ref="K55">_xlfn.XLOOKUP(SelectedFile&amp;$E56,hosts_2[Source.Name]&amp;hosts_2[hostname],hosts_2[host_psnt],"")</f>
        <v/>
      </c>
      <c r="L55" s="24" t="str" cm="1">
        <f t="array" ref="L55">_xlfn.XLOOKUP(SelectedFile&amp;$E56,hosts_2[Source.Name]&amp;hosts_2[hostname],hosts_2[MANAGEMENT],"")</f>
        <v/>
      </c>
      <c r="M55" s="24" t="str" cm="1">
        <f t="array" ref="M55">_xlfn.XLOOKUP(SelectedFile&amp;$E56,hosts_2[Source.Name]&amp;hosts_2[hostname],hosts_2[VSAN],"")</f>
        <v/>
      </c>
      <c r="N55" s="24" t="str" cm="1">
        <f t="array" ref="N55">_xlfn.XLOOKUP(SelectedFile&amp;$E56,hosts_2[Source.Name]&amp;hosts_2[hostname],hosts_2[VMOTION],"")</f>
        <v/>
      </c>
      <c r="O55" s="24" t="str" cm="1">
        <f t="array" ref="O55">_xlfn.XLOOKUP(SelectedFile&amp;$E56,hosts_2[Source.Name]&amp;hosts_2[hostname],hosts_2[WITNESS],"")</f>
        <v/>
      </c>
      <c r="P55" s="24" t="str" cm="1">
        <f t="array" ref="P55">_xlfn.XLOOKUP(SelectedFile&amp;$E56,hosts_2[Source.Name]&amp;hosts_2[hostname],hosts_2[management_ip],"")</f>
        <v/>
      </c>
      <c r="Q55" s="7"/>
      <c r="R55" s="7"/>
      <c r="S55" s="7"/>
      <c r="T55" s="7"/>
      <c r="U55" s="7"/>
      <c r="V55" s="7"/>
      <c r="W55" s="7"/>
      <c r="X55" s="7"/>
    </row>
    <row r="56" spans="2:24" x14ac:dyDescent="0.25">
      <c r="B56" s="21"/>
      <c r="F56" s="23"/>
      <c r="G56" s="24" t="str" cm="1">
        <f t="array" ref="G56">_xlfn.XLOOKUP(SelectedFile&amp;$E57,hosts_2[Source.Name]&amp;hosts_2[hostname],hosts_2[root.username],"")</f>
        <v/>
      </c>
      <c r="H56" s="24" t="str" cm="1">
        <f t="array" ref="H56">_xlfn.XLOOKUP(SelectedFile&amp;$E57,hosts_2[Source.Name]&amp;hosts_2[hostname],hosts_2[management.username],"")</f>
        <v/>
      </c>
      <c r="I56" s="24" t="str" cm="1">
        <f t="array" ref="I56">_xlfn.XLOOKUP(SelectedFile&amp;$E57,hosts_2[Source.Name]&amp;hosts_2[hostname],hosts_2[rack_name],"")</f>
        <v/>
      </c>
      <c r="J56" s="24" t="str" cm="1">
        <f t="array" ref="J56">_xlfn.XLOOKUP(SelectedFile&amp;$E57,hosts_2[Source.Name]&amp;hosts_2[hostname],hosts_2[position],"")</f>
        <v/>
      </c>
      <c r="K56" s="24" t="str" cm="1">
        <f t="array" ref="K56">_xlfn.XLOOKUP(SelectedFile&amp;$E57,hosts_2[Source.Name]&amp;hosts_2[hostname],hosts_2[host_psnt],"")</f>
        <v/>
      </c>
      <c r="L56" s="24" t="str" cm="1">
        <f t="array" ref="L56">_xlfn.XLOOKUP(SelectedFile&amp;$E57,hosts_2[Source.Name]&amp;hosts_2[hostname],hosts_2[MANAGEMENT],"")</f>
        <v/>
      </c>
      <c r="M56" s="24" t="str" cm="1">
        <f t="array" ref="M56">_xlfn.XLOOKUP(SelectedFile&amp;$E57,hosts_2[Source.Name]&amp;hosts_2[hostname],hosts_2[VSAN],"")</f>
        <v/>
      </c>
      <c r="N56" s="24" t="str" cm="1">
        <f t="array" ref="N56">_xlfn.XLOOKUP(SelectedFile&amp;$E57,hosts_2[Source.Name]&amp;hosts_2[hostname],hosts_2[VMOTION],"")</f>
        <v/>
      </c>
      <c r="O56" s="24" t="str" cm="1">
        <f t="array" ref="O56">_xlfn.XLOOKUP(SelectedFile&amp;$E57,hosts_2[Source.Name]&amp;hosts_2[hostname],hosts_2[WITNESS],"")</f>
        <v/>
      </c>
      <c r="P56" s="24" t="str" cm="1">
        <f t="array" ref="P56">_xlfn.XLOOKUP(SelectedFile&amp;$E57,hosts_2[Source.Name]&amp;hosts_2[hostname],hosts_2[management_ip],"")</f>
        <v/>
      </c>
      <c r="Q56" s="7"/>
      <c r="R56" s="7"/>
      <c r="S56" s="7"/>
      <c r="T56" s="7"/>
      <c r="U56" s="7"/>
      <c r="V56" s="7"/>
      <c r="W56" s="7"/>
      <c r="X56" s="7"/>
    </row>
    <row r="57" spans="2:24" x14ac:dyDescent="0.25">
      <c r="B57" s="21"/>
      <c r="F57" s="23"/>
      <c r="G57" s="24" t="str" cm="1">
        <f t="array" ref="G57">_xlfn.XLOOKUP(SelectedFile&amp;$E58,hosts_2[Source.Name]&amp;hosts_2[hostname],hosts_2[root.username],"")</f>
        <v/>
      </c>
      <c r="H57" s="24" t="str" cm="1">
        <f t="array" ref="H57">_xlfn.XLOOKUP(SelectedFile&amp;$E58,hosts_2[Source.Name]&amp;hosts_2[hostname],hosts_2[management.username],"")</f>
        <v/>
      </c>
      <c r="I57" s="24" t="str" cm="1">
        <f t="array" ref="I57">_xlfn.XLOOKUP(SelectedFile&amp;$E58,hosts_2[Source.Name]&amp;hosts_2[hostname],hosts_2[rack_name],"")</f>
        <v/>
      </c>
      <c r="J57" s="24" t="str" cm="1">
        <f t="array" ref="J57">_xlfn.XLOOKUP(SelectedFile&amp;$E58,hosts_2[Source.Name]&amp;hosts_2[hostname],hosts_2[position],"")</f>
        <v/>
      </c>
      <c r="K57" s="24" t="str" cm="1">
        <f t="array" ref="K57">_xlfn.XLOOKUP(SelectedFile&amp;$E58,hosts_2[Source.Name]&amp;hosts_2[hostname],hosts_2[host_psnt],"")</f>
        <v/>
      </c>
      <c r="L57" s="24" t="str" cm="1">
        <f t="array" ref="L57">_xlfn.XLOOKUP(SelectedFile&amp;$E58,hosts_2[Source.Name]&amp;hosts_2[hostname],hosts_2[MANAGEMENT],"")</f>
        <v/>
      </c>
      <c r="M57" s="24" t="str" cm="1">
        <f t="array" ref="M57">_xlfn.XLOOKUP(SelectedFile&amp;$E58,hosts_2[Source.Name]&amp;hosts_2[hostname],hosts_2[VSAN],"")</f>
        <v/>
      </c>
      <c r="N57" s="24" t="str" cm="1">
        <f t="array" ref="N57">_xlfn.XLOOKUP(SelectedFile&amp;$E58,hosts_2[Source.Name]&amp;hosts_2[hostname],hosts_2[VMOTION],"")</f>
        <v/>
      </c>
      <c r="O57" s="24" t="str" cm="1">
        <f t="array" ref="O57">_xlfn.XLOOKUP(SelectedFile&amp;$E58,hosts_2[Source.Name]&amp;hosts_2[hostname],hosts_2[WITNESS],"")</f>
        <v/>
      </c>
      <c r="P57" s="24" t="str" cm="1">
        <f t="array" ref="P57">_xlfn.XLOOKUP(SelectedFile&amp;$E58,hosts_2[Source.Name]&amp;hosts_2[hostname],hosts_2[management_ip],"")</f>
        <v/>
      </c>
      <c r="Q57" s="7"/>
      <c r="R57" s="7"/>
      <c r="S57" s="7"/>
      <c r="T57" s="7"/>
      <c r="U57" s="7"/>
      <c r="V57" s="7"/>
      <c r="W57" s="7"/>
      <c r="X57" s="7"/>
    </row>
    <row r="58" spans="2:24" x14ac:dyDescent="0.25">
      <c r="B58" s="21"/>
      <c r="F58" s="23"/>
      <c r="G58" s="24" t="str" cm="1">
        <f t="array" ref="G58">_xlfn.XLOOKUP(SelectedFile&amp;$E59,hosts_2[Source.Name]&amp;hosts_2[hostname],hosts_2[root.username],"")</f>
        <v/>
      </c>
      <c r="H58" s="24" t="str" cm="1">
        <f t="array" ref="H58">_xlfn.XLOOKUP(SelectedFile&amp;$E59,hosts_2[Source.Name]&amp;hosts_2[hostname],hosts_2[management.username],"")</f>
        <v/>
      </c>
      <c r="I58" s="24" t="str" cm="1">
        <f t="array" ref="I58">_xlfn.XLOOKUP(SelectedFile&amp;$E59,hosts_2[Source.Name]&amp;hosts_2[hostname],hosts_2[rack_name],"")</f>
        <v/>
      </c>
      <c r="J58" s="24" t="str" cm="1">
        <f t="array" ref="J58">_xlfn.XLOOKUP(SelectedFile&amp;$E59,hosts_2[Source.Name]&amp;hosts_2[hostname],hosts_2[position],"")</f>
        <v/>
      </c>
      <c r="K58" s="24" t="str" cm="1">
        <f t="array" ref="K58">_xlfn.XLOOKUP(SelectedFile&amp;$E59,hosts_2[Source.Name]&amp;hosts_2[hostname],hosts_2[host_psnt],"")</f>
        <v/>
      </c>
      <c r="L58" s="24" t="str" cm="1">
        <f t="array" ref="L58">_xlfn.XLOOKUP(SelectedFile&amp;$E59,hosts_2[Source.Name]&amp;hosts_2[hostname],hosts_2[MANAGEMENT],"")</f>
        <v/>
      </c>
      <c r="M58" s="24" t="str" cm="1">
        <f t="array" ref="M58">_xlfn.XLOOKUP(SelectedFile&amp;$E59,hosts_2[Source.Name]&amp;hosts_2[hostname],hosts_2[VSAN],"")</f>
        <v/>
      </c>
      <c r="N58" s="24" t="str" cm="1">
        <f t="array" ref="N58">_xlfn.XLOOKUP(SelectedFile&amp;$E59,hosts_2[Source.Name]&amp;hosts_2[hostname],hosts_2[VMOTION],"")</f>
        <v/>
      </c>
      <c r="O58" s="24" t="str" cm="1">
        <f t="array" ref="O58">_xlfn.XLOOKUP(SelectedFile&amp;$E59,hosts_2[Source.Name]&amp;hosts_2[hostname],hosts_2[WITNESS],"")</f>
        <v/>
      </c>
      <c r="P58" s="24" t="str" cm="1">
        <f t="array" ref="P58">_xlfn.XLOOKUP(SelectedFile&amp;$E59,hosts_2[Source.Name]&amp;hosts_2[hostname],hosts_2[management_ip],"")</f>
        <v/>
      </c>
      <c r="Q58" s="7"/>
      <c r="R58" s="7"/>
      <c r="S58" s="7"/>
      <c r="T58" s="7"/>
      <c r="U58" s="7"/>
      <c r="V58" s="7"/>
      <c r="W58" s="7"/>
      <c r="X58" s="7"/>
    </row>
    <row r="59" spans="2:24" x14ac:dyDescent="0.25">
      <c r="B59" s="21"/>
      <c r="F59" s="23"/>
      <c r="G59" s="24" t="str" cm="1">
        <f t="array" ref="G59">_xlfn.XLOOKUP(SelectedFile&amp;$E60,hosts_2[Source.Name]&amp;hosts_2[hostname],hosts_2[root.username],"")</f>
        <v/>
      </c>
      <c r="H59" s="24" t="str" cm="1">
        <f t="array" ref="H59">_xlfn.XLOOKUP(SelectedFile&amp;$E60,hosts_2[Source.Name]&amp;hosts_2[hostname],hosts_2[management.username],"")</f>
        <v/>
      </c>
      <c r="I59" s="24" t="str" cm="1">
        <f t="array" ref="I59">_xlfn.XLOOKUP(SelectedFile&amp;$E60,hosts_2[Source.Name]&amp;hosts_2[hostname],hosts_2[rack_name],"")</f>
        <v/>
      </c>
      <c r="J59" s="24" t="str" cm="1">
        <f t="array" ref="J59">_xlfn.XLOOKUP(SelectedFile&amp;$E60,hosts_2[Source.Name]&amp;hosts_2[hostname],hosts_2[position],"")</f>
        <v/>
      </c>
      <c r="K59" s="24" t="str" cm="1">
        <f t="array" ref="K59">_xlfn.XLOOKUP(SelectedFile&amp;$E60,hosts_2[Source.Name]&amp;hosts_2[hostname],hosts_2[host_psnt],"")</f>
        <v/>
      </c>
      <c r="L59" s="24" t="str" cm="1">
        <f t="array" ref="L59">_xlfn.XLOOKUP(SelectedFile&amp;$E60,hosts_2[Source.Name]&amp;hosts_2[hostname],hosts_2[MANAGEMENT],"")</f>
        <v/>
      </c>
      <c r="M59" s="24" t="str" cm="1">
        <f t="array" ref="M59">_xlfn.XLOOKUP(SelectedFile&amp;$E60,hosts_2[Source.Name]&amp;hosts_2[hostname],hosts_2[VSAN],"")</f>
        <v/>
      </c>
      <c r="N59" s="24" t="str" cm="1">
        <f t="array" ref="N59">_xlfn.XLOOKUP(SelectedFile&amp;$E60,hosts_2[Source.Name]&amp;hosts_2[hostname],hosts_2[VMOTION],"")</f>
        <v/>
      </c>
      <c r="O59" s="24" t="str" cm="1">
        <f t="array" ref="O59">_xlfn.XLOOKUP(SelectedFile&amp;$E60,hosts_2[Source.Name]&amp;hosts_2[hostname],hosts_2[WITNESS],"")</f>
        <v/>
      </c>
      <c r="P59" s="24" t="str" cm="1">
        <f t="array" ref="P59">_xlfn.XLOOKUP(SelectedFile&amp;$E60,hosts_2[Source.Name]&amp;hosts_2[hostname],hosts_2[management_ip],"")</f>
        <v/>
      </c>
      <c r="Q59" s="7"/>
      <c r="R59" s="7"/>
      <c r="S59" s="7"/>
      <c r="T59" s="7"/>
      <c r="U59" s="7"/>
      <c r="V59" s="7"/>
      <c r="W59" s="7"/>
      <c r="X59" s="7"/>
    </row>
    <row r="60" spans="2:24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  <c r="U60" s="7"/>
      <c r="V60" s="7"/>
      <c r="W60" s="7"/>
      <c r="X60" s="7"/>
    </row>
    <row r="61" spans="2:24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  <c r="U61" s="7"/>
      <c r="V61" s="7"/>
      <c r="W61" s="7"/>
      <c r="X61" s="7"/>
    </row>
    <row r="62" spans="2:24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  <c r="U62" s="7"/>
      <c r="V62" s="7"/>
      <c r="W62" s="7"/>
      <c r="X62" s="7"/>
    </row>
    <row r="63" spans="2:24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  <c r="U63" s="7"/>
      <c r="V63" s="7"/>
      <c r="W63" s="7"/>
      <c r="X63" s="7"/>
    </row>
    <row r="64" spans="2:24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  <c r="U64" s="7"/>
      <c r="V64" s="7"/>
      <c r="W64" s="7"/>
      <c r="X64" s="7"/>
    </row>
    <row r="65" spans="2:24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  <c r="U65" s="7"/>
      <c r="V65" s="7"/>
      <c r="W65" s="7"/>
      <c r="X65" s="7"/>
    </row>
    <row r="66" spans="2:24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  <c r="U66" s="7"/>
      <c r="V66" s="7"/>
      <c r="W66" s="7"/>
      <c r="X66" s="7"/>
    </row>
    <row r="67" spans="2:24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  <c r="U67" s="7"/>
      <c r="V67" s="7"/>
      <c r="W67" s="7"/>
      <c r="X67" s="7"/>
    </row>
    <row r="68" spans="2:24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  <c r="U68" s="7"/>
      <c r="V68" s="7"/>
      <c r="W68" s="7"/>
      <c r="X68" s="7"/>
    </row>
    <row r="69" spans="2:24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  <c r="U69" s="7"/>
      <c r="V69" s="7"/>
      <c r="W69" s="7"/>
      <c r="X69" s="7"/>
    </row>
    <row r="70" spans="2:24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  <c r="U70" s="7"/>
      <c r="V70" s="7"/>
      <c r="W70" s="7"/>
      <c r="X70" s="7"/>
    </row>
    <row r="71" spans="2:24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  <c r="U71" s="7"/>
      <c r="V71" s="7"/>
      <c r="W71" s="7"/>
      <c r="X71" s="7"/>
    </row>
    <row r="72" spans="2:24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  <c r="U72" s="7"/>
      <c r="V72" s="7"/>
      <c r="W72" s="7"/>
      <c r="X72" s="7"/>
    </row>
    <row r="73" spans="2:24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  <c r="U73" s="7"/>
      <c r="V73" s="7"/>
      <c r="W73" s="7"/>
      <c r="X73" s="7"/>
    </row>
    <row r="74" spans="2:24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  <c r="U74" s="7"/>
      <c r="V74" s="7"/>
      <c r="W74" s="7"/>
      <c r="X74" s="7"/>
    </row>
    <row r="75" spans="2:24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  <c r="U75" s="7"/>
      <c r="V75" s="7"/>
      <c r="W75" s="7"/>
      <c r="X75" s="7"/>
    </row>
    <row r="76" spans="2:24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R76" s="7"/>
      <c r="S76" s="7"/>
      <c r="T76" s="7"/>
      <c r="U76" s="7"/>
      <c r="V76" s="7"/>
      <c r="W76" s="7"/>
      <c r="X76" s="7"/>
    </row>
    <row r="77" spans="2:24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X77" s="7"/>
    </row>
    <row r="78" spans="2:24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X78" s="7"/>
    </row>
    <row r="79" spans="2:24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X79" s="7"/>
    </row>
    <row r="80" spans="2:24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X80" s="7"/>
    </row>
    <row r="81" spans="2:24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X81" s="7"/>
    </row>
    <row r="82" spans="2:24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X82" s="7"/>
    </row>
    <row r="83" spans="2:24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X83" s="7"/>
    </row>
    <row r="84" spans="2:24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X84" s="7"/>
    </row>
    <row r="85" spans="2:24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X85" s="7"/>
    </row>
    <row r="86" spans="2:24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X86" s="7"/>
    </row>
    <row r="87" spans="2:24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X87" s="7"/>
    </row>
    <row r="88" spans="2:24" x14ac:dyDescent="0.25">
      <c r="B88" s="21"/>
      <c r="Q88" s="7"/>
      <c r="X88" s="7"/>
    </row>
    <row r="89" spans="2:24" x14ac:dyDescent="0.25">
      <c r="B89" s="21"/>
    </row>
    <row r="90" spans="2:24" x14ac:dyDescent="0.25">
      <c r="B90" s="21"/>
    </row>
    <row r="91" spans="2:24" x14ac:dyDescent="0.25">
      <c r="B91" s="21"/>
    </row>
    <row r="92" spans="2:24" x14ac:dyDescent="0.25">
      <c r="B92" s="21"/>
    </row>
    <row r="93" spans="2:24" x14ac:dyDescent="0.25">
      <c r="B93" s="21"/>
    </row>
    <row r="94" spans="2:24" x14ac:dyDescent="0.25">
      <c r="B94" s="21"/>
    </row>
    <row r="95" spans="2:24" x14ac:dyDescent="0.25">
      <c r="B95" s="21"/>
    </row>
    <row r="96" spans="2:24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</sheetData>
  <mergeCells count="1">
    <mergeCell ref="B38:C38"/>
  </mergeCells>
  <phoneticPr fontId="3" type="noConversion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5" r:id="rId4" name="ComboBox2">
          <controlPr defaultSize="0" autoLine="0" linkedCell="A2" listFillRange="keywords!B2:B59" r:id="rId5">
            <anchor moveWithCells="1">
              <from>
                <xdr:col>1</xdr:col>
                <xdr:colOff>57150</xdr:colOff>
                <xdr:row>34</xdr:row>
                <xdr:rowOff>152400</xdr:rowOff>
              </from>
              <to>
                <xdr:col>2</xdr:col>
                <xdr:colOff>19050</xdr:colOff>
                <xdr:row>36</xdr:row>
                <xdr:rowOff>38100</xdr:rowOff>
              </to>
            </anchor>
          </controlPr>
        </control>
      </mc:Choice>
      <mc:Fallback>
        <control shapeId="1045" r:id="rId4" name="ComboBox2"/>
      </mc:Fallback>
    </mc:AlternateContent>
    <mc:AlternateContent xmlns:mc="http://schemas.openxmlformats.org/markup-compatibility/2006">
      <mc:Choice Requires="x14">
        <control shapeId="1044" r:id="rId6" name="TextBox2">
          <controlPr defaultSize="0" autoLine="0" altText="Keyword search" linkedCell="A4" r:id="rId7">
            <anchor moveWithCells="1">
              <from>
                <xdr:col>2</xdr:col>
                <xdr:colOff>114300</xdr:colOff>
                <xdr:row>34</xdr:row>
                <xdr:rowOff>142875</xdr:rowOff>
              </from>
              <to>
                <xdr:col>3</xdr:col>
                <xdr:colOff>0</xdr:colOff>
                <xdr:row>36</xdr:row>
                <xdr:rowOff>57150</xdr:rowOff>
              </to>
            </anchor>
          </controlPr>
        </control>
      </mc:Choice>
      <mc:Fallback>
        <control shapeId="1044" r:id="rId6" name="TextBox2"/>
      </mc:Fallback>
    </mc:AlternateContent>
    <mc:AlternateContent xmlns:mc="http://schemas.openxmlformats.org/markup-compatibility/2006">
      <mc:Choice Requires="x14">
        <control shapeId="1039" r:id="rId8" name="ComboBox1">
          <controlPr defaultSize="0" autoLine="0" linkedCell="B1" listFillRange="B39:B2409" r:id="rId9">
            <anchor moveWithCells="1">
              <from>
                <xdr:col>1</xdr:col>
                <xdr:colOff>0</xdr:colOff>
                <xdr:row>0</xdr:row>
                <xdr:rowOff>171450</xdr:rowOff>
              </from>
              <to>
                <xdr:col>2</xdr:col>
                <xdr:colOff>1714500</xdr:colOff>
                <xdr:row>2</xdr:row>
                <xdr:rowOff>95250</xdr:rowOff>
              </to>
            </anchor>
          </controlPr>
        </control>
      </mc:Choice>
      <mc:Fallback>
        <control shapeId="1039" r:id="rId8" name="ComboBox1"/>
      </mc:Fallback>
    </mc:AlternateContent>
  </controls>
  <tableParts count="2"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81.140625" customWidth="1"/>
    <col min="4" max="4" width="81.140625" bestFit="1" customWidth="1"/>
  </cols>
  <sheetData>
    <row r="1" spans="1:3" x14ac:dyDescent="0.25">
      <c r="A1" t="s">
        <v>0</v>
      </c>
      <c r="B1" t="s">
        <v>402</v>
      </c>
      <c r="C1" t="s">
        <v>363</v>
      </c>
    </row>
    <row r="2" spans="1:3" x14ac:dyDescent="0.25">
      <c r="A2" s="1" t="s">
        <v>5</v>
      </c>
      <c r="B2" s="1" t="s">
        <v>403</v>
      </c>
      <c r="C2" s="1" t="s">
        <v>404</v>
      </c>
    </row>
    <row r="3" spans="1:3" x14ac:dyDescent="0.25">
      <c r="A3" s="1" t="s">
        <v>369</v>
      </c>
      <c r="B3" s="1" t="s">
        <v>405</v>
      </c>
      <c r="C3" s="1" t="s">
        <v>406</v>
      </c>
    </row>
    <row r="4" spans="1:3" x14ac:dyDescent="0.25">
      <c r="A4" s="1" t="s">
        <v>6</v>
      </c>
      <c r="B4" s="1" t="s">
        <v>407</v>
      </c>
      <c r="C4" s="1" t="s">
        <v>408</v>
      </c>
    </row>
    <row r="5" spans="1:3" x14ac:dyDescent="0.25">
      <c r="A5" s="1" t="s">
        <v>370</v>
      </c>
      <c r="B5" s="1" t="s">
        <v>409</v>
      </c>
      <c r="C5" s="1" t="s">
        <v>410</v>
      </c>
    </row>
    <row r="6" spans="1:3" x14ac:dyDescent="0.25">
      <c r="A6" s="1" t="s">
        <v>7</v>
      </c>
      <c r="B6" s="1" t="s">
        <v>411</v>
      </c>
      <c r="C6" s="1" t="s">
        <v>412</v>
      </c>
    </row>
    <row r="7" spans="1:3" x14ac:dyDescent="0.25">
      <c r="A7" s="1" t="s">
        <v>371</v>
      </c>
      <c r="B7" s="1" t="s">
        <v>413</v>
      </c>
      <c r="C7" s="1" t="s">
        <v>410</v>
      </c>
    </row>
    <row r="8" spans="1:3" x14ac:dyDescent="0.25">
      <c r="A8" s="1" t="s">
        <v>260</v>
      </c>
      <c r="B8" s="1" t="s">
        <v>414</v>
      </c>
      <c r="C8" s="1" t="s">
        <v>415</v>
      </c>
    </row>
    <row r="9" spans="1:3" x14ac:dyDescent="0.25">
      <c r="A9" s="1" t="s">
        <v>372</v>
      </c>
      <c r="B9" s="1" t="s">
        <v>416</v>
      </c>
      <c r="C9" s="1" t="s">
        <v>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18.28515625" bestFit="1" customWidth="1"/>
    <col min="4" max="4" width="16.5703125" bestFit="1" customWidth="1"/>
    <col min="5" max="5" width="32.140625" customWidth="1"/>
  </cols>
  <sheetData>
    <row r="1" spans="1:2" x14ac:dyDescent="0.25">
      <c r="A1" t="s">
        <v>0</v>
      </c>
      <c r="B1" t="s">
        <v>362</v>
      </c>
    </row>
    <row r="2" spans="1:2" x14ac:dyDescent="0.25">
      <c r="A2" s="1" t="s">
        <v>5</v>
      </c>
      <c r="B2" s="19" t="s">
        <v>513</v>
      </c>
    </row>
    <row r="3" spans="1:2" x14ac:dyDescent="0.25">
      <c r="A3" s="1" t="s">
        <v>369</v>
      </c>
      <c r="B3" s="19" t="s">
        <v>514</v>
      </c>
    </row>
    <row r="4" spans="1:2" x14ac:dyDescent="0.25">
      <c r="A4" s="1" t="s">
        <v>6</v>
      </c>
      <c r="B4" s="19" t="s">
        <v>515</v>
      </c>
    </row>
    <row r="5" spans="1:2" x14ac:dyDescent="0.25">
      <c r="A5" s="1" t="s">
        <v>370</v>
      </c>
      <c r="B5" s="19" t="s">
        <v>516</v>
      </c>
    </row>
    <row r="6" spans="1:2" x14ac:dyDescent="0.25">
      <c r="A6" s="1" t="s">
        <v>7</v>
      </c>
      <c r="B6" s="19" t="s">
        <v>517</v>
      </c>
    </row>
    <row r="7" spans="1:2" x14ac:dyDescent="0.25">
      <c r="A7" s="1" t="s">
        <v>371</v>
      </c>
      <c r="B7" s="19" t="s">
        <v>518</v>
      </c>
    </row>
    <row r="8" spans="1:2" x14ac:dyDescent="0.25">
      <c r="A8" s="1" t="s">
        <v>260</v>
      </c>
      <c r="B8" s="19" t="s">
        <v>519</v>
      </c>
    </row>
    <row r="9" spans="1:2" x14ac:dyDescent="0.25">
      <c r="A9" s="1" t="s">
        <v>372</v>
      </c>
      <c r="B9" s="19" t="s">
        <v>520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W88"/>
  <sheetViews>
    <sheetView showGridLines="0" showZeros="0" tabSelected="1" zoomScaleNormal="100" workbookViewId="0">
      <selection activeCell="C14" sqref="C14"/>
    </sheetView>
  </sheetViews>
  <sheetFormatPr defaultRowHeight="15" x14ac:dyDescent="0.25"/>
  <cols>
    <col min="1" max="1" width="4.28515625" customWidth="1"/>
    <col min="2" max="2" width="12.140625" customWidth="1"/>
    <col min="3" max="3" width="58.85546875" customWidth="1"/>
    <col min="4" max="4" width="7.140625" customWidth="1"/>
    <col min="5" max="5" width="27.85546875" customWidth="1"/>
    <col min="6" max="6" width="36.5703125" customWidth="1"/>
    <col min="7" max="7" width="7.7109375" customWidth="1"/>
    <col min="8" max="8" width="27.85546875" customWidth="1"/>
    <col min="9" max="9" width="36.5703125" customWidth="1"/>
    <col min="10" max="10" width="7.7109375" customWidth="1"/>
    <col min="11" max="11" width="27.85546875" customWidth="1"/>
    <col min="12" max="12" width="36.5703125" customWidth="1"/>
    <col min="13" max="13" width="16.42578125" bestFit="1" customWidth="1"/>
    <col min="14" max="14" width="46.7109375" bestFit="1" customWidth="1"/>
    <col min="15" max="15" width="10.140625" bestFit="1" customWidth="1"/>
    <col min="16" max="16" width="13.140625" bestFit="1" customWidth="1"/>
    <col min="17" max="17" width="11.7109375" bestFit="1" customWidth="1"/>
    <col min="18" max="18" width="23.28515625" bestFit="1" customWidth="1"/>
    <col min="20" max="20" width="42.42578125" bestFit="1" customWidth="1"/>
    <col min="21" max="21" width="16" bestFit="1" customWidth="1"/>
    <col min="22" max="22" width="36.140625" bestFit="1" customWidth="1"/>
    <col min="23" max="23" width="19.140625" bestFit="1" customWidth="1"/>
    <col min="24" max="24" width="21.7109375" bestFit="1" customWidth="1"/>
    <col min="25" max="25" width="20.140625" bestFit="1" customWidth="1"/>
    <col min="26" max="26" width="34.28515625" bestFit="1" customWidth="1"/>
    <col min="27" max="27" width="36" bestFit="1" customWidth="1"/>
    <col min="28" max="28" width="30" bestFit="1" customWidth="1"/>
    <col min="29" max="29" width="35.85546875" bestFit="1" customWidth="1"/>
    <col min="30" max="30" width="9.5703125" bestFit="1" customWidth="1"/>
    <col min="31" max="31" width="33.28515625" bestFit="1" customWidth="1"/>
  </cols>
  <sheetData>
    <row r="1" spans="1:49" x14ac:dyDescent="0.25">
      <c r="A1" s="43">
        <v>13</v>
      </c>
      <c r="B1" s="42"/>
      <c r="D1" s="15"/>
      <c r="E1" s="15" t="s">
        <v>6</v>
      </c>
      <c r="H1" s="15">
        <v>13</v>
      </c>
      <c r="I1" s="15" t="s">
        <v>5</v>
      </c>
      <c r="K1" s="15">
        <v>13</v>
      </c>
      <c r="L1" s="15" t="s">
        <v>371</v>
      </c>
    </row>
    <row r="2" spans="1:49" x14ac:dyDescent="0.25">
      <c r="A2" s="43" t="s">
        <v>429</v>
      </c>
      <c r="B2" s="42"/>
    </row>
    <row r="3" spans="1:49" x14ac:dyDescent="0.25">
      <c r="A3" s="43" t="str">
        <f>(_xlfn.XLOOKUP(A2,KeywordList[Display],KeywordList[Search prefix]))&amp;A4</f>
        <v/>
      </c>
      <c r="B3" s="42"/>
      <c r="C3" s="42"/>
    </row>
    <row r="4" spans="1:49" x14ac:dyDescent="0.25">
      <c r="A4" s="43" t="s">
        <v>84</v>
      </c>
      <c r="B4" s="42"/>
      <c r="C4" s="20" t="s">
        <v>364</v>
      </c>
      <c r="E4" s="3" t="s">
        <v>195</v>
      </c>
      <c r="F4" s="30" t="s">
        <v>2</v>
      </c>
      <c r="H4" s="3" t="s">
        <v>195</v>
      </c>
      <c r="I4" s="30" t="s">
        <v>2</v>
      </c>
      <c r="K4" s="3" t="s">
        <v>195</v>
      </c>
      <c r="L4" s="30" t="s">
        <v>2</v>
      </c>
      <c r="AE4" s="4"/>
      <c r="AF4" s="4"/>
    </row>
    <row r="5" spans="1:49" x14ac:dyDescent="0.25">
      <c r="A5" s="42"/>
      <c r="B5" s="42"/>
      <c r="C5" t="str" cm="1">
        <f t="array" ref="C5:C12">_xlfn._xlws.FILTER(searchtable[Source.Name],ISNUMBER(SEARCH(A4,searchtable[Global Search])),"No Results")</f>
        <v>starter-2N-exisitng-vds.json</v>
      </c>
      <c r="E5" s="3" t="s">
        <v>17</v>
      </c>
      <c r="F5" s="29" t="str">
        <f>_xlfn.XLOOKUP(File1,supported[Source.Name],supported[Value])</f>
        <v>7.0.130</v>
      </c>
      <c r="H5" s="3" t="s">
        <v>17</v>
      </c>
      <c r="I5" s="29" t="str">
        <f>_xlfn.XLOOKUP(File2,supported[Source.Name],supported[Value])</f>
        <v>7.0.201</v>
      </c>
      <c r="K5" s="3" t="s">
        <v>17</v>
      </c>
      <c r="L5" s="29" t="str">
        <f>_xlfn.XLOOKUP(File3,supported[Source.Name],supported[Value])</f>
        <v>7.0.210</v>
      </c>
    </row>
    <row r="6" spans="1:49" x14ac:dyDescent="0.25">
      <c r="A6" s="42"/>
      <c r="B6" s="42"/>
      <c r="C6" t="str">
        <v>starter-2N-novds.json</v>
      </c>
      <c r="E6" s="3" t="s">
        <v>231</v>
      </c>
      <c r="F6" s="29" t="str">
        <f>_xlfn.XLOOKUP(File1,global[Source.Name],global[cluster_type])</f>
        <v>STANDARD</v>
      </c>
      <c r="H6" s="3" t="s">
        <v>231</v>
      </c>
      <c r="I6" s="29" t="str">
        <f>_xlfn.XLOOKUP(File2,global[Source.Name],global[cluster_type])</f>
        <v>VSAN2NODE</v>
      </c>
      <c r="K6" s="3" t="s">
        <v>231</v>
      </c>
      <c r="L6" s="29" t="str">
        <f>_xlfn.XLOOKUP(File3,global[Source.Name],global[cluster_type])</f>
        <v>STANDARD</v>
      </c>
    </row>
    <row r="7" spans="1:49" x14ac:dyDescent="0.25">
      <c r="A7" s="42"/>
      <c r="B7" s="42"/>
      <c r="C7" t="str">
        <v>starter-6nodes.json</v>
      </c>
      <c r="E7" s="3" t="s">
        <v>224</v>
      </c>
      <c r="F7" s="30">
        <f>COUNTIF(hosts_2[Source.Name],File1)</f>
        <v>6</v>
      </c>
      <c r="H7" s="3" t="s">
        <v>224</v>
      </c>
      <c r="I7" s="30">
        <f>COUNTIF(hosts_2[Source.Name],File2)</f>
        <v>2</v>
      </c>
      <c r="K7" s="3" t="s">
        <v>224</v>
      </c>
      <c r="L7" s="30">
        <f>COUNTIF(hosts_2[Source.Name],File3)</f>
        <v>3</v>
      </c>
    </row>
    <row r="8" spans="1:49" x14ac:dyDescent="0.25">
      <c r="A8" s="42"/>
      <c r="B8" s="42"/>
      <c r="C8" t="str">
        <v>starter-7.0.100-2.json</v>
      </c>
      <c r="E8" s="3" t="s">
        <v>225</v>
      </c>
      <c r="F8" s="30">
        <f>COUNTIF(network_vds[Source.Name],File1)</f>
        <v>12</v>
      </c>
      <c r="H8" s="3" t="s">
        <v>225</v>
      </c>
      <c r="I8" s="30">
        <f>COUNTIF(network_vds[Source.Name],File2)</f>
        <v>12</v>
      </c>
      <c r="K8" s="3" t="s">
        <v>225</v>
      </c>
      <c r="L8" s="30">
        <f>COUNTIF(network_vds[Source.Name],File3)</f>
        <v>3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/>
    </row>
    <row r="9" spans="1:49" x14ac:dyDescent="0.25">
      <c r="A9" s="42"/>
      <c r="B9" s="42"/>
      <c r="C9" t="str">
        <v>starter-7.0.210.json</v>
      </c>
      <c r="E9" s="3"/>
      <c r="F9" s="30"/>
      <c r="H9" s="3"/>
      <c r="I9" s="30"/>
      <c r="K9" s="3"/>
      <c r="L9" s="30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0"/>
    </row>
    <row r="10" spans="1:49" x14ac:dyDescent="0.25">
      <c r="A10" s="42"/>
      <c r="B10" s="42"/>
      <c r="C10" t="str">
        <v>starter-sfstest.json</v>
      </c>
      <c r="E10" s="3" t="s">
        <v>193</v>
      </c>
      <c r="F10" s="29" t="str">
        <f ca="1">(TEXT((_xlfn.XLOOKUP(File1,Source[Name],Source[Date created])),"mm/dd/yy")) &amp; (" ("&amp;ROUND((TODAY()-(_xlfn.XLOOKUP(File1,Source[Name],Source[Date created]))),0)&amp;"d)")</f>
        <v>07/20/21 (43d)</v>
      </c>
      <c r="H10" s="3" t="s">
        <v>193</v>
      </c>
      <c r="I10" s="29" t="str">
        <f ca="1">(TEXT((_xlfn.XLOOKUP(File2,Source[Name],Source[Date created])),"mm/dd/yy")) &amp; (" ("&amp;ROUND((TODAY()-(_xlfn.XLOOKUP(File2,Source[Name],Source[Date created]))),0)&amp;"d)")</f>
        <v>07/13/21 (50d)</v>
      </c>
      <c r="K10" s="3" t="s">
        <v>193</v>
      </c>
      <c r="L10" s="29" t="str">
        <f ca="1">(TEXT((_xlfn.XLOOKUP(File3,Source[Name],Source[Date created])),"mm/dd/yy")) &amp; (" ("&amp;ROUND((TODAY()-(_xlfn.XLOOKUP(File3,Source[Name],Source[Date created]))),0)&amp;"d)")</f>
        <v>08/31/21 (1d)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0"/>
    </row>
    <row r="11" spans="1:49" x14ac:dyDescent="0.25">
      <c r="A11" s="42"/>
      <c r="B11" s="42"/>
      <c r="C11" t="str">
        <v>starter.7.0.010.json</v>
      </c>
      <c r="E11" s="3" t="s">
        <v>194</v>
      </c>
      <c r="F11" s="29" t="str">
        <f ca="1">(TEXT((_xlfn.XLOOKUP(File1,Source[Name],Source[Date modified])),"mm/dd/yy")) &amp; (" ("&amp;ROUND((TODAY()-(_xlfn.XLOOKUP(File1,Source[Name],Source[Date modified]))),0)&amp;"d)")</f>
        <v>08/31/21 (0d)</v>
      </c>
      <c r="H11" s="3" t="s">
        <v>194</v>
      </c>
      <c r="I11" s="29" t="str">
        <f ca="1">(TEXT((_xlfn.XLOOKUP(File2,Source[Name],Source[Date modified])),"mm/dd/yy")) &amp; (" ("&amp;ROUND((TODAY()-(_xlfn.XLOOKUP(File2,Source[Name],Source[Date modified]))),0)&amp;"d)")</f>
        <v>08/31/21 (0d)</v>
      </c>
      <c r="K11" s="3" t="s">
        <v>194</v>
      </c>
      <c r="L11" s="29" t="str">
        <f ca="1">(TEXT((_xlfn.XLOOKUP(File3,Source[Name],Source[Date modified])),"mm/dd/yy")) &amp; (" ("&amp;ROUND((TODAY()-(_xlfn.XLOOKUP(File3,Source[Name],Source[Date modified]))),0)&amp;"d)")</f>
        <v>08/31/21 (0d)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0"/>
    </row>
    <row r="12" spans="1:49" x14ac:dyDescent="0.25">
      <c r="A12" s="42"/>
      <c r="B12" s="42"/>
      <c r="C12" t="str">
        <v>starter7.0.100-1.json</v>
      </c>
      <c r="F12" s="30"/>
      <c r="H12" s="3"/>
      <c r="I12" s="30"/>
      <c r="K12" s="3"/>
      <c r="L12" s="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0"/>
    </row>
    <row r="13" spans="1:49" x14ac:dyDescent="0.25">
      <c r="A13" s="42"/>
      <c r="B13" s="42"/>
      <c r="E13" s="3" t="s">
        <v>75</v>
      </c>
      <c r="F13" s="30">
        <f>_xlfn.XLOOKUP(File1,global[Source.Name],global[cluster_name])</f>
        <v>0</v>
      </c>
      <c r="H13" s="3" t="s">
        <v>75</v>
      </c>
      <c r="I13" s="30" t="str">
        <f>_xlfn.XLOOKUP(File2,global[Source.Name],global[cluster_name])</f>
        <v>2_node_2VDS</v>
      </c>
      <c r="K13" s="3" t="s">
        <v>75</v>
      </c>
      <c r="L13" s="30">
        <f>_xlfn.XLOOKUP(File3,global[Source.Name],global[cluster_name])</f>
        <v>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0"/>
    </row>
    <row r="14" spans="1:49" x14ac:dyDescent="0.25">
      <c r="B14" s="42"/>
      <c r="E14" s="3" t="s">
        <v>368</v>
      </c>
      <c r="F14" s="30" t="str">
        <f>_xlfn.XLOOKUP(File1,global[Source.Name],global[top_level_domain])</f>
        <v>6nodes.com</v>
      </c>
      <c r="H14" s="3" t="s">
        <v>368</v>
      </c>
      <c r="I14" s="30" t="str">
        <f>_xlfn.XLOOKUP(File2,global[Source.Name],global[top_level_domain])</f>
        <v>example.com</v>
      </c>
      <c r="K14" s="3" t="s">
        <v>368</v>
      </c>
      <c r="L14" s="30" t="str">
        <f>_xlfn.XLOOKUP(File3,global[Source.Name],global[top_level_domain])</f>
        <v>tld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0"/>
    </row>
    <row r="15" spans="1:49" x14ac:dyDescent="0.25">
      <c r="A15" s="42"/>
      <c r="B15" s="42"/>
      <c r="E15" s="3" t="s">
        <v>257</v>
      </c>
      <c r="F15" s="30" t="str">
        <f>_xlfn.XLOOKUP(File1,global[Source.Name],global[ntp_servers])</f>
        <v>192.168.1.3</v>
      </c>
      <c r="H15" s="3" t="s">
        <v>257</v>
      </c>
      <c r="I15" s="30" t="str">
        <f>_xlfn.XLOOKUP(File2,global[Source.Name],global[ntp_servers])</f>
        <v/>
      </c>
      <c r="K15" s="3" t="s">
        <v>257</v>
      </c>
      <c r="L15" s="30" t="str">
        <f>_xlfn.XLOOKUP(File3,global[Source.Name],global[ntp_servers])</f>
        <v/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0"/>
    </row>
    <row r="16" spans="1:49" x14ac:dyDescent="0.25">
      <c r="A16" s="42"/>
      <c r="B16" s="42"/>
      <c r="E16" s="3" t="s">
        <v>254</v>
      </c>
      <c r="F16" s="30" t="str">
        <f>IF((_xlfn.XLOOKUP(File1,global[Source.Name],global[is_internal_dns]))=TRUE,"Internal",_xlfn.XLOOKUP(File1,global[Source.Name],global[dns_servers]))</f>
        <v>192.168.1.2</v>
      </c>
      <c r="H16" s="3" t="s">
        <v>254</v>
      </c>
      <c r="I16" s="30" t="str">
        <f>IF((_xlfn.XLOOKUP(File2,global[Source.Name],global[is_internal_dns]))=TRUE,"Internal",_xlfn.XLOOKUP(File2,global[Source.Name],global[dns_servers]))</f>
        <v>192.168.1.1</v>
      </c>
      <c r="K16" s="3" t="s">
        <v>254</v>
      </c>
      <c r="L16" s="30" t="str">
        <f>IF((_xlfn.XLOOKUP(File3,global[Source.Name],global[is_internal_dns]))=TRUE,"Internal",_xlfn.XLOOKUP(File3,global[Source.Name],global[dns_servers]))</f>
        <v>Internal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0"/>
    </row>
    <row r="17" spans="1:49" x14ac:dyDescent="0.25">
      <c r="A17" s="42"/>
      <c r="B17" s="42"/>
      <c r="E17" s="3" t="s">
        <v>255</v>
      </c>
      <c r="F17" s="30" t="str">
        <f>_xlfn.XLOOKUP(File1,global[Source.Name],global[syslog_servers])</f>
        <v>192.168.1.4</v>
      </c>
      <c r="H17" s="3" t="s">
        <v>255</v>
      </c>
      <c r="I17" s="30" t="str">
        <f>_xlfn.XLOOKUP(File2,global[Source.Name],global[syslog_servers])</f>
        <v/>
      </c>
      <c r="K17" s="3" t="s">
        <v>255</v>
      </c>
      <c r="L17" s="30" t="str">
        <f>_xlfn.XLOOKUP(File3,global[Source.Name],global[syslog_servers])</f>
        <v/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0"/>
    </row>
    <row r="18" spans="1:49" x14ac:dyDescent="0.25">
      <c r="A18" s="42"/>
      <c r="B18" s="42"/>
      <c r="E18" s="3" t="s">
        <v>256</v>
      </c>
      <c r="F18" s="30">
        <f>_xlfn.XLOOKUP(File1,global[Source.Name],global[datacenter_name])</f>
        <v>0</v>
      </c>
      <c r="H18" s="3" t="s">
        <v>256</v>
      </c>
      <c r="I18" s="30" t="str">
        <f>_xlfn.XLOOKUP(File2,global[Source.Name],global[datacenter_name])</f>
        <v>customdatacentername</v>
      </c>
      <c r="K18" s="3" t="s">
        <v>256</v>
      </c>
      <c r="L18" s="30">
        <f>_xlfn.XLOOKUP(File3,global[Source.Name],global[datacenter_name])</f>
        <v>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0"/>
    </row>
    <row r="19" spans="1:49" x14ac:dyDescent="0.25">
      <c r="A19" s="42"/>
      <c r="B19" s="42"/>
      <c r="E19" s="3" t="s">
        <v>230</v>
      </c>
      <c r="F19" s="30">
        <f>_xlfn.XLOOKUP(File1,global[Source.Name],global[disk_group_type])</f>
        <v>0</v>
      </c>
      <c r="H19" s="3" t="s">
        <v>230</v>
      </c>
      <c r="I19" s="30">
        <f>_xlfn.XLOOKUP(File2,global[Source.Name],global[disk_group_type])</f>
        <v>0</v>
      </c>
      <c r="K19" s="3" t="s">
        <v>230</v>
      </c>
      <c r="L19" s="30" t="str">
        <f>_xlfn.XLOOKUP(File3,global[Source.Name],global[disk_group_type])</f>
        <v>1002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0"/>
    </row>
    <row r="20" spans="1:49" x14ac:dyDescent="0.25">
      <c r="A20" s="42"/>
      <c r="B20" s="42"/>
      <c r="E20" s="3"/>
      <c r="F20" s="30"/>
      <c r="H20" s="3"/>
      <c r="I20" s="30"/>
      <c r="K20" s="3"/>
      <c r="L20" s="30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0"/>
    </row>
    <row r="21" spans="1:49" x14ac:dyDescent="0.25">
      <c r="A21" s="42"/>
      <c r="B21" s="42"/>
      <c r="E21" s="3" t="s">
        <v>220</v>
      </c>
      <c r="F21" s="30" t="b">
        <f>_xlfn.XLOOKUP(File1,global[Source.Name],global[customer_supplied])</f>
        <v>0</v>
      </c>
      <c r="H21" s="3" t="s">
        <v>220</v>
      </c>
      <c r="I21" s="30" t="b">
        <f>_xlfn.XLOOKUP(File2,global[Source.Name],global[customer_supplied])</f>
        <v>1</v>
      </c>
      <c r="K21" s="3" t="s">
        <v>220</v>
      </c>
      <c r="L21" s="30" t="b">
        <f>_xlfn.XLOOKUP(File3,global[Source.Name],global[customer_supplied])</f>
        <v>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0"/>
    </row>
    <row r="22" spans="1:49" x14ac:dyDescent="0.25">
      <c r="A22" s="42"/>
      <c r="B22" s="42"/>
      <c r="E22" s="3" t="s">
        <v>232</v>
      </c>
      <c r="F22" s="31" t="str">
        <f>IF(F21="TRUE",(_xlfn.XLOOKUP(File1,global[Source.Name],global[customer_supplied_vc_name_or_ip])),(_xlfn.XLOOKUP(File1,global[Source.Name],global[customer_supplied_vc_name_or_ip]))&amp;((_xlfn.XLOOKUP(File1,global[Source.Name],global[vxrail_supplied_vc_name]))&amp;"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vcsa (192.168.1.5)</v>
      </c>
      <c r="H22" s="3" t="s">
        <v>232</v>
      </c>
      <c r="I22" s="31" t="str">
        <f>IF(I21="TRUE",(_xlfn.XLOOKUP(File2,global[Source.Name],global[customer_supplied_vc_name_or_ip])),(_xlfn.XLOOKUP(File2,global[Source.Name],global[customer_supplied_vc_name_or_ip]))&amp;((_xlfn.XLOOKUP(File2,global[Source.Name],global[vxrail_supplied_vc_name]))&amp;"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192.168.1.151 ()</v>
      </c>
      <c r="K22" s="3" t="s">
        <v>232</v>
      </c>
      <c r="L22" s="31" t="str">
        <f>IF(L21="TRUE",(_xlfn.XLOOKUP(File3,global[Source.Name],global[customer_supplied_vc_name_or_ip])),(_xlfn.XLOOKUP(File3,global[Source.Name],global[customer_supplied_vc_name_or_ip]))&amp;((_xlfn.XLOOKUP(File3,global[Source.Name],global[vxrail_supplied_vc_name]))&amp;"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host (192.168.0.200)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0"/>
    </row>
    <row r="23" spans="1:49" x14ac:dyDescent="0.25">
      <c r="A23" s="42"/>
      <c r="B23" s="42"/>
      <c r="E23" s="3"/>
      <c r="F23" s="30"/>
      <c r="H23" s="3"/>
      <c r="I23" s="30"/>
      <c r="K23" s="3"/>
      <c r="L23" s="3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0"/>
    </row>
    <row r="24" spans="1:49" x14ac:dyDescent="0.25">
      <c r="A24" s="42"/>
      <c r="B24" s="42"/>
      <c r="E24" s="3" t="s">
        <v>226</v>
      </c>
      <c r="F24" s="30" t="str">
        <f>_xlfn.XLOOKUP(File1,global[Source.Name],global[cluster_management_gateway])</f>
        <v>192.168.1.1</v>
      </c>
      <c r="H24" s="3" t="s">
        <v>226</v>
      </c>
      <c r="I24" s="30" t="str">
        <f>_xlfn.XLOOKUP(File2,global[Source.Name],global[cluster_management_gateway])</f>
        <v>192.168.1.1</v>
      </c>
      <c r="K24" s="3" t="s">
        <v>226</v>
      </c>
      <c r="L24" s="30" t="str">
        <f>_xlfn.XLOOKUP(File3,global[Source.Name],global[cluster_management_gateway])</f>
        <v>192.168.0.1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0"/>
    </row>
    <row r="25" spans="1:49" x14ac:dyDescent="0.25">
      <c r="A25" s="42"/>
      <c r="B25" s="42"/>
      <c r="E25" s="3" t="s">
        <v>227</v>
      </c>
      <c r="F25" s="30" t="str">
        <f>_xlfn.XLOOKUP(File1,global[Source.Name],global[cluster_management_netmask])</f>
        <v>255.255.255.0</v>
      </c>
      <c r="H25" s="3" t="s">
        <v>227</v>
      </c>
      <c r="I25" s="30" t="str">
        <f>_xlfn.XLOOKUP(File2,global[Source.Name],global[cluster_management_netmask])</f>
        <v>255.255.255.0</v>
      </c>
      <c r="K25" s="3" t="s">
        <v>227</v>
      </c>
      <c r="L25" s="30" t="str">
        <f>_xlfn.XLOOKUP(File3,global[Source.Name],global[cluster_management_netmask])</f>
        <v>255.255.255.0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0"/>
    </row>
    <row r="26" spans="1:49" x14ac:dyDescent="0.25">
      <c r="A26" s="42"/>
      <c r="B26" s="42"/>
      <c r="E26" s="3" t="s">
        <v>228</v>
      </c>
      <c r="F26" s="30" t="str">
        <f>_xlfn.XLOOKUP(File1,global[Source.Name],global[cluster_vsan_netmask])</f>
        <v>255.255.255.0</v>
      </c>
      <c r="H26" s="3" t="s">
        <v>228</v>
      </c>
      <c r="I26" s="30" t="str">
        <f>_xlfn.XLOOKUP(File2,global[Source.Name],global[cluster_vsan_netmask])</f>
        <v>255.255.255.0</v>
      </c>
      <c r="K26" s="3" t="s">
        <v>228</v>
      </c>
      <c r="L26" s="30" t="str">
        <f>_xlfn.XLOOKUP(File3,global[Source.Name],global[cluster_vsan_netmask])</f>
        <v>255.255.255.0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0"/>
    </row>
    <row r="27" spans="1:49" x14ac:dyDescent="0.25">
      <c r="A27" s="42"/>
      <c r="B27" s="42"/>
      <c r="E27" s="3" t="s">
        <v>229</v>
      </c>
      <c r="F27" s="30" t="str">
        <f>_xlfn.XLOOKUP(File1,global[Source.Name],global[cluster_vsan_netmask])</f>
        <v>255.255.255.0</v>
      </c>
      <c r="H27" s="3" t="s">
        <v>229</v>
      </c>
      <c r="I27" s="30" t="str">
        <f>_xlfn.XLOOKUP(File2,global[Source.Name],global[cluster_vsan_netmask])</f>
        <v>255.255.255.0</v>
      </c>
      <c r="K27" s="3" t="s">
        <v>229</v>
      </c>
      <c r="L27" s="30" t="str">
        <f>_xlfn.XLOOKUP(File3,global[Source.Name],global[cluster_vsan_netmask])</f>
        <v>255.255.255.0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0"/>
    </row>
    <row r="28" spans="1:49" x14ac:dyDescent="0.25">
      <c r="A28" s="42"/>
      <c r="B28" s="42"/>
      <c r="E28" s="3" t="s">
        <v>400</v>
      </c>
      <c r="F28" s="30" t="str">
        <f>_xlfn.XLOOKUP(File1,global[Source.Name],global[network.sfs.configured])</f>
        <v>FALSE</v>
      </c>
      <c r="H28" s="3" t="s">
        <v>400</v>
      </c>
      <c r="I28" s="30" t="str">
        <f>_xlfn.XLOOKUP(File2,global[Source.Name],global[network.sfs.configured])</f>
        <v>FALSE</v>
      </c>
      <c r="K28" s="3" t="s">
        <v>400</v>
      </c>
      <c r="L28" s="30" t="str">
        <f>_xlfn.XLOOKUP(File3,global[Source.Name],global[network.sfs.configured])</f>
        <v>TRUE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10"/>
    </row>
    <row r="29" spans="1:49" x14ac:dyDescent="0.25">
      <c r="E29" s="3"/>
      <c r="F29" s="30"/>
      <c r="H29" s="3"/>
      <c r="I29" s="30"/>
      <c r="K29" s="3"/>
      <c r="L29" s="3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10"/>
    </row>
    <row r="30" spans="1:49" x14ac:dyDescent="0.25">
      <c r="E30" s="3" t="s">
        <v>183</v>
      </c>
      <c r="F30" s="30" t="str">
        <f>_xlfn.XLOOKUP(File1,global[Source.Name],global[vxrm hostname])</f>
        <v>vxrm</v>
      </c>
      <c r="H30" s="3" t="s">
        <v>183</v>
      </c>
      <c r="I30" s="30" t="str">
        <f>_xlfn.XLOOKUP(File2,global[Source.Name],global[vxrm hostname])</f>
        <v>vxrm</v>
      </c>
      <c r="K30" s="3" t="s">
        <v>183</v>
      </c>
      <c r="L30" s="30" t="str">
        <f>_xlfn.XLOOKUP(File3,global[Source.Name],global[vxrm hostname])</f>
        <v>vxrm-host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10"/>
    </row>
    <row r="31" spans="1:49" x14ac:dyDescent="0.25">
      <c r="E31" s="3" t="s">
        <v>184</v>
      </c>
      <c r="F31" s="30" t="str">
        <f>_xlfn.XLOOKUP(File1,global[Source.Name],global[vxrm ip])</f>
        <v>192.168.1.7</v>
      </c>
      <c r="H31" s="3" t="s">
        <v>184</v>
      </c>
      <c r="I31" s="30" t="str">
        <f>_xlfn.XLOOKUP(File2,global[Source.Name],global[vxrm ip])</f>
        <v>192.168.1.58</v>
      </c>
      <c r="K31" s="3" t="s">
        <v>184</v>
      </c>
      <c r="L31" s="30" t="str">
        <f>_xlfn.XLOOKUP(File3,global[Source.Name],global[vxrm ip])</f>
        <v>192.168.0.205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10"/>
    </row>
    <row r="32" spans="1:49" x14ac:dyDescent="0.25">
      <c r="E32" s="3"/>
      <c r="F32" s="30"/>
      <c r="H32" s="3"/>
      <c r="I32" s="30"/>
      <c r="K32" s="3"/>
      <c r="L32" s="30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10"/>
    </row>
    <row r="33" spans="5:49" x14ac:dyDescent="0.25">
      <c r="E33" s="3" t="s">
        <v>86</v>
      </c>
      <c r="F33" s="30" t="str">
        <f>_xlfn.XLOOKUP(File1,global[Source.Name],global[accounts.root.username])</f>
        <v>root</v>
      </c>
      <c r="H33" s="3" t="s">
        <v>86</v>
      </c>
      <c r="I33" s="30" t="str">
        <f>_xlfn.XLOOKUP(File2,global[Source.Name],global[accounts.root.username])</f>
        <v>root</v>
      </c>
      <c r="K33" s="3" t="s">
        <v>86</v>
      </c>
      <c r="L33" s="30" t="str">
        <f>_xlfn.XLOOKUP(File3,global[Source.Name],global[accounts.root.username])</f>
        <v>root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10"/>
    </row>
    <row r="34" spans="5:49" x14ac:dyDescent="0.25">
      <c r="E34" s="3" t="s">
        <v>366</v>
      </c>
      <c r="F34" s="30" t="str">
        <f>_xlfn.XLOOKUP(File1,global[Source.Name],global[accounts.service.username])</f>
        <v>mystic</v>
      </c>
      <c r="H34" s="3" t="s">
        <v>366</v>
      </c>
      <c r="I34" s="30" t="str">
        <f>_xlfn.XLOOKUP(File2,global[Source.Name],global[accounts.service.username])</f>
        <v>mystic</v>
      </c>
      <c r="K34" s="3" t="s">
        <v>366</v>
      </c>
      <c r="L34" s="30" t="str">
        <f>_xlfn.XLOOKUP(File3,global[Source.Name],global[accounts.service.username])</f>
        <v>mystic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10"/>
    </row>
    <row r="35" spans="5:49" x14ac:dyDescent="0.25">
      <c r="E35" s="3" t="s">
        <v>238</v>
      </c>
      <c r="F35" s="30" t="str">
        <f>_xlfn.XLOOKUP(File1,global[Source.Name],global[administrator.username])</f>
        <v>administrator@vsphere.local</v>
      </c>
      <c r="H35" s="3" t="s">
        <v>238</v>
      </c>
      <c r="I35" s="30" t="str">
        <f>_xlfn.XLOOKUP(File2,global[Source.Name],global[administrator.username])</f>
        <v>vcenteruser@vcadmin.com</v>
      </c>
      <c r="K35" s="3" t="s">
        <v>238</v>
      </c>
      <c r="L35" s="30" t="str">
        <f>_xlfn.XLOOKUP(File3,global[Source.Name],global[administrator.username])</f>
        <v>administrator@vsphere.local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10"/>
    </row>
    <row r="36" spans="5:49" x14ac:dyDescent="0.25">
      <c r="E36" s="3" t="s">
        <v>367</v>
      </c>
      <c r="F36" s="30" t="str">
        <f>_xlfn.XLOOKUP(File1,global[Source.Name],global[management.username])</f>
        <v>vcsamgr</v>
      </c>
      <c r="H36" s="3" t="s">
        <v>367</v>
      </c>
      <c r="I36" s="30" t="str">
        <f>_xlfn.XLOOKUP(File2,global[Source.Name],global[management.username])</f>
        <v>vcentermgr</v>
      </c>
      <c r="K36" s="3" t="s">
        <v>367</v>
      </c>
      <c r="L36" s="30" t="str">
        <f>_xlfn.XLOOKUP(File3,global[Source.Name],global[management.username])</f>
        <v>vcuser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10"/>
    </row>
    <row r="37" spans="5:49" ht="15" customHeight="1" x14ac:dyDescent="0.25">
      <c r="E37" s="3"/>
      <c r="F37" s="30"/>
      <c r="H37" s="3"/>
      <c r="I37" s="30"/>
      <c r="K37" s="3"/>
      <c r="L37" s="30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10"/>
    </row>
    <row r="38" spans="5:49" x14ac:dyDescent="0.25">
      <c r="E38" s="3" t="str">
        <f>IF(compare1[[#This Row],[Value]]=0,"","witness.gateway")</f>
        <v/>
      </c>
      <c r="F38" s="30">
        <f>_xlfn.XLOOKUP(File1,global[Source.Name],global[witness.gateway])</f>
        <v>0</v>
      </c>
      <c r="H38" s="3" t="str">
        <f>IF(compare2[[#This Row],[Value]]=0,"","witness.gateway")</f>
        <v>witness.gateway</v>
      </c>
      <c r="I38" s="30" t="str">
        <f>_xlfn.XLOOKUP(File2,global[Source.Name],global[witness.gateway])</f>
        <v>192.168.100.1</v>
      </c>
      <c r="K38" s="3" t="str">
        <f>IF(compare3[[#This Row],[Value]]=0,"","witness.gateway")</f>
        <v/>
      </c>
      <c r="L38" s="30">
        <f>_xlfn.XLOOKUP(File3,global[Source.Name],global[witness.gateway])</f>
        <v>0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10"/>
    </row>
    <row r="39" spans="5:49" x14ac:dyDescent="0.25">
      <c r="E39" s="3" t="str">
        <f>IF(compare1[[#This Row],[Value]]=0,"","witness.management_ip")</f>
        <v/>
      </c>
      <c r="F39" s="30">
        <f>_xlfn.XLOOKUP(File1,global[Source.Name],global[witness.management_ip])</f>
        <v>0</v>
      </c>
      <c r="H39" s="3" t="str">
        <f>IF(compare2[[#This Row],[Value]]=0,"","witness.management_ip")</f>
        <v>witness.management_ip</v>
      </c>
      <c r="I39" s="30" t="str">
        <f>_xlfn.XLOOKUP(File2,global[Source.Name],global[witness.management_ip])</f>
        <v>192.168.100.3</v>
      </c>
      <c r="K39" s="3" t="str">
        <f>IF(compare3[[#This Row],[Value]]=0,"","witness.management_ip")</f>
        <v/>
      </c>
      <c r="L39" s="30">
        <f>_xlfn.XLOOKUP(File3,global[Source.Name],global[witness.management_ip])</f>
        <v>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10"/>
    </row>
    <row r="40" spans="5:49" x14ac:dyDescent="0.25">
      <c r="E40" s="3" t="str">
        <f>IF(compare1[[#This Row],[Value]]=0,"","witness.netmask")</f>
        <v/>
      </c>
      <c r="F40" s="30">
        <f>_xlfn.XLOOKUP(File1,global[Source.Name],global[witness.netmask])</f>
        <v>0</v>
      </c>
      <c r="H40" s="3" t="str">
        <f>IF(compare2[[#This Row],[Value]]=0,"","witness.netmask")</f>
        <v>witness.netmask</v>
      </c>
      <c r="I40" s="30" t="str">
        <f>_xlfn.XLOOKUP(File2,global[Source.Name],global[witness.netmask])</f>
        <v>255.255.255.0</v>
      </c>
      <c r="K40" s="3" t="str">
        <f>IF(compare3[[#This Row],[Value]]=0,"","witness.netmask")</f>
        <v/>
      </c>
      <c r="L40" s="30">
        <f>_xlfn.XLOOKUP(File3,global[Source.Name],global[witness.netmask])</f>
        <v>0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10"/>
    </row>
    <row r="41" spans="5:49" x14ac:dyDescent="0.25">
      <c r="E41" s="3" t="str">
        <f>IF(compare1[[#This Row],[Value]]=0,"","witness.username")</f>
        <v/>
      </c>
      <c r="F41" s="30">
        <f>_xlfn.XLOOKUP(File1,global[Source.Name],global[witness.username])</f>
        <v>0</v>
      </c>
      <c r="H41" s="3" t="str">
        <f>IF(compare2[[#This Row],[Value]]=0,"","witness.username")</f>
        <v>witness.username</v>
      </c>
      <c r="I41" s="30" t="str">
        <f>_xlfn.XLOOKUP(File2,global[Source.Name],global[witness.username])</f>
        <v>witnessuser</v>
      </c>
      <c r="K41" s="3" t="str">
        <f>IF(compare3[[#This Row],[Value]]=0,"","witness.username")</f>
        <v/>
      </c>
      <c r="L41" s="30">
        <f>_xlfn.XLOOKUP(File3,global[Source.Name],global[witness.username])</f>
        <v>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10"/>
    </row>
    <row r="42" spans="5:49" x14ac:dyDescent="0.25">
      <c r="E42" s="3" t="str">
        <f>IF(compare1[[#This Row],[Value]]=0,"","witness.witness_ip")</f>
        <v/>
      </c>
      <c r="F42" s="30">
        <f>_xlfn.XLOOKUP(File1,global[Source.Name],global[witness.witness_ip])</f>
        <v>0</v>
      </c>
      <c r="H42" s="3" t="str">
        <f>IF(compare2[[#This Row],[Value]]=0,"","witness.witness_ip")</f>
        <v>witness.witness_ip</v>
      </c>
      <c r="I42" s="30" t="str">
        <f>_xlfn.XLOOKUP(File2,global[Source.Name],global[witness.witness_ip])</f>
        <v>192.168.100.4</v>
      </c>
      <c r="K42" s="3" t="str">
        <f>IF(compare3[[#This Row],[Value]]=0,"","witness.witness_ip")</f>
        <v/>
      </c>
      <c r="L42" s="30">
        <f>_xlfn.XLOOKUP(File3,global[Source.Name],global[witness.witness_ip])</f>
        <v>0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10"/>
    </row>
    <row r="43" spans="5:49" x14ac:dyDescent="0.25">
      <c r="E43" s="3" t="str">
        <f>IF(compare1[[#This Row],[Value]]=0,"","cluster_witness_gateway")</f>
        <v/>
      </c>
      <c r="F43" s="30">
        <f>_xlfn.XLOOKUP(File1,global[Source.Name],global[cluster_witness_gateway])</f>
        <v>0</v>
      </c>
      <c r="H43" s="3" t="str">
        <f>IF(compare2[[#This Row],[Value]]=0,"","cluster_witness_gateway")</f>
        <v>cluster_witness_gateway</v>
      </c>
      <c r="I43" s="30" t="str">
        <f>_xlfn.XLOOKUP(File2,global[Source.Name],global[cluster_witness_gateway])</f>
        <v>192.168.100.1</v>
      </c>
      <c r="K43" s="3" t="str">
        <f>IF(compare3[[#This Row],[Value]]=0,"","cluster_witness_gateway")</f>
        <v/>
      </c>
      <c r="L43" s="30">
        <f>_xlfn.XLOOKUP(File3,global[Source.Name],global[cluster_witness_gateway])</f>
        <v>0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10"/>
    </row>
    <row r="44" spans="5:49" x14ac:dyDescent="0.25">
      <c r="E44" s="3" t="str">
        <f>IF(compare1[[#This Row],[Value]]=0,"","cluster_witness_netmask")</f>
        <v/>
      </c>
      <c r="F44" s="30">
        <f>_xlfn.XLOOKUP(File1,global[Source.Name],global[cluster_witness_netmask])</f>
        <v>0</v>
      </c>
      <c r="H44" s="3" t="str">
        <f>IF(compare2[[#This Row],[Value]]=0,"","cluster_witness_netmask")</f>
        <v>cluster_witness_netmask</v>
      </c>
      <c r="I44" s="30" t="str">
        <f>_xlfn.XLOOKUP(File2,global[Source.Name],global[cluster_witness_netmask])</f>
        <v>255.255.255.0</v>
      </c>
      <c r="K44" s="3" t="str">
        <f>IF(compare3[[#This Row],[Value]]=0,"","cluster_witness_netmask")</f>
        <v/>
      </c>
      <c r="L44" s="30">
        <f>_xlfn.XLOOKUP(File3,global[Source.Name],global[cluster_witness_netmask])</f>
        <v>0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10"/>
    </row>
    <row r="45" spans="5:49" x14ac:dyDescent="0.25"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10"/>
    </row>
    <row r="46" spans="5:49" x14ac:dyDescent="0.25">
      <c r="E46" s="34" t="str">
        <f>"HOST      MGMT IP          VSAN IP            VMOTION IP"</f>
        <v>HOST      MGMT IP          VSAN IP            VMOTION IP</v>
      </c>
      <c r="F46" s="35"/>
      <c r="H46" s="36" t="str">
        <f>E46</f>
        <v>HOST      MGMT IP          VSAN IP            VMOTION IP</v>
      </c>
      <c r="I46" s="37"/>
      <c r="K46" s="38" t="str">
        <f>E46</f>
        <v>HOST      MGMT IP          VSAN IP            VMOTION IP</v>
      </c>
      <c r="L46" s="39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10"/>
    </row>
    <row r="47" spans="5:49" ht="15" customHeight="1" x14ac:dyDescent="0.25">
      <c r="E47" s="18" t="str">
        <f>_xlfn.XLOOKUP(File1,quickview[Source.Name],quickview[Host Quickview])</f>
        <v>HOST	MGMT	VSAN	VMOTION
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F47" s="16"/>
      <c r="H47" s="18" t="str">
        <f>_xlfn.XLOOKUP(File2,quickview[Source.Name],quickview[Host Quickview])</f>
        <v>HOST	MGMT	VSAN	VMOTION
host-01	192.168.1.50	192.168.80.1	192.168.90.1
host-02	192.168.1.51	192.168.80.2	192.168.90.2</v>
      </c>
      <c r="I47" s="16"/>
      <c r="K47" s="18" t="str">
        <f>_xlfn.XLOOKUP(File3,quickview[Source.Name],quickview[Host Quickview])</f>
        <v>HOST	MGMT	VSAN	VMOTION
esxi-01	192.168.0.100	192.168.0.40	192.168.0.80
esxi-02	192.168.0.101	192.168.0.41	192.168.0.81
esxi-03	192.168.0.102	192.168.0.42	192.168.0.82</v>
      </c>
      <c r="L47" s="1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10"/>
    </row>
    <row r="48" spans="5:49" x14ac:dyDescent="0.25">
      <c r="E48" s="17"/>
      <c r="F48" s="1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10"/>
    </row>
    <row r="49" spans="5:49" x14ac:dyDescent="0.25">
      <c r="E49" s="17"/>
      <c r="F49" s="1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10"/>
    </row>
    <row r="50" spans="5:49" x14ac:dyDescent="0.25">
      <c r="E50" s="17"/>
      <c r="F50" s="1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10"/>
    </row>
    <row r="51" spans="5:49" x14ac:dyDescent="0.25">
      <c r="E51" s="17"/>
      <c r="F51" s="1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10"/>
    </row>
    <row r="52" spans="5:49" x14ac:dyDescent="0.25">
      <c r="E52" s="17"/>
      <c r="F52" s="1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10"/>
    </row>
    <row r="53" spans="5:49" x14ac:dyDescent="0.25">
      <c r="E53" s="17"/>
      <c r="F53" s="1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10"/>
    </row>
    <row r="54" spans="5:49" x14ac:dyDescent="0.25">
      <c r="E54" s="17"/>
      <c r="F54" s="1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10"/>
    </row>
    <row r="55" spans="5:49" x14ac:dyDescent="0.25">
      <c r="E55" s="17"/>
      <c r="F55" s="1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10"/>
    </row>
    <row r="56" spans="5:49" x14ac:dyDescent="0.25">
      <c r="E56" s="17"/>
      <c r="F56" s="1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10"/>
    </row>
    <row r="57" spans="5:49" x14ac:dyDescent="0.25">
      <c r="E57" s="17"/>
      <c r="F57" s="1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10"/>
    </row>
    <row r="58" spans="5:49" x14ac:dyDescent="0.25"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10"/>
    </row>
    <row r="59" spans="5:49" x14ac:dyDescent="0.25">
      <c r="E59" s="34" t="str">
        <f>"VLAN ID           VLAN NAME              PNIC"</f>
        <v>VLAN ID           VLAN NAME              PNIC</v>
      </c>
      <c r="F59" s="35"/>
      <c r="H59" s="36" t="str">
        <f>E59</f>
        <v>VLAN ID           VLAN NAME              PNIC</v>
      </c>
      <c r="I59" s="37"/>
      <c r="K59" s="38" t="str">
        <f>E59</f>
        <v>VLAN ID           VLAN NAME              PNIC</v>
      </c>
      <c r="L59" s="39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10"/>
    </row>
    <row r="60" spans="5:49" x14ac:dyDescent="0.25">
      <c r="E60" s="18" t="str">
        <f>_xlfn.XLOOKUP(File1,quickview[Source.Name],quickview[VLAN Quickview])</f>
        <v>VLAN_ID	VLAN NAME	PNIC
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F60" s="16"/>
      <c r="H60" s="18" t="str">
        <f>_xlfn.XLOOKUP(File2,quickview[Source.Name],quickview[VLAN Quickview])</f>
        <v>VLAN_ID	VLAN NAME	PNIC
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I60" s="16"/>
      <c r="K60" s="18" t="str">
        <f>_xlfn.XLOOKUP(File3,quickview[Source.Name],quickview[VLAN Quickview])</f>
        <v xml:space="preserve">VLAN_ID	VLAN NAME	PNIC
1	(MANAGEMENT)	
1	(VSAN)	
1	(VMOTION)	</v>
      </c>
      <c r="L60" s="16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10"/>
    </row>
    <row r="61" spans="5:49" x14ac:dyDescent="0.25"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10"/>
    </row>
    <row r="62" spans="5:49" x14ac:dyDescent="0.25"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10"/>
    </row>
    <row r="63" spans="5:49" x14ac:dyDescent="0.25"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10"/>
    </row>
    <row r="64" spans="5:49" x14ac:dyDescent="0.25"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10"/>
    </row>
    <row r="65" spans="20:49" x14ac:dyDescent="0.25"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10"/>
    </row>
    <row r="66" spans="20:49" x14ac:dyDescent="0.25"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10"/>
    </row>
    <row r="67" spans="20:49" x14ac:dyDescent="0.25"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10"/>
    </row>
    <row r="68" spans="20:49" x14ac:dyDescent="0.25"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10"/>
    </row>
    <row r="69" spans="20:49" x14ac:dyDescent="0.25"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10"/>
    </row>
    <row r="70" spans="20:49" x14ac:dyDescent="0.25"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10"/>
    </row>
    <row r="71" spans="20:49" x14ac:dyDescent="0.25"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10"/>
    </row>
    <row r="72" spans="20:49" x14ac:dyDescent="0.25"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10"/>
    </row>
    <row r="73" spans="20:49" x14ac:dyDescent="0.25"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10"/>
    </row>
    <row r="74" spans="20:49" x14ac:dyDescent="0.25"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10"/>
    </row>
    <row r="75" spans="20:49" x14ac:dyDescent="0.25"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10"/>
    </row>
    <row r="76" spans="20:49" x14ac:dyDescent="0.25"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10"/>
    </row>
    <row r="77" spans="20:49" x14ac:dyDescent="0.25"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10"/>
    </row>
    <row r="78" spans="20:49" x14ac:dyDescent="0.25"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10"/>
    </row>
    <row r="79" spans="20:49" x14ac:dyDescent="0.25"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10"/>
    </row>
    <row r="80" spans="20:49" x14ac:dyDescent="0.25"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10"/>
    </row>
    <row r="81" spans="20:49" x14ac:dyDescent="0.25"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10"/>
    </row>
    <row r="82" spans="20:49" x14ac:dyDescent="0.25"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10"/>
    </row>
    <row r="83" spans="20:49" x14ac:dyDescent="0.25"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10"/>
    </row>
    <row r="84" spans="20:49" x14ac:dyDescent="0.25"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10"/>
    </row>
    <row r="85" spans="20:49" x14ac:dyDescent="0.25"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10"/>
    </row>
    <row r="86" spans="20:49" x14ac:dyDescent="0.25"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10"/>
    </row>
    <row r="87" spans="20:49" x14ac:dyDescent="0.25"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10"/>
    </row>
    <row r="88" spans="20:49" x14ac:dyDescent="0.25"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4"/>
    </row>
  </sheetData>
  <mergeCells count="6">
    <mergeCell ref="E46:F46"/>
    <mergeCell ref="E59:F59"/>
    <mergeCell ref="H46:I46"/>
    <mergeCell ref="K46:L46"/>
    <mergeCell ref="H59:I59"/>
    <mergeCell ref="K59:L5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29" r:id="rId4" name="ComboBox4">
          <controlPr defaultSize="0" autoLine="0" linkedCell="A2" listFillRange="keywords!B2:B59" r:id="rId5">
            <anchor moveWithCells="1">
              <from>
                <xdr:col>1</xdr:col>
                <xdr:colOff>781050</xdr:colOff>
                <xdr:row>0</xdr:row>
                <xdr:rowOff>171450</xdr:rowOff>
              </from>
              <to>
                <xdr:col>2</xdr:col>
                <xdr:colOff>2162175</xdr:colOff>
                <xdr:row>2</xdr:row>
                <xdr:rowOff>57150</xdr:rowOff>
              </to>
            </anchor>
          </controlPr>
        </control>
      </mc:Choice>
      <mc:Fallback>
        <control shapeId="9229" r:id="rId4" name="ComboBox4"/>
      </mc:Fallback>
    </mc:AlternateContent>
    <mc:AlternateContent xmlns:mc="http://schemas.openxmlformats.org/markup-compatibility/2006">
      <mc:Choice Requires="x14">
        <control shapeId="9219" r:id="rId6" name="ComboBox3">
          <controlPr defaultSize="0" autoLine="0" autoPict="0" linkedCell="L1" listFillRange="C5:C2225" r:id="rId7">
            <anchor moveWithCells="1">
              <from>
                <xdr:col>10</xdr:col>
                <xdr:colOff>0</xdr:colOff>
                <xdr:row>0</xdr:row>
                <xdr:rowOff>152400</xdr:rowOff>
              </from>
              <to>
                <xdr:col>11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6" name="ComboBox3"/>
      </mc:Fallback>
    </mc:AlternateContent>
    <mc:AlternateContent xmlns:mc="http://schemas.openxmlformats.org/markup-compatibility/2006">
      <mc:Choice Requires="x14">
        <control shapeId="9218" r:id="rId8" name="ComboBox2">
          <controlPr defaultSize="0" autoLine="0" autoPict="0" linkedCell="I1" listFillRange="C5:C2225" r:id="rId9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8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8" name="ComboBox2"/>
      </mc:Fallback>
    </mc:AlternateContent>
    <mc:AlternateContent xmlns:mc="http://schemas.openxmlformats.org/markup-compatibility/2006">
      <mc:Choice Requires="x14">
        <control shapeId="9217" r:id="rId10" name="ComboBox1">
          <controlPr defaultSize="0" autoLine="0" autoPict="0" linkedCell="E1" listFillRange="C5:C2225" r:id="rId11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5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10" name="ComboBox1"/>
      </mc:Fallback>
    </mc:AlternateContent>
    <mc:AlternateContent xmlns:mc="http://schemas.openxmlformats.org/markup-compatibility/2006">
      <mc:Choice Requires="x14">
        <control shapeId="9220" r:id="rId12" name="TextBox1">
          <controlPr defaultSize="0" autoLine="0" linkedCell="E47" r:id="rId13">
            <anchor moveWithCells="1">
              <from>
                <xdr:col>4</xdr:col>
                <xdr:colOff>0</xdr:colOff>
                <xdr:row>46</xdr:row>
                <xdr:rowOff>19050</xdr:rowOff>
              </from>
              <to>
                <xdr:col>6</xdr:col>
                <xdr:colOff>9525</xdr:colOff>
                <xdr:row>57</xdr:row>
                <xdr:rowOff>19050</xdr:rowOff>
              </to>
            </anchor>
          </controlPr>
        </control>
      </mc:Choice>
      <mc:Fallback>
        <control shapeId="9220" r:id="rId12" name="TextBox1"/>
      </mc:Fallback>
    </mc:AlternateContent>
    <mc:AlternateContent xmlns:mc="http://schemas.openxmlformats.org/markup-compatibility/2006">
      <mc:Choice Requires="x14">
        <control shapeId="9221" r:id="rId14" name="TextBox2">
          <controlPr defaultSize="0" autoLine="0" linkedCell="E60" r:id="rId15">
            <anchor moveWithCells="1">
              <from>
                <xdr:col>4</xdr:col>
                <xdr:colOff>9525</xdr:colOff>
                <xdr:row>59</xdr:row>
                <xdr:rowOff>19050</xdr:rowOff>
              </from>
              <to>
                <xdr:col>6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1" r:id="rId14" name="TextBox2"/>
      </mc:Fallback>
    </mc:AlternateContent>
    <mc:AlternateContent xmlns:mc="http://schemas.openxmlformats.org/markup-compatibility/2006">
      <mc:Choice Requires="x14">
        <control shapeId="9222" r:id="rId16" name="TextBox3">
          <controlPr defaultSize="0" autoLine="0" linkedCell="H60" r:id="rId17">
            <anchor moveWithCells="1">
              <from>
                <xdr:col>7</xdr:col>
                <xdr:colOff>0</xdr:colOff>
                <xdr:row>59</xdr:row>
                <xdr:rowOff>19050</xdr:rowOff>
              </from>
              <to>
                <xdr:col>9</xdr:col>
                <xdr:colOff>9525</xdr:colOff>
                <xdr:row>70</xdr:row>
                <xdr:rowOff>28575</xdr:rowOff>
              </to>
            </anchor>
          </controlPr>
        </control>
      </mc:Choice>
      <mc:Fallback>
        <control shapeId="9222" r:id="rId16" name="TextBox3"/>
      </mc:Fallback>
    </mc:AlternateContent>
    <mc:AlternateContent xmlns:mc="http://schemas.openxmlformats.org/markup-compatibility/2006">
      <mc:Choice Requires="x14">
        <control shapeId="9223" r:id="rId18" name="TextBox4">
          <controlPr defaultSize="0" autoLine="0" linkedCell="K60" r:id="rId19">
            <anchor moveWithCells="1">
              <from>
                <xdr:col>10</xdr:col>
                <xdr:colOff>9525</xdr:colOff>
                <xdr:row>59</xdr:row>
                <xdr:rowOff>19050</xdr:rowOff>
              </from>
              <to>
                <xdr:col>12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3" r:id="rId18" name="TextBox4"/>
      </mc:Fallback>
    </mc:AlternateContent>
    <mc:AlternateContent xmlns:mc="http://schemas.openxmlformats.org/markup-compatibility/2006">
      <mc:Choice Requires="x14">
        <control shapeId="9224" r:id="rId20" name="TextBox5">
          <controlPr defaultSize="0" autoLine="0" linkedCell="H47" r:id="rId21">
            <anchor moveWithCells="1">
              <from>
                <xdr:col>7</xdr:col>
                <xdr:colOff>0</xdr:colOff>
                <xdr:row>46</xdr:row>
                <xdr:rowOff>19050</xdr:rowOff>
              </from>
              <to>
                <xdr:col>9</xdr:col>
                <xdr:colOff>9525</xdr:colOff>
                <xdr:row>57</xdr:row>
                <xdr:rowOff>28575</xdr:rowOff>
              </to>
            </anchor>
          </controlPr>
        </control>
      </mc:Choice>
      <mc:Fallback>
        <control shapeId="9224" r:id="rId20" name="TextBox5"/>
      </mc:Fallback>
    </mc:AlternateContent>
    <mc:AlternateContent xmlns:mc="http://schemas.openxmlformats.org/markup-compatibility/2006">
      <mc:Choice Requires="x14">
        <control shapeId="9225" r:id="rId22" name="TextBox6">
          <controlPr defaultSize="0" autoLine="0" linkedCell="K47" r:id="rId23">
            <anchor moveWithCells="1">
              <from>
                <xdr:col>10</xdr:col>
                <xdr:colOff>9525</xdr:colOff>
                <xdr:row>46</xdr:row>
                <xdr:rowOff>19050</xdr:rowOff>
              </from>
              <to>
                <xdr:col>12</xdr:col>
                <xdr:colOff>19050</xdr:colOff>
                <xdr:row>57</xdr:row>
                <xdr:rowOff>28575</xdr:rowOff>
              </to>
            </anchor>
          </controlPr>
        </control>
      </mc:Choice>
      <mc:Fallback>
        <control shapeId="9225" r:id="rId22" name="TextBox6"/>
      </mc:Fallback>
    </mc:AlternateContent>
    <mc:AlternateContent xmlns:mc="http://schemas.openxmlformats.org/markup-compatibility/2006">
      <mc:Choice Requires="x14">
        <control shapeId="9226" r:id="rId24" name="TextBox7">
          <controlPr defaultSize="0" autoLine="0" autoPict="0" altText="Keyword search" linkedCell="A4" r:id="rId25">
            <anchor moveWithCells="1">
              <from>
                <xdr:col>2</xdr:col>
                <xdr:colOff>2257425</xdr:colOff>
                <xdr:row>0</xdr:row>
                <xdr:rowOff>161925</xdr:rowOff>
              </from>
              <to>
                <xdr:col>3</xdr:col>
                <xdr:colOff>38100</xdr:colOff>
                <xdr:row>2</xdr:row>
                <xdr:rowOff>76200</xdr:rowOff>
              </to>
            </anchor>
          </controlPr>
        </control>
      </mc:Choice>
      <mc:Fallback>
        <control shapeId="9226" r:id="rId24" name="TextBox7"/>
      </mc:Fallback>
    </mc:AlternateContent>
  </controls>
  <tableParts count="3">
    <tablePart r:id="rId26"/>
    <tablePart r:id="rId27"/>
    <tablePart r:id="rId2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C6D-7CE1-4F15-8014-83689804469E}">
  <sheetPr codeName="Sheet10"/>
  <dimension ref="A1:E59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29.42578125" bestFit="1" customWidth="1"/>
    <col min="3" max="3" width="27.85546875" bestFit="1" customWidth="1"/>
    <col min="4" max="4" width="10.7109375" customWidth="1"/>
    <col min="5" max="5" width="24.42578125" bestFit="1" customWidth="1"/>
  </cols>
  <sheetData>
    <row r="1" spans="1:5" x14ac:dyDescent="0.25">
      <c r="A1" t="s">
        <v>473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25">
      <c r="A2" t="str">
        <f>"-----"</f>
        <v>-----</v>
      </c>
      <c r="B2" t="s">
        <v>429</v>
      </c>
      <c r="E2" t="str">
        <f>IF(LEFT(KeywordList[[#This Row],[Keyword]],1)="-","",KeywordList[[#This Row],[Keyword]]&amp;":")</f>
        <v/>
      </c>
    </row>
    <row r="3" spans="1:5" x14ac:dyDescent="0.25">
      <c r="A3" t="str">
        <f>"-----CLUSTER INFO-----"</f>
        <v>-----CLUSTER INFO-----</v>
      </c>
      <c r="B3" t="str">
        <f>"-----CLUSTER INFO-----"</f>
        <v>-----CLUSTER INFO-----</v>
      </c>
      <c r="E3" t="str">
        <f>IF(LEFT(KeywordList[[#This Row],[Keyword]],1)="-","",KeywordList[[#This Row],[Keyword]]&amp;":")</f>
        <v/>
      </c>
    </row>
    <row r="4" spans="1:5" x14ac:dyDescent="0.25">
      <c r="A4" t="s">
        <v>17</v>
      </c>
      <c r="B4" t="s">
        <v>430</v>
      </c>
      <c r="C4" t="s">
        <v>3</v>
      </c>
      <c r="E4" t="str">
        <f>IF(LEFT(KeywordList[[#This Row],[Keyword]],1)="-","",KeywordList[[#This Row],[Keyword]]&amp;":")</f>
        <v>Version:</v>
      </c>
    </row>
    <row r="5" spans="1:5" x14ac:dyDescent="0.25">
      <c r="A5" t="s">
        <v>231</v>
      </c>
      <c r="B5" t="s">
        <v>431</v>
      </c>
      <c r="C5" t="s">
        <v>478</v>
      </c>
      <c r="E5" t="str">
        <f>IF(LEFT(KeywordList[[#This Row],[Keyword]],1)="-","",KeywordList[[#This Row],[Keyword]]&amp;":")</f>
        <v>Type:</v>
      </c>
    </row>
    <row r="6" spans="1:5" x14ac:dyDescent="0.25">
      <c r="A6" t="s">
        <v>368</v>
      </c>
      <c r="B6" t="s">
        <v>432</v>
      </c>
      <c r="C6" t="s">
        <v>90</v>
      </c>
      <c r="E6" t="str">
        <f>IF(LEFT(KeywordList[[#This Row],[Keyword]],1)="-","",KeywordList[[#This Row],[Keyword]]&amp;":")</f>
        <v>top level domain:</v>
      </c>
    </row>
    <row r="7" spans="1:5" x14ac:dyDescent="0.25">
      <c r="A7" t="str">
        <f>("cluster_name")</f>
        <v>cluster_name</v>
      </c>
      <c r="B7" t="s">
        <v>433</v>
      </c>
      <c r="C7" t="s">
        <v>489</v>
      </c>
      <c r="E7" t="str">
        <f>IF(LEFT(KeywordList[[#This Row],[Keyword]],1)="-","",KeywordList[[#This Row],[Keyword]]&amp;":")</f>
        <v>cluster_name:</v>
      </c>
    </row>
    <row r="8" spans="1:5" x14ac:dyDescent="0.25">
      <c r="A8" t="s">
        <v>494</v>
      </c>
      <c r="B8" t="s">
        <v>495</v>
      </c>
      <c r="C8" t="s">
        <v>497</v>
      </c>
      <c r="E8" t="str">
        <f>IF(LEFT(KeywordList[[#This Row],[Keyword]],1)="-","",KeywordList[[#This Row],[Keyword]]&amp;":")</f>
        <v>created:</v>
      </c>
    </row>
    <row r="9" spans="1:5" x14ac:dyDescent="0.25">
      <c r="A9" t="s">
        <v>498</v>
      </c>
      <c r="B9" t="s">
        <v>496</v>
      </c>
      <c r="C9" t="s">
        <v>497</v>
      </c>
      <c r="E9" t="str">
        <f>IF(LEFT(KeywordList[[#This Row],[Keyword]],1)="-","",KeywordList[[#This Row],[Keyword]]&amp;":")</f>
        <v>modified:</v>
      </c>
    </row>
    <row r="10" spans="1:5" x14ac:dyDescent="0.25">
      <c r="A10" t="str">
        <f>"-----HOST INFO-----"</f>
        <v>-----HOST INFO-----</v>
      </c>
      <c r="B10" t="str">
        <f>"-----HOST INFO-----"</f>
        <v>-----HOST INFO-----</v>
      </c>
      <c r="E10" t="str">
        <f>IF(LEFT(KeywordList[[#This Row],[Keyword]],1)="-","",KeywordList[[#This Row],[Keyword]]&amp;":")</f>
        <v/>
      </c>
    </row>
    <row r="11" spans="1:5" x14ac:dyDescent="0.25">
      <c r="A11" t="s">
        <v>272</v>
      </c>
      <c r="B11" t="s">
        <v>117</v>
      </c>
      <c r="E11" t="str">
        <f>IF(LEFT(KeywordList[[#This Row],[Keyword]],1)="-","",KeywordList[[#This Row],[Keyword]]&amp;":")</f>
        <v>host:</v>
      </c>
    </row>
    <row r="12" spans="1:5" x14ac:dyDescent="0.25">
      <c r="A12" t="s">
        <v>420</v>
      </c>
      <c r="B12" t="s">
        <v>460</v>
      </c>
      <c r="C12" t="s">
        <v>490</v>
      </c>
      <c r="E12" t="str">
        <f>IF(LEFT(KeywordList[[#This Row],[Keyword]],1)="-","",KeywordList[[#This Row],[Keyword]]&amp;":")</f>
        <v>rack:</v>
      </c>
    </row>
    <row r="13" spans="1:5" x14ac:dyDescent="0.25">
      <c r="A13" t="s">
        <v>119</v>
      </c>
      <c r="B13" t="s">
        <v>461</v>
      </c>
      <c r="C13" s="41">
        <v>2</v>
      </c>
      <c r="E13" t="str">
        <f>IF(LEFT(KeywordList[[#This Row],[Keyword]],1)="-","",KeywordList[[#This Row],[Keyword]]&amp;":")</f>
        <v>position:</v>
      </c>
    </row>
    <row r="14" spans="1:5" x14ac:dyDescent="0.25">
      <c r="A14" t="s">
        <v>421</v>
      </c>
      <c r="B14" t="s">
        <v>462</v>
      </c>
      <c r="C14" t="s">
        <v>486</v>
      </c>
      <c r="E14" t="str">
        <f>IF(LEFT(KeywordList[[#This Row],[Keyword]],1)="-","",KeywordList[[#This Row],[Keyword]]&amp;":")</f>
        <v>psnt:</v>
      </c>
    </row>
    <row r="15" spans="1:5" x14ac:dyDescent="0.25">
      <c r="A15" t="s">
        <v>499</v>
      </c>
      <c r="B15" t="s">
        <v>502</v>
      </c>
      <c r="C15" t="s">
        <v>98</v>
      </c>
      <c r="E15" t="str">
        <f>IF(LEFT(KeywordList[[#This Row],[Keyword]],1)="-","",KeywordList[[#This Row],[Keyword]]&amp;":")</f>
        <v>mgmt ip:</v>
      </c>
    </row>
    <row r="16" spans="1:5" x14ac:dyDescent="0.25">
      <c r="A16" t="s">
        <v>500</v>
      </c>
      <c r="B16" t="s">
        <v>503</v>
      </c>
      <c r="C16" t="s">
        <v>509</v>
      </c>
      <c r="E16" t="str">
        <f>IF(LEFT(KeywordList[[#This Row],[Keyword]],1)="-","",KeywordList[[#This Row],[Keyword]]&amp;":")</f>
        <v>vsan ip::</v>
      </c>
    </row>
    <row r="17" spans="1:5" x14ac:dyDescent="0.25">
      <c r="A17" t="s">
        <v>501</v>
      </c>
      <c r="B17" t="s">
        <v>504</v>
      </c>
      <c r="C17" t="s">
        <v>505</v>
      </c>
      <c r="E17" t="str">
        <f>IF(LEFT(KeywordList[[#This Row],[Keyword]],1)="-","",KeywordList[[#This Row],[Keyword]]&amp;":")</f>
        <v>vmotion ip:</v>
      </c>
    </row>
    <row r="18" spans="1:5" x14ac:dyDescent="0.25">
      <c r="A18" t="s">
        <v>506</v>
      </c>
      <c r="B18" t="s">
        <v>507</v>
      </c>
      <c r="C18" t="s">
        <v>508</v>
      </c>
      <c r="E18" t="str">
        <f>IF(LEFT(KeywordList[[#This Row],[Keyword]],1)="-","",KeywordList[[#This Row],[Keyword]]&amp;":")</f>
        <v>witness ip:</v>
      </c>
    </row>
    <row r="19" spans="1:5" x14ac:dyDescent="0.25">
      <c r="A19" t="str">
        <f>"-----EXTERNAL SERVICES-----"</f>
        <v>-----EXTERNAL SERVICES-----</v>
      </c>
      <c r="B19" t="str">
        <f>"-----EXTERNAL SERVICES-----"</f>
        <v>-----EXTERNAL SERVICES-----</v>
      </c>
      <c r="E19" t="str">
        <f>IF(LEFT(KeywordList[[#This Row],[Keyword]],1)="-","",KeywordList[[#This Row],[Keyword]]&amp;":")</f>
        <v/>
      </c>
    </row>
    <row r="20" spans="1:5" x14ac:dyDescent="0.25">
      <c r="A20" t="str">
        <f>"DNS Servers"</f>
        <v>DNS Servers</v>
      </c>
      <c r="B20" t="s">
        <v>435</v>
      </c>
      <c r="C20" t="s">
        <v>480</v>
      </c>
      <c r="E20" t="str">
        <f>IF(LEFT(KeywordList[[#This Row],[Keyword]],1)="-","",KeywordList[[#This Row],[Keyword]]&amp;":")</f>
        <v>DNS Servers:</v>
      </c>
    </row>
    <row r="21" spans="1:5" x14ac:dyDescent="0.25">
      <c r="A21" t="s">
        <v>418</v>
      </c>
      <c r="B21" t="s">
        <v>458</v>
      </c>
      <c r="C21" t="s">
        <v>482</v>
      </c>
      <c r="E21" t="str">
        <f>IF(LEFT(KeywordList[[#This Row],[Keyword]],1)="-","",KeywordList[[#This Row],[Keyword]]&amp;":")</f>
        <v>internal_dns:</v>
      </c>
    </row>
    <row r="22" spans="1:5" x14ac:dyDescent="0.25">
      <c r="A22" t="str">
        <f>"NTP Servers"</f>
        <v>NTP Servers</v>
      </c>
      <c r="B22" t="s">
        <v>434</v>
      </c>
      <c r="C22" t="s">
        <v>479</v>
      </c>
      <c r="E22" t="str">
        <f>IF(LEFT(KeywordList[[#This Row],[Keyword]],1)="-","",KeywordList[[#This Row],[Keyword]]&amp;":")</f>
        <v>NTP Servers:</v>
      </c>
    </row>
    <row r="23" spans="1:5" x14ac:dyDescent="0.25">
      <c r="A23" t="str">
        <f>"Syslog servers"</f>
        <v>Syslog servers</v>
      </c>
      <c r="B23" t="s">
        <v>436</v>
      </c>
      <c r="C23" t="s">
        <v>248</v>
      </c>
      <c r="E23" t="str">
        <f>IF(LEFT(KeywordList[[#This Row],[Keyword]],1)="-","",KeywordList[[#This Row],[Keyword]]&amp;":")</f>
        <v>Syslog servers:</v>
      </c>
    </row>
    <row r="24" spans="1:5" x14ac:dyDescent="0.25">
      <c r="A24" t="s">
        <v>220</v>
      </c>
      <c r="B24" t="s">
        <v>439</v>
      </c>
      <c r="C24" t="s">
        <v>482</v>
      </c>
      <c r="E24" t="str">
        <f>IF(LEFT(KeywordList[[#This Row],[Keyword]],1)="-","",KeywordList[[#This Row],[Keyword]]&amp;":")</f>
        <v>customer_supplied_vc:</v>
      </c>
    </row>
    <row r="25" spans="1:5" x14ac:dyDescent="0.25">
      <c r="A25" t="s">
        <v>71</v>
      </c>
      <c r="B25" t="s">
        <v>459</v>
      </c>
      <c r="C25" t="s">
        <v>96</v>
      </c>
      <c r="E25" t="str">
        <f>IF(LEFT(KeywordList[[#This Row],[Keyword]],1)="-","",KeywordList[[#This Row],[Keyword]]&amp;":")</f>
        <v>vxrail_supplied_vc_name:</v>
      </c>
    </row>
    <row r="26" spans="1:5" x14ac:dyDescent="0.25">
      <c r="A26" t="s">
        <v>232</v>
      </c>
      <c r="B26" t="s">
        <v>440</v>
      </c>
      <c r="C26" t="s">
        <v>483</v>
      </c>
      <c r="E26" t="str">
        <f>IF(LEFT(KeywordList[[#This Row],[Keyword]],1)="-","",KeywordList[[#This Row],[Keyword]]&amp;":")</f>
        <v>vcname:</v>
      </c>
    </row>
    <row r="27" spans="1:5" x14ac:dyDescent="0.25">
      <c r="A27" t="s">
        <v>183</v>
      </c>
      <c r="B27" t="s">
        <v>442</v>
      </c>
      <c r="E27" t="str">
        <f>IF(LEFT(KeywordList[[#This Row],[Keyword]],1)="-","",KeywordList[[#This Row],[Keyword]]&amp;":")</f>
        <v>vxrm hostname:</v>
      </c>
    </row>
    <row r="28" spans="1:5" x14ac:dyDescent="0.25">
      <c r="A28" t="s">
        <v>184</v>
      </c>
      <c r="B28" t="s">
        <v>443</v>
      </c>
      <c r="E28" t="str">
        <f>IF(LEFT(KeywordList[[#This Row],[Keyword]],1)="-","",KeywordList[[#This Row],[Keyword]]&amp;":")</f>
        <v>vxrm ip:</v>
      </c>
    </row>
    <row r="29" spans="1:5" x14ac:dyDescent="0.25">
      <c r="A29" t="s">
        <v>400</v>
      </c>
      <c r="B29" t="s">
        <v>441</v>
      </c>
      <c r="C29" t="s">
        <v>482</v>
      </c>
      <c r="E29" t="str">
        <f>IF(LEFT(KeywordList[[#This Row],[Keyword]],1)="-","",KeywordList[[#This Row],[Keyword]]&amp;":")</f>
        <v>sfs declared:</v>
      </c>
    </row>
    <row r="30" spans="1:5" x14ac:dyDescent="0.25">
      <c r="A30" t="str">
        <f>"-----CLUSTER DETAILS-----"</f>
        <v>-----CLUSTER DETAILS-----</v>
      </c>
      <c r="B30" t="str">
        <f>"-----CLUSTER DETAILS-----"</f>
        <v>-----CLUSTER DETAILS-----</v>
      </c>
      <c r="E30" t="str">
        <f>IF(LEFT(KeywordList[[#This Row],[Keyword]],1)="-","",KeywordList[[#This Row],[Keyword]]&amp;":")</f>
        <v/>
      </c>
    </row>
    <row r="31" spans="1:5" x14ac:dyDescent="0.25">
      <c r="A31" s="40" t="s">
        <v>256</v>
      </c>
      <c r="B31" t="s">
        <v>437</v>
      </c>
      <c r="C31" t="s">
        <v>481</v>
      </c>
      <c r="E31" t="str">
        <f>IF(LEFT(KeywordList[[#This Row],[Keyword]],1)="-","",KeywordList[[#This Row],[Keyword]]&amp;":")</f>
        <v>Datacenter name :</v>
      </c>
    </row>
    <row r="32" spans="1:5" x14ac:dyDescent="0.25">
      <c r="A32" t="str">
        <f>("DiskGroupType")</f>
        <v>DiskGroupType</v>
      </c>
      <c r="B32" t="s">
        <v>438</v>
      </c>
      <c r="C32" s="41">
        <v>2403</v>
      </c>
      <c r="E32" t="str">
        <f>IF(LEFT(KeywordList[[#This Row],[Keyword]],1)="-","",KeywordList[[#This Row],[Keyword]]&amp;":")</f>
        <v>DiskGroupType:</v>
      </c>
    </row>
    <row r="33" spans="1:5" x14ac:dyDescent="0.25">
      <c r="A33" t="str">
        <f>"-----ACCOUNT NAMES-----"</f>
        <v>-----ACCOUNT NAMES-----</v>
      </c>
      <c r="B33" t="str">
        <f>"-----ACCOUNT NAMES-----"</f>
        <v>-----ACCOUNT NAMES-----</v>
      </c>
      <c r="E33" t="str">
        <f>IF(LEFT(KeywordList[[#This Row],[Keyword]],1)="-","",KeywordList[[#This Row],[Keyword]]&amp;":")</f>
        <v/>
      </c>
    </row>
    <row r="34" spans="1:5" x14ac:dyDescent="0.25">
      <c r="A34" t="s">
        <v>86</v>
      </c>
      <c r="B34" t="s">
        <v>444</v>
      </c>
      <c r="C34" t="s">
        <v>86</v>
      </c>
      <c r="E34" t="str">
        <f>IF(LEFT(KeywordList[[#This Row],[Keyword]],1)="-","",KeywordList[[#This Row],[Keyword]]&amp;":")</f>
        <v>root:</v>
      </c>
    </row>
    <row r="35" spans="1:5" x14ac:dyDescent="0.25">
      <c r="A35" t="s">
        <v>366</v>
      </c>
      <c r="B35" t="s">
        <v>445</v>
      </c>
      <c r="C35" t="s">
        <v>87</v>
      </c>
      <c r="E35" t="str">
        <f>IF(LEFT(KeywordList[[#This Row],[Keyword]],1)="-","",KeywordList[[#This Row],[Keyword]]&amp;":")</f>
        <v>service:</v>
      </c>
    </row>
    <row r="36" spans="1:5" x14ac:dyDescent="0.25">
      <c r="A36" t="s">
        <v>238</v>
      </c>
      <c r="B36" t="s">
        <v>446</v>
      </c>
      <c r="C36" t="s">
        <v>484</v>
      </c>
      <c r="E36" t="str">
        <f>IF(LEFT(KeywordList[[#This Row],[Keyword]],1)="-","",KeywordList[[#This Row],[Keyword]]&amp;":")</f>
        <v>admin:</v>
      </c>
    </row>
    <row r="37" spans="1:5" x14ac:dyDescent="0.25">
      <c r="A37" t="s">
        <v>367</v>
      </c>
      <c r="B37" t="s">
        <v>447</v>
      </c>
      <c r="C37" t="s">
        <v>485</v>
      </c>
      <c r="E37" t="str">
        <f>IF(LEFT(KeywordList[[#This Row],[Keyword]],1)="-","",KeywordList[[#This Row],[Keyword]]&amp;":")</f>
        <v>mgmt:</v>
      </c>
    </row>
    <row r="38" spans="1:5" x14ac:dyDescent="0.25">
      <c r="A38" t="str">
        <f>("witness.username")</f>
        <v>witness.username</v>
      </c>
      <c r="B38" t="s">
        <v>455</v>
      </c>
      <c r="C38" t="s">
        <v>106</v>
      </c>
      <c r="E38" t="str">
        <f>IF(LEFT(KeywordList[[#This Row],[Keyword]],1)="-","",KeywordList[[#This Row],[Keyword]]&amp;":")</f>
        <v>witness.username:</v>
      </c>
    </row>
    <row r="39" spans="1:5" x14ac:dyDescent="0.25">
      <c r="A39" t="str">
        <f>"-----CLUSTER IP ADDRESSES-----"</f>
        <v>-----CLUSTER IP ADDRESSES-----</v>
      </c>
      <c r="B39" t="str">
        <f>"-----CLUSTER IP ADDRESSES-----"</f>
        <v>-----CLUSTER IP ADDRESSES-----</v>
      </c>
      <c r="E39" t="str">
        <f>IF(LEFT(KeywordList[[#This Row],[Keyword]],1)="-","",KeywordList[[#This Row],[Keyword]]&amp;":")</f>
        <v/>
      </c>
    </row>
    <row r="40" spans="1:5" x14ac:dyDescent="0.25">
      <c r="A40" t="s">
        <v>226</v>
      </c>
      <c r="B40" t="s">
        <v>448</v>
      </c>
      <c r="C40" t="s">
        <v>248</v>
      </c>
      <c r="E40" t="str">
        <f>IF(LEFT(KeywordList[[#This Row],[Keyword]],1)="-","",KeywordList[[#This Row],[Keyword]]&amp;":")</f>
        <v>cluster mgmt gw:</v>
      </c>
    </row>
    <row r="41" spans="1:5" x14ac:dyDescent="0.25">
      <c r="A41" t="str">
        <f>("witness.gateway")</f>
        <v>witness.gateway</v>
      </c>
      <c r="B41" t="s">
        <v>452</v>
      </c>
      <c r="C41" t="s">
        <v>91</v>
      </c>
      <c r="E41" t="str">
        <f>IF(LEFT(KeywordList[[#This Row],[Keyword]],1)="-","",KeywordList[[#This Row],[Keyword]]&amp;":")</f>
        <v>witness.gateway:</v>
      </c>
    </row>
    <row r="42" spans="1:5" x14ac:dyDescent="0.25">
      <c r="A42" t="str">
        <f>("witness.management_ip")</f>
        <v>witness.management_ip</v>
      </c>
      <c r="B42" t="s">
        <v>453</v>
      </c>
      <c r="C42" t="s">
        <v>98</v>
      </c>
      <c r="E42" t="str">
        <f>IF(LEFT(KeywordList[[#This Row],[Keyword]],1)="-","",KeywordList[[#This Row],[Keyword]]&amp;":")</f>
        <v>witness.management_ip:</v>
      </c>
    </row>
    <row r="43" spans="1:5" x14ac:dyDescent="0.25">
      <c r="A43" t="str">
        <f>("witness.netmask")</f>
        <v>witness.netmask</v>
      </c>
      <c r="B43" t="s">
        <v>454</v>
      </c>
      <c r="C43" t="s">
        <v>85</v>
      </c>
      <c r="E43" t="str">
        <f>IF(LEFT(KeywordList[[#This Row],[Keyword]],1)="-","",KeywordList[[#This Row],[Keyword]]&amp;":")</f>
        <v>witness.netmask:</v>
      </c>
    </row>
    <row r="44" spans="1:5" x14ac:dyDescent="0.25">
      <c r="A44" t="s">
        <v>70</v>
      </c>
      <c r="B44" t="s">
        <v>456</v>
      </c>
      <c r="C44" t="s">
        <v>274</v>
      </c>
      <c r="E44" t="str">
        <f>IF(LEFT(KeywordList[[#This Row],[Keyword]],1)="-","",KeywordList[[#This Row],[Keyword]]&amp;":")</f>
        <v>vxrail_supplied_vc_ip:</v>
      </c>
    </row>
    <row r="45" spans="1:5" x14ac:dyDescent="0.25">
      <c r="A45" t="s">
        <v>419</v>
      </c>
      <c r="B45" t="s">
        <v>457</v>
      </c>
      <c r="C45" t="s">
        <v>274</v>
      </c>
      <c r="E45" t="str">
        <f>IF(LEFT(KeywordList[[#This Row],[Keyword]],1)="-","",KeywordList[[#This Row],[Keyword]]&amp;":")</f>
        <v>cust_supplied_vc_ip:</v>
      </c>
    </row>
    <row r="46" spans="1:5" x14ac:dyDescent="0.25">
      <c r="A46" t="s">
        <v>227</v>
      </c>
      <c r="B46" t="s">
        <v>449</v>
      </c>
      <c r="C46" t="s">
        <v>85</v>
      </c>
      <c r="E46" t="str">
        <f>IF(LEFT(KeywordList[[#This Row],[Keyword]],1)="-","",KeywordList[[#This Row],[Keyword]]&amp;":")</f>
        <v>clus mgmt netmask:</v>
      </c>
    </row>
    <row r="47" spans="1:5" x14ac:dyDescent="0.25">
      <c r="A47" t="s">
        <v>228</v>
      </c>
      <c r="B47" t="s">
        <v>450</v>
      </c>
      <c r="C47" t="s">
        <v>85</v>
      </c>
      <c r="E47" t="str">
        <f>IF(LEFT(KeywordList[[#This Row],[Keyword]],1)="-","",KeywordList[[#This Row],[Keyword]]&amp;":")</f>
        <v>vsan netmask:</v>
      </c>
    </row>
    <row r="48" spans="1:5" x14ac:dyDescent="0.25">
      <c r="A48" t="s">
        <v>229</v>
      </c>
      <c r="B48" t="s">
        <v>451</v>
      </c>
      <c r="C48" t="s">
        <v>85</v>
      </c>
      <c r="E48" t="str">
        <f>IF(LEFT(KeywordList[[#This Row],[Keyword]],1)="-","",KeywordList[[#This Row],[Keyword]]&amp;":")</f>
        <v>vmotion netmask:</v>
      </c>
    </row>
    <row r="49" spans="1:5" x14ac:dyDescent="0.25">
      <c r="A49" t="str">
        <f>"-----VLANS-----"</f>
        <v>-----VLANS-----</v>
      </c>
      <c r="B49" t="str">
        <f>"-----VLANS-----"</f>
        <v>-----VLANS-----</v>
      </c>
      <c r="E49" t="str">
        <f>IF(LEFT(KeywordList[[#This Row],[Keyword]],1)="-","",KeywordList[[#This Row],[Keyword]]&amp;":")</f>
        <v/>
      </c>
    </row>
    <row r="50" spans="1:5" x14ac:dyDescent="0.25">
      <c r="A50" t="s">
        <v>20</v>
      </c>
      <c r="B50" t="s">
        <v>467</v>
      </c>
      <c r="C50" s="41">
        <v>3939</v>
      </c>
      <c r="E50" t="str">
        <f>IF(LEFT(KeywordList[[#This Row],[Keyword]],1)="-","",KeywordList[[#This Row],[Keyword]]&amp;":")</f>
        <v>vlan_id:</v>
      </c>
    </row>
    <row r="51" spans="1:5" x14ac:dyDescent="0.25">
      <c r="A51" t="s">
        <v>424</v>
      </c>
      <c r="B51" t="s">
        <v>466</v>
      </c>
      <c r="C51" t="s">
        <v>30</v>
      </c>
      <c r="E51" t="str">
        <f>IF(LEFT(KeywordList[[#This Row],[Keyword]],1)="-","",KeywordList[[#This Row],[Keyword]]&amp;":")</f>
        <v>pgtype:</v>
      </c>
    </row>
    <row r="52" spans="1:5" x14ac:dyDescent="0.25">
      <c r="A52" t="s">
        <v>425</v>
      </c>
      <c r="B52" t="s">
        <v>468</v>
      </c>
      <c r="C52" t="s">
        <v>491</v>
      </c>
      <c r="E52" t="str">
        <f>IF(LEFT(KeywordList[[#This Row],[Keyword]],1)="-","",KeywordList[[#This Row],[Keyword]]&amp;":")</f>
        <v>pgname:</v>
      </c>
    </row>
    <row r="53" spans="1:5" x14ac:dyDescent="0.25">
      <c r="A53" t="s">
        <v>428</v>
      </c>
      <c r="B53" t="s">
        <v>471</v>
      </c>
      <c r="C53" t="s">
        <v>32</v>
      </c>
      <c r="E53" t="str">
        <f>IF(LEFT(KeywordList[[#This Row],[Keyword]],1)="-","",KeywordList[[#This Row],[Keyword]]&amp;":")</f>
        <v>pnic:</v>
      </c>
    </row>
    <row r="54" spans="1:5" x14ac:dyDescent="0.25">
      <c r="A54" t="s">
        <v>212</v>
      </c>
      <c r="B54" t="s">
        <v>472</v>
      </c>
      <c r="C54" t="s">
        <v>493</v>
      </c>
      <c r="E54" t="str">
        <f>IF(LEFT(KeywordList[[#This Row],[Keyword]],1)="-","",KeywordList[[#This Row],[Keyword]]&amp;":")</f>
        <v>vds.name:</v>
      </c>
    </row>
    <row r="55" spans="1:5" x14ac:dyDescent="0.25">
      <c r="A55" t="s">
        <v>426</v>
      </c>
      <c r="B55" t="s">
        <v>469</v>
      </c>
      <c r="C55" t="s">
        <v>488</v>
      </c>
      <c r="E55" t="str">
        <f>IF(LEFT(KeywordList[[#This Row],[Keyword]],1)="-","",KeywordList[[#This Row],[Keyword]]&amp;":")</f>
        <v>pg.failover.order:</v>
      </c>
    </row>
    <row r="56" spans="1:5" x14ac:dyDescent="0.25">
      <c r="A56" t="s">
        <v>427</v>
      </c>
      <c r="B56" t="s">
        <v>470</v>
      </c>
      <c r="C56" t="s">
        <v>492</v>
      </c>
      <c r="E56" t="str">
        <f>IF(LEFT(KeywordList[[#This Row],[Keyword]],1)="-","",KeywordList[[#This Row],[Keyword]]&amp;":")</f>
        <v>uplinkname:</v>
      </c>
    </row>
    <row r="57" spans="1:5" x14ac:dyDescent="0.25">
      <c r="A57" t="s">
        <v>18</v>
      </c>
      <c r="B57" t="s">
        <v>463</v>
      </c>
      <c r="C57" t="s">
        <v>327</v>
      </c>
      <c r="E57" t="str">
        <f>IF(LEFT(KeywordList[[#This Row],[Keyword]],1)="-","",KeywordList[[#This Row],[Keyword]]&amp;":")</f>
        <v>nic_profile:</v>
      </c>
    </row>
    <row r="58" spans="1:5" x14ac:dyDescent="0.25">
      <c r="A58" t="s">
        <v>422</v>
      </c>
      <c r="B58" t="s">
        <v>464</v>
      </c>
      <c r="C58" t="s">
        <v>487</v>
      </c>
      <c r="E58" t="str">
        <f>IF(LEFT(KeywordList[[#This Row],[Keyword]],1)="-","",KeywordList[[#This Row],[Keyword]]&amp;":")</f>
        <v>pgbindingtype:</v>
      </c>
    </row>
    <row r="59" spans="1:5" x14ac:dyDescent="0.25">
      <c r="A59" t="s">
        <v>423</v>
      </c>
      <c r="B59" t="s">
        <v>465</v>
      </c>
      <c r="C59" t="s">
        <v>487</v>
      </c>
      <c r="E59" t="str">
        <f>IF(LEFT(KeywordList[[#This Row],[Keyword]],1)="-","",KeywordList[[#This Row],[Keyword]]&amp;":")</f>
        <v>sysvmbindingtype: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361</v>
      </c>
    </row>
    <row r="5" spans="1:1" x14ac:dyDescent="0.25">
      <c r="A5" t="s">
        <v>399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keywords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Paul Galjan</cp:lastModifiedBy>
  <dcterms:created xsi:type="dcterms:W3CDTF">2021-08-29T18:45:55Z</dcterms:created>
  <dcterms:modified xsi:type="dcterms:W3CDTF">2021-09-01T13:59:47Z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