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2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93492AB3-EF7E-4B76-9688-BC71ED069387}" xr6:coauthVersionLast="46" xr6:coauthVersionMax="46" xr10:uidLastSave="{00000000-0000-0000-0000-000000000000}"/>
  <bookViews>
    <workbookView xWindow="-120" yWindow="-120" windowWidth="38640" windowHeight="21240" firstSheet="5" activeTab="5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Notes" sheetId="17" r:id="rId10"/>
    <sheet name="template" sheetId="16" state="hidden" r:id="rId11"/>
  </sheets>
  <definedNames>
    <definedName name="ExternalData_1" localSheetId="5" hidden="1">dashboard!$R$4:$S$5</definedName>
    <definedName name="ExternalData_1" localSheetId="3" hidden="1">hosts!$A$1:$M$29</definedName>
    <definedName name="ExternalData_2" localSheetId="2" hidden="1">files!$A$1:$F$11</definedName>
    <definedName name="ExternalData_2" localSheetId="7" hidden="1">search!$A$1:$B$9</definedName>
    <definedName name="ExternalData_3" localSheetId="2" hidden="1">files!$I$1:$J$9</definedName>
    <definedName name="ExternalData_3" localSheetId="6" hidden="1">quickview!$A$1:$C$9</definedName>
    <definedName name="ExternalData_4" localSheetId="8" hidden="1">diff!$M$2:$N$4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diff!$D$1</definedName>
    <definedName name="File2">diff!$H$1</definedName>
    <definedName name="File3">diff!$K$1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11" i="1"/>
  <c r="B10" i="1"/>
  <c r="B9" i="1"/>
  <c r="B6" i="1"/>
  <c r="B34" i="1"/>
  <c r="B33" i="1"/>
  <c r="B32" i="1"/>
  <c r="B31" i="1"/>
  <c r="B30" i="1"/>
  <c r="C20" i="1"/>
  <c r="K28" i="19"/>
  <c r="H28" i="19"/>
  <c r="E28" i="19"/>
  <c r="E26" i="19"/>
  <c r="E27" i="19"/>
  <c r="D59" i="19" l="1"/>
  <c r="J59" i="19" s="1"/>
  <c r="K8" i="19"/>
  <c r="E8" i="19"/>
  <c r="H8" i="19"/>
  <c r="B39" i="1" a="1"/>
  <c r="B39" i="1" s="1"/>
  <c r="B5" i="19" a="1"/>
  <c r="B5" i="19" s="1"/>
  <c r="D46" i="19"/>
  <c r="J46" i="19" s="1"/>
  <c r="J60" i="19"/>
  <c r="J47" i="19"/>
  <c r="G60" i="19"/>
  <c r="G47" i="19"/>
  <c r="D60" i="19"/>
  <c r="D47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K7" i="19"/>
  <c r="H7" i="19"/>
  <c r="E7" i="19"/>
  <c r="K44" i="19"/>
  <c r="J44" i="19" s="1"/>
  <c r="K43" i="19"/>
  <c r="J43" i="19" s="1"/>
  <c r="K42" i="19"/>
  <c r="J42" i="19" s="1"/>
  <c r="K41" i="19"/>
  <c r="J41" i="19" s="1"/>
  <c r="K40" i="19"/>
  <c r="J40" i="19" s="1"/>
  <c r="K39" i="19"/>
  <c r="J39" i="19" s="1"/>
  <c r="K38" i="19"/>
  <c r="J38" i="19" s="1"/>
  <c r="K36" i="19"/>
  <c r="K35" i="19"/>
  <c r="K34" i="19"/>
  <c r="K33" i="19"/>
  <c r="K31" i="19"/>
  <c r="K30" i="19"/>
  <c r="K27" i="19"/>
  <c r="K26" i="19"/>
  <c r="K25" i="19"/>
  <c r="K24" i="19"/>
  <c r="K21" i="19"/>
  <c r="K22" i="19" s="1"/>
  <c r="K19" i="19"/>
  <c r="K18" i="19"/>
  <c r="K17" i="19"/>
  <c r="K16" i="19"/>
  <c r="K15" i="19"/>
  <c r="K14" i="19"/>
  <c r="K13" i="19"/>
  <c r="K11" i="19"/>
  <c r="K10" i="19"/>
  <c r="K6" i="19"/>
  <c r="K5" i="19"/>
  <c r="H44" i="19"/>
  <c r="G44" i="19" s="1"/>
  <c r="H43" i="19"/>
  <c r="G43" i="19" s="1"/>
  <c r="H42" i="19"/>
  <c r="G42" i="19" s="1"/>
  <c r="H41" i="19"/>
  <c r="G41" i="19" s="1"/>
  <c r="H40" i="19"/>
  <c r="G40" i="19" s="1"/>
  <c r="H39" i="19"/>
  <c r="G39" i="19" s="1"/>
  <c r="H38" i="19"/>
  <c r="G38" i="19" s="1"/>
  <c r="H36" i="19"/>
  <c r="H35" i="19"/>
  <c r="H34" i="19"/>
  <c r="H33" i="19"/>
  <c r="H31" i="19"/>
  <c r="H30" i="19"/>
  <c r="H27" i="19"/>
  <c r="H26" i="19"/>
  <c r="H25" i="19"/>
  <c r="H24" i="19"/>
  <c r="H21" i="19"/>
  <c r="H22" i="19" s="1"/>
  <c r="H19" i="19"/>
  <c r="H18" i="19"/>
  <c r="H17" i="19"/>
  <c r="H16" i="19"/>
  <c r="H15" i="19"/>
  <c r="H14" i="19"/>
  <c r="H13" i="19"/>
  <c r="H11" i="19"/>
  <c r="H10" i="19"/>
  <c r="H6" i="19"/>
  <c r="H5" i="19"/>
  <c r="E44" i="19"/>
  <c r="D44" i="19" s="1"/>
  <c r="E43" i="19"/>
  <c r="D43" i="19" s="1"/>
  <c r="E42" i="19"/>
  <c r="D42" i="19" s="1"/>
  <c r="E41" i="19"/>
  <c r="D41" i="19" s="1"/>
  <c r="E40" i="19"/>
  <c r="D40" i="19" s="1"/>
  <c r="E39" i="19"/>
  <c r="D39" i="19" s="1"/>
  <c r="E38" i="19"/>
  <c r="D38" i="19" s="1"/>
  <c r="E36" i="19"/>
  <c r="E35" i="19"/>
  <c r="E34" i="19"/>
  <c r="E33" i="19"/>
  <c r="E31" i="19"/>
  <c r="E30" i="19"/>
  <c r="E25" i="19"/>
  <c r="E24" i="19"/>
  <c r="E21" i="19"/>
  <c r="E22" i="19" s="1"/>
  <c r="E19" i="19"/>
  <c r="E18" i="19"/>
  <c r="E17" i="19"/>
  <c r="E16" i="19"/>
  <c r="E15" i="19"/>
  <c r="E14" i="19"/>
  <c r="E13" i="19"/>
  <c r="E11" i="19"/>
  <c r="E6" i="19"/>
  <c r="E10" i="19"/>
  <c r="E5" i="19"/>
  <c r="C8" i="1"/>
  <c r="J2" i="1"/>
  <c r="G1" i="1"/>
  <c r="G2" i="1"/>
  <c r="J1" i="1"/>
  <c r="C5" i="1"/>
  <c r="G46" i="19" l="1"/>
  <c r="G59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Galjan, Paul</author>
  </authors>
  <commentList>
    <comment ref="C36" authorId="0" shapeId="0" xr:uid="{0826F4D2-395D-4F7B-AE37-E54E49F0F1B2}">
      <text>
        <r>
          <rPr>
            <b/>
            <sz val="9"/>
            <color indexed="81"/>
            <rFont val="Tahoma"/>
            <charset val="1"/>
          </rPr>
          <t>Galjan, Paul:</t>
        </r>
        <r>
          <rPr>
            <sz val="9"/>
            <color indexed="81"/>
            <rFont val="Tahoma"/>
            <charset val="1"/>
          </rPr>
          <t xml:space="preserve">
Use the parameter names in the table on this sheet to perform case-insensitive keyword searches using [parameter]:[value].  
The following additional parameters are indexed and available for use:
Cluster settings
internal_dns:[TRUE|FALSE]
vxrail_supplied_vc_ip:[IP Address]
vxrail_supplied_vc_name:[hostname]
cust_supplied_vc_ip:[hostname or ip address]
Host settings
rack:[rack string]
position:[number]
WITNESS IP:[ip Address]
psnt:[psnt]
Network settings
nic_profile:[string]
pgbindingtype:[STATIC|EPHEMERAL]
sysvmbindingtype:[STATIC|EPHEMERAL]
pgtype:[string]
vlan_id:[number]
pgname:[string]
pg.failover.order:[Uplink[n];Uplink[n]]
uplinkname:[string]
pnic:[vmnic[n]]
vds.name:[string]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Galjan, Paul</author>
  </authors>
  <commentList>
    <comment ref="B2" authorId="0" shapeId="0" xr:uid="{4F366211-7C8F-4377-873E-A09A6EAA1740}">
      <text>
        <r>
          <rPr>
            <b/>
            <sz val="9"/>
            <color indexed="81"/>
            <rFont val="Tahoma"/>
            <charset val="1"/>
          </rPr>
          <t>Galjan, Paul:</t>
        </r>
        <r>
          <rPr>
            <sz val="9"/>
            <color indexed="81"/>
            <rFont val="Tahoma"/>
            <charset val="1"/>
          </rPr>
          <t xml:space="preserve">
Use the parameter names in the table on this sheet to perform case-insensitive keyword searches using [parameter]:[value].  
The following additional parameters are indexed and available for use:
Cluster settings
internal_dns:[TRUE|FALSE]
vxrail_supplied_vc_ip:[IP Address]
vxrail_supplied_vc_name:[hostname]
cust_supplied_vc_ip:[hostname or ip address]
Host settings
rack:[rack string]
position:[number]
WITNESS IP:[ip Address]
psnt:[psnt]
Network settings
nic_profile:[string]
pgbindingtype:[STATIC|EPHEMERAL]
sysvmbindingtype:[STATIC|EPHEMERAL]
pgtype:[string]
vlan_id:[number]
pgname:[string]
pg.failover.order:[Uplink[n];Uplink[n]]
uplinkname:[string]
pnic:[vmnic[n]]
vds.name:[string]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6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6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6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6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6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6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<sst xmlns="http://schemas.openxmlformats.org/spreadsheetml/2006/main" count="1252" uniqueCount="430">
  <si>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</si>
  <si>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</si>
  <si>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</si>
  <si>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</si>
  <si>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</si>
  <si>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</si>
  <si>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</si>
  <si>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</si>
  <si>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</si>
  <si>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</si>
  <si>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</si>
  <si>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</si>
  <si>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</si>
  <si>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</si>
  <si>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</si>
  <si>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</si>
  <si>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</si>
  <si>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</si>
  <si>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</si>
  <si>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</si>
  <si>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</si>
  <si>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</si>
  <si>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</si>
  <si>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</si>
  <si>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</si>
  <si>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</si>
  <si>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</si>
  <si>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</si>
  <si>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</si>
  <si>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</si>
  <si>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</si>
  <si>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</si>
  <si>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</si>
  <si>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</si>
  <si>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</si>
  <si>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</si>
  <si>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</si>
  <si>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</si>
  <si>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</si>
  <si>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</si>
  <si>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</si>
  <si>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</si>
  <si>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</si>
  <si>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</si>
  <si>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</si>
  <si>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</si>
  <si>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</si>
  <si>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</si>
  <si>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</si>
  <si>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</si>
  <si>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</si>
  <si>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</si>
  <si>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</si>
  <si>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</si>
  <si>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</si>
  <si>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</si>
  <si>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</si>
  <si>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</si>
  <si>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</si>
  <si>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</si>
  <si>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</si>
  <si>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</si>
  <si>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</si>
  <si>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</si>
  <si>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</si>
  <si>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</si>
  <si>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</si>
  <si>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</si>
  <si>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</si>
  <si>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</si>
  <si>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</si>
  <si>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</si>
  <si>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</si>
  <si>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</si>
  <si>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</si>
  <si>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</si>
  <si>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</si>
  <si>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</si>
  <si>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</si>
  <si>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</si>
  <si>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</si>
  <si>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</si>
  <si>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</si>
  <si>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</si>
  <si>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</si>
  <si>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</si>
  <si>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</si>
  <si>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</si>
  <si>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</si>
  <si>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</si>
  <si>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</si>
  <si>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</si>
  <si>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</si>
  <si>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</si>
  <si>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</si>
  <si>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</si>
  <si>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</si>
  <si>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</si>
  <si>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</si>
  <si>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</si>
  <si>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</si>
  <si>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</si>
  <si>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</si>
  <si>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</si>
  <si>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</si>
  <si>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</si>
  <si>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</si>
  <si>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</si>
  <si>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</si>
  <si>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</si>
  <si>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</si>
  <si>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</si>
  <si>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</si>
  <si>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</si>
  <si>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</si>
  <si>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</si>
  <si>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</si>
  <si>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</si>
  <si>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</si>
  <si>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</si>
  <si>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</si>
  <si>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</si>
  <si>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</si>
  <si>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</si>
  <si>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</si>
  <si>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</si>
  <si>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</si>
  <si>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</si>
  <si>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</si>
  <si>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</si>
  <si>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</si>
  <si>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</si>
  <si>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</si>
  <si>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</si>
  <si>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</si>
  <si>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</si>
  <si>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</si>
  <si>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</si>
  <si>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</si>
  <si>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</si>
  <si>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</si>
  <si>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</si>
  <si>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</si>
  <si>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</si>
  <si>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</si>
  <si>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</si>
  <si>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</si>
  <si>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</si>
  <si>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</si>
  <si>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</si>
  <si>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</si>
  <si>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</si>
  <si>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</si>
  <si>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</si>
  <si>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</si>
  <si>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</si>
  <si>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</si>
  <si>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</si>
  <si>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</si>
  <si>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</si>
  <si>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</si>
  <si>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</si>
  <si>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</si>
  <si>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</si>
  <si>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</si>
  <si>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</si>
  <si>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</si>
  <si>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</si>
  <si>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</si>
  <si>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</si>
  <si>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</si>
  <si>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</si>
  <si>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</si>
  <si>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</si>
  <si>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</si>
  <si>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</si>
  <si>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</si>
  <si>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</si>
  <si>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</si>
  <si>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</si>
  <si>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</si>
  <si>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</si>
  <si>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</si>
  <si>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</si>
  <si>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</si>
  <si>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</si>
  <si>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</si>
  <si>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</si>
  <si>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</si>
  <si>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</si>
  <si>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</si>
  <si>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</si>
  <si>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</si>
  <si>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</si>
  <si>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</si>
  <si>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</si>
  <si>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</si>
  <si>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</si>
  <si>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</si>
  <si>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</si>
  <si>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</si>
  <si>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</si>
  <si>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</si>
  <si>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</si>
  <si>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</si>
  <si>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</si>
  <si>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</si>
  <si>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</si>
  <si>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</si>
  <si>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</si>
  <si>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</si>
  <si>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</si>
  <si>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</si>
  <si>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</si>
  <si>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</si>
  <si>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</si>
  <si>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</si>
  <si>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</si>
  <si>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</si>
  <si>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</si>
  <si>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</si>
  <si>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</si>
  <si>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</si>
  <si>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</si>
  <si>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</si>
  <si>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</si>
  <si>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</si>
  <si>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</si>
  <si>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</si>
  <si>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</si>
  <si>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</si>
  <si>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</si>
  <si>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</si>
  <si>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</si>
  <si>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</si>
  <si>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</si>
  <si>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</si>
  <si>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</si>
  <si>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</si>
  <si>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</si>
  <si>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</si>
  <si>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</si>
  <si>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</si>
  <si>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</si>
  <si>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</si>
  <si>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</si>
  <si>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</si>
  <si>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</si>
  <si>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</si>
  <si>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</si>
  <si>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</si>
  <si>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</si>
  <si>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</si>
  <si>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</si>
  <si>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</si>
  <si>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</si>
  <si>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</si>
  <si>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</si>
  <si>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</si>
  <si>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</si>
  <si>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</si>
  <si>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</si>
  <si>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</si>
  <si>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</si>
  <si>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</si>
  <si>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</si>
  <si>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</si>
  <si>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</si>
  <si>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</si>
  <si>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</si>
  <si>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</si>
  <si>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</si>
  <si>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</si>
  <si>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</si>
  <si>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</si>
  <si>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</si>
  <si>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</si>
  <si>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</si>
  <si>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</si>
  <si>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</si>
  <si>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</si>
  <si>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</si>
  <si>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</si>
  <si>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</si>
  <si>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</si>
  <si>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</si>
  <si>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</si>
  <si>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</si>
  <si>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</si>
  <si>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</si>
  <si>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</si>
  <si>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</si>
  <si>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</si>
  <si>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</si>
  <si>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</si>
  <si>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</si>
  <si>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</si>
  <si>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</si>
  <si>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</si>
  <si>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</si>
  <si>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</si>
  <si>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</si>
  <si>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</si>
  <si>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</si>
  <si>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</si>
  <si>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</si>
  <si>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</si>
  <si>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</si>
  <si>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</si>
  <si>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</si>
  <si>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</si>
  <si>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</si>
  <si>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</si>
  <si>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</si>
  <si>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</si>
  <si>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</si>
  <si>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</si>
  <si>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</si>
  <si>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</si>
  <si>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</si>
  <si>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</si>
  <si>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</si>
  <si>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</si>
  <si>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</si>
  <si>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</si>
  <si>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</si>
  <si>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</si>
  <si>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</si>
  <si>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</si>
  <si>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</si>
  <si>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</si>
  <si>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</si>
  <si>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</si>
  <si>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</si>
  <si>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</si>
  <si>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</si>
  <si>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</si>
  <si>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</si>
  <si>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</si>
  <si>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</si>
  <si>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</si>
  <si>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</si>
  <si>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</si>
  <si>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</si>
  <si>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</si>
  <si>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</si>
  <si>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</si>
  <si>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</si>
  <si>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</si>
  <si>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</si>
  <si>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</si>
  <si>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</si>
  <si>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</si>
  <si>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</si>
  <si>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</si>
  <si>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</si>
  <si>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</si>
  <si>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</si>
  <si>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</si>
  <si>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</si>
  <si>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</si>
  <si>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.zip</t>
  </si>
  <si>
    <t>Questionable Configs_multipleVDS_VxRail_Configuration.zip</t>
  </si>
  <si>
    <t>cidr notation</t>
  </si>
  <si>
    <t>Global Search</t>
  </si>
  <si>
    <t>Host Quickvew</t>
  </si>
  <si>
    <t>VLAN Quickview</t>
  </si>
  <si>
    <t>esxi-01	192.168.1.20	192.168.4.1	192.168.5.1
esxi-02	192.168.1.21	192.168.4.2	192.168.5.2</t>
  </si>
  <si>
    <t>esxi-01	192.168.0.50	192.168.0.19	192.168.0.24
esxi-02	192.168.0.51	192.168.0.20	192.168.0.25
esxi-03	192.168.0.52	192.168.0.21	192.168.0.26</t>
  </si>
  <si>
    <t>esxi-01	192.168.0.100	192.168.0.40	192.168.0.80
esxi-02	192.168.0.101	192.168.0.41	192.168.0.81
esxi-03	192.168.0.102	192.168.0.42	192.168.0.82</t>
  </si>
  <si>
    <t>host-01	192.168.1.50	192.168.80.1	192.168.90.1
host-02	192.168.1.51	192.168.80.2	192.168.90.2</t>
  </si>
  <si>
    <t>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</si>
  <si>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esx-01	192.168.1.51	192.168.1.170	192.168.1.179
esx-02	192.168.1.52	192.168.1.171	192.168.1.180
esx-03	192.168.1.53	192.168.1.172	192.168.1.181</t>
  </si>
  <si>
    <t>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</si>
  <si>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>esx-01	192.168.0.150	192.168.0.50	192.168.0.60
esx-02	192.168.0.151	192.168.0.51	192.168.0.61
esx-03	192.168.0.152	192.168.0.52	192.168.0.62</t>
  </si>
  <si>
    <t>Search Results</t>
  </si>
  <si>
    <t xml:space="preserve">1	(MANAGEMENT)	
2	(VSAN)	
3	(VMOTION)	
6	(WITNESS)	
4	(CUSTOMERVM)	
5	(CUSTOMERVM)	</t>
  </si>
  <si>
    <t xml:space="preserve">1	(MANAGEMENT)	
1	(VSAN)	
1	(VMOTION)	</t>
  </si>
  <si>
    <t xml:space="preserve">0	(MANAGEMENT)	
1	(VSAN)	
0	(VMOTION)	
0	(CUSTOMERVM)	</t>
  </si>
  <si>
    <t xml:space="preserve">1	(MANAGEMENT)	
2	(VSAN)	
3	(VMOTION)	</t>
  </si>
  <si>
    <t>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</si>
  <si>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</si>
  <si>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3939	(VXRAILDISCOVERY)	vmnic2
1	(MANAGEMENT)	vmnic2
1	(VXRAILSYSTEMVM)	vmnic2
3939	(VXRAILDISCOVERY)	vmnic3
1	(MANAGEMENT)	vmnic3
1	(VXRAILSYSTEMVM)	vmnic3
3	(VSAN)	vmnic11
6	(VMOTION)	vmnic11
3	(VSAN)	vmnic10
6	(VMOTION)	vmnic10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</si>
  <si>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</si>
  <si>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</si>
  <si>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</si>
  <si>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</si>
  <si>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</si>
  <si>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</si>
  <si>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</si>
  <si>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</si>
  <si>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</si>
  <si>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</si>
  <si>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</si>
  <si>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</si>
  <si>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</si>
  <si>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</si>
  <si>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</si>
  <si>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</si>
  <si>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</si>
  <si>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</si>
  <si>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</si>
  <si>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</si>
  <si>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</si>
  <si>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</si>
  <si>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</si>
  <si>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</si>
  <si>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</si>
  <si>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</si>
  <si>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</si>
  <si>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</si>
  <si>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</si>
  <si>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</si>
  <si>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</si>
  <si>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</si>
  <si>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</si>
  <si>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</si>
  <si>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</si>
  <si>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</si>
  <si>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sample json files.zip</t>
  </si>
  <si>
    <t>Custom</t>
  </si>
  <si>
    <t xml:space="preserve">starter-2N-exisitng-vds.json#(lf)version:7.0.201#(lf)Type:VSAN2NODE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declared:FALSE#(lf)host:host-01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IP:192.168.100.2#(lf)nic_profile:ADVANCED_CUSTOMER_SUPPLIED_VDS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</si>
  <si>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starter-2N-novds.json#(lf)version:7.0.202#(lf)Type:VSAN2NODE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declared:FALSE#(lf)host:esxi-01	root:root	mgmt:admin	rack:		psnt:		MGMT IP:192.168.1.20	VSAN IP:192.168.4.1	VMOTION IP:192.168.5.1	WITNESS IP:192.168.6.1
host:esxi-02	root:root	mgmt:admin	rack:		psnt:		MGMT IP:192.168.1.21	VSAN IP:192.168.4.2	VMOTION IP:192.168.5.2	WITNESS IP:192.168.6.2#(lf)nic_profile:FOUR_HIGH_SPEED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</si>
  <si>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starter-6nodes.json#(lf)version:7.0.130#(lf)Type:STANDARD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declared:FALSE#(lf)host:6node-01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#(lf)nic_profile:ADVANCED_VXRAIL_SUPPLIED_VDS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</si>
  <si>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declared:FALSE#(lf)host:esxi-01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#(lf)nic_profile:TWO_HIGH_SPEED		pgtype:MANAGEMENT	vlan_id:1						EPHEMERAL
nic_profile:TWO_HIGH_SPEED		pgtype:VSAN	vlan_id:1						EPHEMERAL
nic_profile:TWO_HIGH_SPEED		pgtype:VMOTION	vlan_id:1						EPHEMERAL</t>
  </si>
  <si>
    <t>starter-7.0.210.json#(lf)version:7.0.210#(lf)Type:STANDARD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declared:TRUE#(lf)host:esx-01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#(lf)nic_profile:ADVANCED_VXRAIL_SUPPLIED_VDS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</si>
  <si>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starter-sfstest.json#(lf)version:7.0.210#(lf)Type:STANDARD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declared:TRUE#(lf)host:esxi-01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#(lf)nic_profile:TWO_HIGH_SPEED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</si>
  <si>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starter.7.0.010.json#(lf)version:7.0.010#(lf)Type:STANDARD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declared:TRUE#(lf)host:esxi-01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#(lf)nic_profile:FOUR_HIGH_SPEED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</si>
  <si>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declared:TRUE#(lf)host:esx-01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#(lf)nic_profile:TWO_HIGH_SPEED		pgtype:MANAGEMENT	vlan_id:1						EPHEMERAL
nic_profile:TWO_HIGH_SPEED		pgtype:VSAN	vlan_id:2						EPHEMERAL
nic_profile:TWO_HIGH_SPEED		pgtype:VMOTION	vlan_id:3						EPHEMERAL</t>
  </si>
  <si>
    <t>ntp Servers:192.168.1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</si>
</sst>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34"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4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10" Type="http://schemas.openxmlformats.org/officeDocument/2006/relationships/image" Target="../media/image13.emf"/><Relationship Id="rId4" Type="http://schemas.openxmlformats.org/officeDocument/2006/relationships/image" Target="../media/image7.emf"/><Relationship Id="rId9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365760</xdr:colOff>
      <xdr:row>2</xdr:row>
      <xdr:rowOff>32385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34</xdr:row>
          <xdr:rowOff>190499</xdr:rowOff>
        </xdr:from>
        <xdr:to>
          <xdr:col>2</xdr:col>
          <xdr:colOff>1724025</xdr:colOff>
          <xdr:row>36</xdr:row>
          <xdr:rowOff>85724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5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152400</xdr:rowOff>
        </xdr:from>
        <xdr:to>
          <xdr:col>4</xdr:col>
          <xdr:colOff>1866900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152400</xdr:rowOff>
        </xdr:from>
        <xdr:to>
          <xdr:col>7</xdr:col>
          <xdr:colOff>1876425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152400</xdr:rowOff>
        </xdr:from>
        <xdr:to>
          <xdr:col>10</xdr:col>
          <xdr:colOff>1876425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19050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5</xdr:col>
          <xdr:colOff>19050</xdr:colOff>
          <xdr:row>70</xdr:row>
          <xdr:rowOff>28575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19050</xdr:rowOff>
        </xdr:from>
        <xdr:to>
          <xdr:col>8</xdr:col>
          <xdr:colOff>9525</xdr:colOff>
          <xdr:row>70</xdr:row>
          <xdr:rowOff>28575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59</xdr:row>
          <xdr:rowOff>19050</xdr:rowOff>
        </xdr:from>
        <xdr:to>
          <xdr:col>11</xdr:col>
          <xdr:colOff>19050</xdr:colOff>
          <xdr:row>70</xdr:row>
          <xdr:rowOff>28575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19050</xdr:rowOff>
        </xdr:from>
        <xdr:to>
          <xdr:col>8</xdr:col>
          <xdr:colOff>9525</xdr:colOff>
          <xdr:row>57</xdr:row>
          <xdr:rowOff>28575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46</xdr:row>
          <xdr:rowOff>19050</xdr:rowOff>
        </xdr:from>
        <xdr:to>
          <xdr:col>11</xdr:col>
          <xdr:colOff>19050</xdr:colOff>
          <xdr:row>57</xdr:row>
          <xdr:rowOff>28575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4953000</xdr:colOff>
          <xdr:row>2</xdr:row>
          <xdr:rowOff>85725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Host Quickv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6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33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_2" displayName="global_2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32"/>
    <tableColumn id="2" xr3:uid="{B9AD241B-4A7E-4E8C-8E10-5653566450F1}" uniqueName="2" name="cluster_type" queryTableFieldId="2"/>
    <tableColumn id="3" xr3:uid="{45AE1F46-CE24-4D33-93EA-8B59EB672311}" uniqueName="3" name="ntp_servers" queryTableFieldId="3" dataDxfId="31"/>
    <tableColumn id="4" xr3:uid="{B0438563-365C-431D-B2AC-676EEE16AA8F}" uniqueName="4" name="is_internal_dns" queryTableFieldId="4"/>
    <tableColumn id="5" xr3:uid="{3D3DDD21-AA9E-4A05-A7BB-6110D7928C31}" uniqueName="5" name="dns_servers" queryTableFieldId="5" dataDxfId="30"/>
    <tableColumn id="6" xr3:uid="{2CEBB835-1445-4642-B60F-4EEEB0829A9C}" uniqueName="6" name="syslog_servers" queryTableFieldId="6" dataDxfId="29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11" tableType="queryTable" totalsRowShown="0">
  <autoFilter ref="A1:F11" xr:uid="{A4D3EDEE-1C93-4569-AA5E-372CD75570C6}"/>
  <tableColumns count="6">
    <tableColumn id="1" xr3:uid="{46A81E0B-E755-481E-AF32-CCAE89DD0C88}" uniqueName="1" name="Name" queryTableFieldId="1" dataDxfId="28"/>
    <tableColumn id="2" xr3:uid="{DEE8C1D0-5E02-49B9-8033-FAA7A85C454C}" uniqueName="2" name="Extension" queryTableFieldId="2" dataDxfId="27"/>
    <tableColumn id="3" xr3:uid="{2576DAE5-EE2D-49A1-9F1E-7AABE40016E1}" uniqueName="3" name="Date accessed" queryTableFieldId="3" dataDxfId="26"/>
    <tableColumn id="4" xr3:uid="{581A13CC-B8BA-4F2B-9584-6AAC82232F2B}" uniqueName="4" name="Date modified" queryTableFieldId="4" dataDxfId="25"/>
    <tableColumn id="5" xr3:uid="{CD85DBBA-A383-48EB-BE16-8264AF92736D}" uniqueName="5" name="Date created" queryTableFieldId="5" dataDxfId="24"/>
    <tableColumn id="6" xr3:uid="{4883EA12-8DD5-4C17-BAFD-E69CEF2735AB}" uniqueName="6" name="Folder Path" queryTableFieldId="6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9" tableType="queryTable" totalsRowShown="0">
  <autoFilter ref="I1:J9" xr:uid="{B120C6D0-14E3-4A39-994D-149ABDC94688}"/>
  <tableColumns count="2">
    <tableColumn id="1" xr3:uid="{C003D099-29A2-48B7-8DCA-92642423D5CB}" uniqueName="1" name="Source.Name" queryTableFieldId="1" dataDxfId="22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21"/>
    <tableColumn id="2" xr3:uid="{EC0B5BC1-3D91-44BE-804E-000EE0BCD016}" uniqueName="2" name="Source.Name" queryTableFieldId="2" dataDxfId="20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>
    <filterColumn colId="0">
      <filters>
        <filter val="Questionable Configs_multipleVDS_VxRail_Configuration.json"/>
      </filters>
    </filterColumn>
  </autoFilter>
  <tableColumns count="13">
    <tableColumn id="1" xr3:uid="{BA90C779-B834-4DFA-8817-F66DF32B0E79}" uniqueName="1" name="Source.Name" queryTableFieldId="1" dataDxfId="19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18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17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16"/>
    <tableColumn id="2" xr3:uid="{693DE1F8-788A-44A2-9F23-0F74F6494AB8}" name="Value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S5" tableType="queryTable" insertRow="1" totalsRowShown="0">
  <autoFilter ref="R4:S5" xr:uid="{46FFBED7-34A1-488D-A9A3-853A2A118D73}"/>
  <tableColumns count="2">
    <tableColumn id="1" xr3:uid="{AD309283-E1A2-4469-9B7B-9E34E511CC7B}" uniqueName="1" name="Unsupported files" queryTableFieldId="1" dataDxfId="14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13"/>
    <tableColumn id="2" xr3:uid="{2FDF8BA6-8450-44A4-A52E-B6E61A6B0863}" uniqueName="2" name="Host Quickvew" queryTableFieldId="2" dataDxfId="12"/>
    <tableColumn id="3" xr3:uid="{431E6D0B-1F60-418D-8B69-03E4394816C9}" uniqueName="3" name="VLAN Quickview" queryTableFieldId="3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0"/>
    <tableColumn id="2" xr3:uid="{2D734794-24BE-4E55-A89E-D942FE676967}" uniqueName="2" name="Global Search" queryTableFieldId="2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D4:E44" totalsRowShown="0" dataDxfId="8">
  <autoFilter ref="D4:E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7"/>
    <tableColumn id="2" xr3:uid="{801C6A41-975C-433A-A507-9AC4FCEAB9BB}" name="Value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G4:H44" totalsRowShown="0" dataDxfId="5">
  <autoFilter ref="G4:H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4"/>
    <tableColumn id="2" xr3:uid="{4AD50311-411C-4036-A634-C96A84BD7430}" name="Value" dataDxfId="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J4:K44" totalsRowShown="0" dataDxfId="2">
  <autoFilter ref="J4:K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1"/>
    <tableColumn id="2" xr3:uid="{E1BE69C7-7946-424D-86E1-341293668CDB}" name="Value" dataDxfId="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26" Type="http://schemas.openxmlformats.org/officeDocument/2006/relationships/table" Target="../tables/table13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2.emf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5" Type="http://schemas.openxmlformats.org/officeDocument/2006/relationships/table" Target="../tables/table1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24" Type="http://schemas.openxmlformats.org/officeDocument/2006/relationships/table" Target="../tables/table11.xml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23" Type="http://schemas.openxmlformats.org/officeDocument/2006/relationships/image" Target="../media/image13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2.xml"/><Relationship Id="rId27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387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388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389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390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387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388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389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390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11"/>
  <sheetViews>
    <sheetView workbookViewId="0">
      <selection sqref="A1:F7"/>
    </sheetView>
  </sheetViews>
  <sheetFormatPr defaultRowHeight="15" x14ac:dyDescent="0.25"/>
  <cols>
    <col min="1" max="1" width="56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26.4257812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362</v>
      </c>
      <c r="B2" s="1" t="s">
        <v>361</v>
      </c>
      <c r="C2" s="2">
        <v>44437.615949999999</v>
      </c>
      <c r="D2" s="2">
        <v>44437.615949999999</v>
      </c>
      <c r="E2" s="2">
        <v>44437.615949791667</v>
      </c>
      <c r="F2" s="1" t="s">
        <v>15</v>
      </c>
      <c r="I2" s="1" t="s">
        <v>5</v>
      </c>
      <c r="J2" t="s">
        <v>4</v>
      </c>
    </row>
    <row r="3" spans="1:10" x14ac:dyDescent="0.25">
      <c r="A3" s="1" t="s">
        <v>419</v>
      </c>
      <c r="B3" s="1" t="s">
        <v>361</v>
      </c>
      <c r="C3" s="2">
        <v>44439.808792442127</v>
      </c>
      <c r="D3" s="2">
        <v>44439.808792442127</v>
      </c>
      <c r="E3" s="2">
        <v>44437.80991340278</v>
      </c>
      <c r="F3" s="1" t="s">
        <v>15</v>
      </c>
      <c r="I3" s="1" t="s">
        <v>387</v>
      </c>
      <c r="J3" t="s">
        <v>233</v>
      </c>
    </row>
    <row r="4" spans="1:10" x14ac:dyDescent="0.25">
      <c r="A4" s="1" t="s">
        <v>5</v>
      </c>
      <c r="B4" s="1" t="s">
        <v>14</v>
      </c>
      <c r="C4" s="2">
        <v>44390.443173969907</v>
      </c>
      <c r="D4" s="2">
        <v>44390.443173969907</v>
      </c>
      <c r="E4" s="2">
        <v>44390.443154745371</v>
      </c>
      <c r="F4" s="1" t="s">
        <v>15</v>
      </c>
      <c r="I4" s="1" t="s">
        <v>6</v>
      </c>
      <c r="J4" t="s">
        <v>3</v>
      </c>
    </row>
    <row r="5" spans="1:10" x14ac:dyDescent="0.25">
      <c r="A5" s="1" t="s">
        <v>387</v>
      </c>
      <c r="B5" s="1" t="s">
        <v>14</v>
      </c>
      <c r="C5" s="2">
        <v>44389.609731261575</v>
      </c>
      <c r="D5" s="2">
        <v>44389.609612465276</v>
      </c>
      <c r="E5" s="2">
        <v>44389.609731203702</v>
      </c>
      <c r="F5" s="1" t="s">
        <v>15</v>
      </c>
      <c r="I5" s="1" t="s">
        <v>388</v>
      </c>
      <c r="J5" t="s">
        <v>259</v>
      </c>
    </row>
    <row r="6" spans="1:10" x14ac:dyDescent="0.25">
      <c r="A6" s="1" t="s">
        <v>6</v>
      </c>
      <c r="B6" s="1" t="s">
        <v>14</v>
      </c>
      <c r="C6" s="2">
        <v>44397.245873553242</v>
      </c>
      <c r="D6" s="2">
        <v>44397.245873553242</v>
      </c>
      <c r="E6" s="2">
        <v>44389.858892233795</v>
      </c>
      <c r="F6" s="1" t="s">
        <v>15</v>
      </c>
      <c r="I6" s="1" t="s">
        <v>7</v>
      </c>
      <c r="J6" t="s">
        <v>8</v>
      </c>
    </row>
    <row r="7" spans="1:10" x14ac:dyDescent="0.25">
      <c r="A7" s="1" t="s">
        <v>388</v>
      </c>
      <c r="B7" s="1" t="s">
        <v>14</v>
      </c>
      <c r="C7" s="2">
        <v>44439.268255289353</v>
      </c>
      <c r="D7" s="2">
        <v>44439.268255289353</v>
      </c>
      <c r="E7" s="2">
        <v>44439.268245046296</v>
      </c>
      <c r="F7" s="1" t="s">
        <v>15</v>
      </c>
      <c r="I7" s="1" t="s">
        <v>389</v>
      </c>
      <c r="J7" t="s">
        <v>8</v>
      </c>
    </row>
    <row r="8" spans="1:10" x14ac:dyDescent="0.25">
      <c r="A8" s="1" t="s">
        <v>7</v>
      </c>
      <c r="B8" s="1" t="s">
        <v>14</v>
      </c>
      <c r="C8" s="2">
        <v>44396.70394712963</v>
      </c>
      <c r="D8" s="2">
        <v>44396.703592083337</v>
      </c>
      <c r="E8" s="2">
        <v>44396.703947060189</v>
      </c>
      <c r="F8" s="1" t="s">
        <v>15</v>
      </c>
      <c r="I8" s="1" t="s">
        <v>260</v>
      </c>
      <c r="J8" t="s">
        <v>258</v>
      </c>
    </row>
    <row r="9" spans="1:10" x14ac:dyDescent="0.25">
      <c r="A9" s="1" t="s">
        <v>389</v>
      </c>
      <c r="B9" s="1" t="s">
        <v>14</v>
      </c>
      <c r="C9" s="2">
        <v>44439.399251620373</v>
      </c>
      <c r="D9" s="2">
        <v>44439.399175312501</v>
      </c>
      <c r="E9" s="2">
        <v>44439.3992515625</v>
      </c>
      <c r="F9" s="1" t="s">
        <v>15</v>
      </c>
      <c r="I9" s="1" t="s">
        <v>390</v>
      </c>
      <c r="J9" t="s">
        <v>259</v>
      </c>
    </row>
    <row r="10" spans="1:10" x14ac:dyDescent="0.25">
      <c r="A10" s="1" t="s">
        <v>260</v>
      </c>
      <c r="B10" s="1" t="s">
        <v>14</v>
      </c>
      <c r="C10" s="2">
        <v>44439.26475545139</v>
      </c>
      <c r="D10" s="2">
        <v>44439.26475545139</v>
      </c>
      <c r="E10" s="2">
        <v>44439.264715729165</v>
      </c>
      <c r="F10" s="1" t="s">
        <v>15</v>
      </c>
    </row>
    <row r="11" spans="1:10" x14ac:dyDescent="0.25">
      <c r="A11" s="1" t="s">
        <v>390</v>
      </c>
      <c r="B11" s="1" t="s">
        <v>14</v>
      </c>
      <c r="C11" s="2">
        <v>44439.417404745371</v>
      </c>
      <c r="D11" s="2">
        <v>44439.417404745371</v>
      </c>
      <c r="E11" s="2">
        <v>44439.41739383102</v>
      </c>
      <c r="F11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391</v>
      </c>
      <c r="B4" s="1" t="s">
        <v>387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392</v>
      </c>
      <c r="B5" s="1" t="s">
        <v>387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393</v>
      </c>
      <c r="B12" s="1" t="s">
        <v>388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394</v>
      </c>
      <c r="B13" s="1" t="s">
        <v>388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395</v>
      </c>
      <c r="B14" s="1" t="s">
        <v>388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396</v>
      </c>
      <c r="B18" s="1" t="s">
        <v>389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397</v>
      </c>
      <c r="B19" s="1" t="s">
        <v>389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398</v>
      </c>
      <c r="B20" s="1" t="s">
        <v>389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399</v>
      </c>
      <c r="B27" s="1" t="s">
        <v>390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400</v>
      </c>
      <c r="B28" s="1" t="s">
        <v>390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401</v>
      </c>
      <c r="B29" s="1" t="s">
        <v>390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420</v>
      </c>
    </row>
    <row r="2" spans="1:13" hidden="1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hidden="1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hidden="1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hidden="1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hidden="1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hidden="1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hidden="1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hidden="1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hidden="1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hidden="1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hidden="1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hidden="1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hidden="1" x14ac:dyDescent="0.25">
      <c r="A14" s="1" t="s">
        <v>387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402</v>
      </c>
    </row>
    <row r="15" spans="1:13" hidden="1" x14ac:dyDescent="0.25">
      <c r="A15" s="1" t="s">
        <v>387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403</v>
      </c>
    </row>
    <row r="16" spans="1:13" hidden="1" x14ac:dyDescent="0.25">
      <c r="A16" s="1" t="s">
        <v>387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404</v>
      </c>
    </row>
    <row r="17" spans="1:13" hidden="1" x14ac:dyDescent="0.25">
      <c r="A17" s="1" t="s">
        <v>387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405</v>
      </c>
    </row>
    <row r="18" spans="1:13" hidden="1" x14ac:dyDescent="0.25">
      <c r="A18" s="1" t="s">
        <v>387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406</v>
      </c>
    </row>
    <row r="19" spans="1:13" hidden="1" x14ac:dyDescent="0.25">
      <c r="A19" s="1" t="s">
        <v>387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407</v>
      </c>
    </row>
    <row r="20" spans="1:13" hidden="1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hidden="1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hidden="1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hidden="1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hidden="1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hidden="1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hidden="1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hidden="1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hidden="1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hidden="1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hidden="1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hidden="1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hidden="1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hidden="1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hidden="1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hidden="1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hidden="1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hidden="1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hidden="1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hidden="1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hidden="1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hidden="1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hidden="1" x14ac:dyDescent="0.25">
      <c r="A42" s="1" t="s">
        <v>389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408</v>
      </c>
    </row>
    <row r="43" spans="1:13" hidden="1" x14ac:dyDescent="0.25">
      <c r="A43" s="1" t="s">
        <v>389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409</v>
      </c>
    </row>
    <row r="44" spans="1:13" hidden="1" x14ac:dyDescent="0.25">
      <c r="A44" s="1" t="s">
        <v>389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410</v>
      </c>
    </row>
    <row r="45" spans="1:13" hidden="1" x14ac:dyDescent="0.25">
      <c r="A45" s="1" t="s">
        <v>388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411</v>
      </c>
    </row>
    <row r="46" spans="1:13" hidden="1" x14ac:dyDescent="0.25">
      <c r="A46" s="1" t="s">
        <v>388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412</v>
      </c>
    </row>
    <row r="47" spans="1:13" hidden="1" x14ac:dyDescent="0.25">
      <c r="A47" s="1" t="s">
        <v>388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413</v>
      </c>
    </row>
    <row r="48" spans="1:13" hidden="1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hidden="1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hidden="1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hidden="1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hidden="1" x14ac:dyDescent="0.25">
      <c r="A52" s="1" t="s">
        <v>390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414</v>
      </c>
    </row>
    <row r="53" spans="1:12" hidden="1" x14ac:dyDescent="0.25">
      <c r="A53" s="1" t="s">
        <v>390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415</v>
      </c>
    </row>
    <row r="54" spans="1:12" hidden="1" x14ac:dyDescent="0.25">
      <c r="A54" s="1" t="s">
        <v>390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T131"/>
  <sheetViews>
    <sheetView showGridLines="0" showZeros="0" tabSelected="1" zoomScaleNormal="100" workbookViewId="0">
      <selection activeCell="D45" sqref="D45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19.5703125" bestFit="1" customWidth="1"/>
    <col min="19" max="19" width="10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20" x14ac:dyDescent="0.25">
      <c r="A1" s="15">
        <v>13</v>
      </c>
      <c r="B1" s="15" t="s">
        <v>6</v>
      </c>
      <c r="F1" s="27" t="s">
        <v>17</v>
      </c>
      <c r="G1" s="25" t="str">
        <f>_xlfn.XLOOKUP(SelectedFile,supported[Source.Name],supported[Value])</f>
        <v>7.0.130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07/12/21 (49d)</v>
      </c>
    </row>
    <row r="2" spans="1:20" x14ac:dyDescent="0.25">
      <c r="F2" s="27" t="s">
        <v>231</v>
      </c>
      <c r="G2" s="26" t="str">
        <f>_xlfn.XLOOKUP(SelectedFile,global_2[Source.Name],global_2[cluster_type])</f>
        <v>STANDARD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07/20/21 (42d)</v>
      </c>
    </row>
    <row r="4" spans="1:20" x14ac:dyDescent="0.25"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16</v>
      </c>
      <c r="S4" t="s">
        <v>17</v>
      </c>
    </row>
    <row r="5" spans="1:20" x14ac:dyDescent="0.25">
      <c r="B5" s="3" t="s">
        <v>386</v>
      </c>
      <c r="C5" s="30" t="str">
        <f>_xlfn.XLOOKUP(SelectedFile,global_2[Source.Name],global_2[top_level_domain])</f>
        <v>6nodes.com</v>
      </c>
      <c r="E5" s="15" t="str" cm="1">
        <f t="array" ref="E5:E10">_xlfn.UNIQUE(_xlfn._xlws.FILTER(network_vds[vlanguid],network_vds[Source.Name]=dashboard!B1))</f>
        <v>3939VXRAILDISCOVERYstarter-6nodes.json</v>
      </c>
      <c r="F5" s="28" cm="1">
        <f t="array" ref="F5">_xlfn.XLOOKUP(SelectedFile&amp;$E5,network_vds[Source.Name]&amp;network_vds[vlanguid],network_vds[vds.portgroups.vlan_id],"")</f>
        <v>3939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ADVANCED_VXRAIL_SUPPLIED_VDS</v>
      </c>
      <c r="I5" s="22" cm="1">
        <f t="array" ref="I5">_xlfn.XLOOKUP(SelectedFile&amp;$E5,network_vds[Source.Name]&amp;network_vds[vlanguid],network_vds[vds.portgroups.name],"")</f>
        <v>0</v>
      </c>
      <c r="J5" s="22" t="str" cm="1">
        <f t="array" ref="J5">_xlfn.XLOOKUP(SelectedFile&amp;$E5,network_vds[Source.Name]&amp;network_vds[vlanguid],network_vds[management_portgroup_binding_type],"")</f>
        <v>EPHEMERAL</v>
      </c>
      <c r="K5" s="22" t="str" cm="1">
        <f t="array" ref="K5">_xlfn.XLOOKUP(SelectedFile&amp;$E5,network_vds[Source.Name]&amp;network_vds[vlanguid],network_vds[systemvm_portgroup_binding_type],"")</f>
        <v>STATIC_BINDING</v>
      </c>
      <c r="L5" s="22" t="str" cm="1">
        <f t="array" ref="L5">_xlfn.XLOOKUP(SelectedFile&amp;$E5,network_vds[Source.Name]&amp;network_vds[vlanguid],network_vds[vds.portgroups.failover_order],"")</f>
        <v>uplink1;uplink2</v>
      </c>
      <c r="M5" s="22" t="str" cm="1">
        <f t="array" ref="M5">_xlfn.XLOOKUP(SelectedFile&amp;$E5,network_vds[Source.Name]&amp;network_vds[vlanguid],network_vds[vds.nic_mappings.uplinks.name],"")</f>
        <v>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cm="1">
        <f t="array" ref="O5">_xlfn.XLOOKUP(SelectedFile&amp;$E5,network_vds[Source.Name]&amp;network_vds[vlanguid],network_vds[vds.name],"")</f>
        <v>0</v>
      </c>
      <c r="R5" s="1"/>
    </row>
    <row r="6" spans="1:20" x14ac:dyDescent="0.25">
      <c r="B6" s="3" t="str">
        <f>("cluster_name")</f>
        <v>cluster_name</v>
      </c>
      <c r="C6" s="30">
        <f>_xlfn.XLOOKUP(SelectedFile,global_2[Source.Name],global_2[cluster_name])</f>
        <v>0</v>
      </c>
      <c r="E6" s="15" t="str">
        <v>1MANAGEMENTstarter-6nodes.json</v>
      </c>
      <c r="F6" s="28" cm="1">
        <f t="array" ref="F6">_xlfn.XLOOKUP(SelectedFile&amp;$E6,network_vds[Source.Name]&amp;network_vds[vlanguid],network_vds[vds.portgroups.vlan_id],"")</f>
        <v>1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ADVANCED_VXRAIL_SUPPLIED_VDS</v>
      </c>
      <c r="I6" s="22" cm="1">
        <f t="array" ref="I6">_xlfn.XLOOKUP(SelectedFile&amp;$E6,network_vds[Source.Name]&amp;network_vds[vlanguid],network_vds[vds.portgroups.name],"")</f>
        <v>0</v>
      </c>
      <c r="J6" s="22" t="str" cm="1">
        <f t="array" ref="J6">_xlfn.XLOOKUP(SelectedFile&amp;$E6,network_vds[Source.Name]&amp;network_vds[vlanguid],network_vds[management_portgroup_binding_type],"")</f>
        <v>EPHEMERAL</v>
      </c>
      <c r="K6" s="22" t="str" cm="1">
        <f t="array" ref="K6">_xlfn.XLOOKUP(SelectedFile&amp;$E6,network_vds[Source.Name]&amp;network_vds[vlanguid],network_vds[systemvm_portgroup_binding_type],"")</f>
        <v>STATIC_BINDING</v>
      </c>
      <c r="L6" s="22" t="str" cm="1">
        <f t="array" ref="L6">_xlfn.XLOOKUP(SelectedFile&amp;$E6,network_vds[Source.Name]&amp;network_vds[vlanguid],network_vds[vds.portgroups.failover_order],"")</f>
        <v>uplink1;uplink2</v>
      </c>
      <c r="M6" s="22" t="str" cm="1">
        <f t="array" ref="M6">_xlfn.XLOOKUP(SelectedFile&amp;$E6,network_vds[Source.Name]&amp;network_vds[vlanguid],network_vds[vds.nic_mappings.uplinks.name],"")</f>
        <v>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cm="1">
        <f t="array" ref="O6">_xlfn.XLOOKUP(SelectedFile&amp;$E6,network_vds[Source.Name]&amp;network_vds[vlanguid],network_vds[vds.name],"")</f>
        <v>0</v>
      </c>
      <c r="R6" s="7"/>
      <c r="S6" s="7"/>
    </row>
    <row r="7" spans="1:20" x14ac:dyDescent="0.25">
      <c r="B7" s="3" t="str">
        <f>"NTP Servers"</f>
        <v>NTP Servers</v>
      </c>
      <c r="C7" s="30" t="str">
        <f>_xlfn.XLOOKUP(SelectedFile,global_2[Source.Name],global_2[ntp_servers])</f>
        <v>192.168.1.3</v>
      </c>
      <c r="E7" s="15" t="str">
        <v>1VXRAILSYSTEMVMstarter-6nodes.json</v>
      </c>
      <c r="F7" s="28" cm="1">
        <f t="array" ref="F7">_xlfn.XLOOKUP(SelectedFile&amp;$E7,network_vds[Source.Name]&amp;network_vds[vlanguid],network_vds[vds.portgroups.vlan_id],"")</f>
        <v>1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ADVANCED_VXRAIL_SUPPLIED_VDS</v>
      </c>
      <c r="I7" s="22" cm="1">
        <f t="array" ref="I7">_xlfn.XLOOKUP(SelectedFile&amp;$E7,network_vds[Source.Name]&amp;network_vds[vlanguid],network_vds[vds.portgroups.name],"")</f>
        <v>0</v>
      </c>
      <c r="J7" s="22" t="str" cm="1">
        <f t="array" ref="J7">_xlfn.XLOOKUP(SelectedFile&amp;$E7,network_vds[Source.Name]&amp;network_vds[vlanguid],network_vds[management_portgroup_binding_type],"")</f>
        <v>EPHEMERAL</v>
      </c>
      <c r="K7" s="22" t="str" cm="1">
        <f t="array" ref="K7">_xlfn.XLOOKUP(SelectedFile&amp;$E7,network_vds[Source.Name]&amp;network_vds[vlanguid],network_vds[systemvm_portgroup_binding_type],"")</f>
        <v>STATIC_BINDING</v>
      </c>
      <c r="L7" s="22" t="str" cm="1">
        <f t="array" ref="L7">_xlfn.XLOOKUP(SelectedFile&amp;$E7,network_vds[Source.Name]&amp;network_vds[vlanguid],network_vds[vds.portgroups.failover_order],"")</f>
        <v>uplink1;uplink2</v>
      </c>
      <c r="M7" s="22" t="str" cm="1">
        <f t="array" ref="M7">_xlfn.XLOOKUP(SelectedFile&amp;$E7,network_vds[Source.Name]&amp;network_vds[vlanguid],network_vds[vds.nic_mappings.uplinks.name],"")</f>
        <v>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cm="1">
        <f t="array" ref="O7">_xlfn.XLOOKUP(SelectedFile&amp;$E7,network_vds[Source.Name]&amp;network_vds[vlanguid],network_vds[vds.name],"")</f>
        <v>0</v>
      </c>
      <c r="R7" s="7"/>
      <c r="S7" s="7"/>
    </row>
    <row r="8" spans="1:20" x14ac:dyDescent="0.25">
      <c r="B8" s="3" t="str">
        <f>"DNS Servers"</f>
        <v>DNS Servers</v>
      </c>
      <c r="C8" s="30" t="str">
        <f>IF((_xlfn.XLOOKUP(SelectedFile,global_2[Source.Name],global_2[is_internal_dns]))=TRUE,"Internal",_xlfn.XLOOKUP(SelectedFile,global_2[Source.Name],global_2[dns_servers]))</f>
        <v>192.168.1.2</v>
      </c>
      <c r="E8" s="15" t="str">
        <v>1VSANstarter-6nodes.json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ADVANCED_VXRAIL_SUPPLIED_VDS</v>
      </c>
      <c r="I8" s="22" cm="1">
        <f t="array" ref="I8">_xlfn.XLOOKUP(SelectedFile&amp;$E8,network_vds[Source.Name]&amp;network_vds[vlanguid],network_vds[vds.portgroups.name],"")</f>
        <v>0</v>
      </c>
      <c r="J8" s="22" t="str" cm="1">
        <f t="array" ref="J8">_xlfn.XLOOKUP(SelectedFile&amp;$E8,network_vds[Source.Name]&amp;network_vds[vlanguid],network_vds[management_portgroup_binding_type],"")</f>
        <v>EPHEMERAL</v>
      </c>
      <c r="K8" s="22" t="str" cm="1">
        <f t="array" ref="K8">_xlfn.XLOOKUP(SelectedFile&amp;$E8,network_vds[Source.Name]&amp;network_vds[vlanguid],network_vds[systemvm_portgroup_binding_type],"")</f>
        <v>STATIC_BINDING</v>
      </c>
      <c r="L8" s="22" t="str" cm="1">
        <f t="array" ref="L8">_xlfn.XLOOKUP(SelectedFile&amp;$E8,network_vds[Source.Name]&amp;network_vds[vlanguid],network_vds[vds.portgroups.failover_order],"")</f>
        <v>uplink1;uplink2</v>
      </c>
      <c r="M8" s="22" t="str" cm="1">
        <f t="array" ref="M8">_xlfn.XLOOKUP(SelectedFile&amp;$E8,network_vds[Source.Name]&amp;network_vds[vlanguid],network_vds[vds.nic_mappings.uplinks.name],"")</f>
        <v>uplink1</v>
      </c>
      <c r="N8" s="22" t="str" cm="1">
        <f t="array" ref="N8">_xlfn.XLOOKUP(SelectedFile&amp;$E8,network_vds[Source.Name]&amp;network_vds[vlanguid],network_vds[vds.nic_mappings.uplinks.physical_nic],"")</f>
        <v>vmnic0</v>
      </c>
      <c r="O8" s="22" cm="1">
        <f t="array" ref="O8">_xlfn.XLOOKUP(SelectedFile&amp;$E8,network_vds[Source.Name]&amp;network_vds[vlanguid],network_vds[vds.name],"")</f>
        <v>0</v>
      </c>
      <c r="R8" s="7"/>
      <c r="S8" s="7"/>
    </row>
    <row r="9" spans="1:20" x14ac:dyDescent="0.25">
      <c r="B9" s="3" t="str">
        <f>"Syslog servers"</f>
        <v>Syslog servers</v>
      </c>
      <c r="C9" s="30" t="str">
        <f>_xlfn.XLOOKUP(SelectedFile,global_2[Source.Name],global_2[syslog_servers])</f>
        <v>192.168.1.4</v>
      </c>
      <c r="E9" s="15" t="str">
        <v>1VMOTIONstarter-6nodes.json</v>
      </c>
      <c r="F9" s="28" cm="1">
        <f t="array" ref="F9">_xlfn.XLOOKUP(SelectedFile&amp;$E9,network_vds[Source.Name]&amp;network_vds[vlanguid],network_vds[vds.portgroups.vlan_id],"")</f>
        <v>1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ADVANCED_VXRAIL_SUPPLIED_VDS</v>
      </c>
      <c r="I9" s="22" cm="1">
        <f t="array" ref="I9">_xlfn.XLOOKUP(SelectedFile&amp;$E9,network_vds[Source.Name]&amp;network_vds[vlanguid],network_vds[vds.portgroups.name],"")</f>
        <v>0</v>
      </c>
      <c r="J9" s="22" t="str" cm="1">
        <f t="array" ref="J9">_xlfn.XLOOKUP(SelectedFile&amp;$E9,network_vds[Source.Name]&amp;network_vds[vlanguid],network_vds[management_portgroup_binding_type],"")</f>
        <v>EPHEMERAL</v>
      </c>
      <c r="K9" s="22" t="str" cm="1">
        <f t="array" ref="K9">_xlfn.XLOOKUP(SelectedFile&amp;$E9,network_vds[Source.Name]&amp;network_vds[vlanguid],network_vds[systemvm_portgroup_binding_type],"")</f>
        <v>STATIC_BINDING</v>
      </c>
      <c r="L9" s="22" t="str" cm="1">
        <f t="array" ref="L9">_xlfn.XLOOKUP(SelectedFile&amp;$E9,network_vds[Source.Name]&amp;network_vds[vlanguid],network_vds[vds.portgroups.failover_order],"")</f>
        <v>uplink1;uplink2</v>
      </c>
      <c r="M9" s="22" t="str" cm="1">
        <f t="array" ref="M9">_xlfn.XLOOKUP(SelectedFile&amp;$E9,network_vds[Source.Name]&amp;network_vds[vlanguid],network_vds[vds.nic_mappings.uplinks.name],"")</f>
        <v>uplink1</v>
      </c>
      <c r="N9" s="22" t="str" cm="1">
        <f t="array" ref="N9">_xlfn.XLOOKUP(SelectedFile&amp;$E9,network_vds[Source.Name]&amp;network_vds[vlanguid],network_vds[vds.nic_mappings.uplinks.physical_nic],"")</f>
        <v>vmnic0</v>
      </c>
      <c r="O9" s="22" cm="1">
        <f t="array" ref="O9">_xlfn.XLOOKUP(SelectedFile&amp;$E9,network_vds[Source.Name]&amp;network_vds[vlanguid],network_vds[vds.name],"")</f>
        <v>0</v>
      </c>
      <c r="R9" s="7"/>
      <c r="S9" s="7"/>
    </row>
    <row r="10" spans="1:20" x14ac:dyDescent="0.25">
      <c r="B10" s="3" t="str">
        <f>("DC Name")</f>
        <v>DC Name</v>
      </c>
      <c r="C10" s="30">
        <f>_xlfn.XLOOKUP(SelectedFile,global_2[Source.Name],global_2[datacenter_name])</f>
        <v>0</v>
      </c>
      <c r="E10" s="15" t="str">
        <v>1CUSTOMERVMstarter-6nodes.json</v>
      </c>
      <c r="F10" s="28" cm="1">
        <f t="array" ref="F10">_xlfn.XLOOKUP(SelectedFile&amp;$E10,network_vds[Source.Name]&amp;network_vds[vlanguid],network_vds[vds.portgroups.vlan_id],"")</f>
        <v>1</v>
      </c>
      <c r="G10" s="22" t="str" cm="1">
        <f t="array" ref="G10">_xlfn.XLOOKUP(SelectedFile&amp;$E10,network_vds[Source.Name]&amp;network_vds[vlanguid],network_vds[vds.portgroups.type],"")</f>
        <v>CUSTOMERVM</v>
      </c>
      <c r="H10" s="22" t="str" cm="1">
        <f t="array" ref="H10">_xlfn.XLOOKUP(SelectedFile&amp;$E10,network_vds[Source.Name]&amp;network_vds[vlanguid],network_vds[nic_profile],"")</f>
        <v>ADVANCED_VXRAIL_SUPPLIED_VDS</v>
      </c>
      <c r="I10" s="22" t="str" cm="1">
        <f t="array" ref="I10">_xlfn.XLOOKUP(SelectedFile&amp;$E10,network_vds[Source.Name]&amp;network_vds[vlanguid],network_vds[vds.portgroups.name],"")</f>
        <v>vmguest</v>
      </c>
      <c r="J10" s="22" t="str" cm="1">
        <f t="array" ref="J10">_xlfn.XLOOKUP(SelectedFile&amp;$E10,network_vds[Source.Name]&amp;network_vds[vlanguid],network_vds[management_portgroup_binding_type],"")</f>
        <v>EPHEMERAL</v>
      </c>
      <c r="K10" s="22" t="str" cm="1">
        <f t="array" ref="K10">_xlfn.XLOOKUP(SelectedFile&amp;$E10,network_vds[Source.Name]&amp;network_vds[vlanguid],network_vds[systemvm_portgroup_binding_type],"")</f>
        <v>STATIC_BINDING</v>
      </c>
      <c r="L10" s="22" t="str" cm="1">
        <f t="array" ref="L10">_xlfn.XLOOKUP(SelectedFile&amp;$E10,network_vds[Source.Name]&amp;network_vds[vlanguid],network_vds[vds.portgroups.failover_order],"")</f>
        <v>uplink1;uplink2</v>
      </c>
      <c r="M10" s="22" t="str" cm="1">
        <f t="array" ref="M10">_xlfn.XLOOKUP(SelectedFile&amp;$E10,network_vds[Source.Name]&amp;network_vds[vlanguid],network_vds[vds.nic_mappings.uplinks.name],"")</f>
        <v>uplink1</v>
      </c>
      <c r="N10" s="22" t="str" cm="1">
        <f t="array" ref="N10">_xlfn.XLOOKUP(SelectedFile&amp;$E10,network_vds[Source.Name]&amp;network_vds[vlanguid],network_vds[vds.nic_mappings.uplinks.physical_nic],"")</f>
        <v>vmnic0</v>
      </c>
      <c r="O10" s="22" cm="1">
        <f t="array" ref="O10">_xlfn.XLOOKUP(SelectedFile&amp;$E10,network_vds[Source.Name]&amp;network_vds[vlanguid],network_vds[vds.name],"")</f>
        <v>0</v>
      </c>
      <c r="R10" s="7"/>
      <c r="S10" s="7"/>
    </row>
    <row r="11" spans="1:20" x14ac:dyDescent="0.25">
      <c r="B11" s="3" t="str">
        <f>("DiskGroupType")</f>
        <v>DiskGroupType</v>
      </c>
      <c r="C11" s="30">
        <f>_xlfn.XLOOKUP(SelectedFile,global_2[Source.Name],global_2[disk_group_type])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</row>
    <row r="12" spans="1:20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</row>
    <row r="13" spans="1:20" x14ac:dyDescent="0.25">
      <c r="B13" s="3" t="s">
        <v>220</v>
      </c>
      <c r="C13" s="30" t="b">
        <f>_xlfn.XLOOKUP(SelectedFile,global_2[Source.Name],global_2[customer_supplied])</f>
        <v>0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</row>
    <row r="14" spans="1:20" x14ac:dyDescent="0.25">
      <c r="B14" s="3" t="s">
        <v>232</v>
      </c>
      <c r="C14" s="31" t="str">
        <f>IF(C13="TRUE",(_xlfn.XLOOKUP(SelectedFile,global_2[Source.Name],global_2[customer_supplied_vc_name_or_ip])),(_xlfn.XLOOKUP(SelectedFile,global_2[Source.Name],global_2[customer_supplied_vc_name_or_ip]))&amp;((_xlfn.XLOOKUP(SelectedFile,global_2[Source.Name],global_2[vxrail_supplied_vc_name]))&amp;" ("&amp;(_xlfn.XLOOKUP(SelectedFile,global_2[Source.Name],global_2[vxrail_supplied_vc_ip]))&amp;")"))</f>
        <v>vcsa (192.168.1.5)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</row>
    <row r="15" spans="1:20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</row>
    <row r="16" spans="1:20" x14ac:dyDescent="0.25">
      <c r="B16" s="3" t="s">
        <v>226</v>
      </c>
      <c r="C16" s="30" t="str">
        <f>_xlfn.XLOOKUP(SelectedFile,global_2[Source.Name],global_2[cluster_management_gateway])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</row>
    <row r="17" spans="2:20" x14ac:dyDescent="0.25">
      <c r="B17" s="3" t="s">
        <v>227</v>
      </c>
      <c r="C17" s="30" t="str">
        <f>_xlfn.XLOOKUP(SelectedFile,global_2[Source.Name],global_2[cluster_management_netmask])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</row>
    <row r="18" spans="2:20" x14ac:dyDescent="0.25">
      <c r="B18" s="3" t="s">
        <v>228</v>
      </c>
      <c r="C18" s="30" t="str">
        <f>_xlfn.XLOOKUP(SelectedFile,global_2[Source.Name],global_2[cluster_vsan_netmask])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</row>
    <row r="19" spans="2:20" x14ac:dyDescent="0.25">
      <c r="B19" s="3" t="s">
        <v>229</v>
      </c>
      <c r="C19" s="30" t="str">
        <f>_xlfn.XLOOKUP(SelectedFile,global_2[Source.Name],global_2[cluster_vsan_netmask])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</row>
    <row r="20" spans="2:20" x14ac:dyDescent="0.25">
      <c r="B20" s="3" t="s">
        <v>418</v>
      </c>
      <c r="C20" s="30" t="str">
        <f>_xlfn.XLOOKUP(B1,global_2[Source.Name],global_2[network.sfs.configured])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</row>
    <row r="21" spans="2:20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</row>
    <row r="22" spans="2:20" x14ac:dyDescent="0.25">
      <c r="B22" s="3" t="s">
        <v>183</v>
      </c>
      <c r="C22" s="30" t="str">
        <f>_xlfn.XLOOKUP(SelectedFile,global_2[Source.Name],global_2[vxrm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5">
      <c r="B23" s="3" t="s">
        <v>184</v>
      </c>
      <c r="C23" s="30" t="str">
        <f>_xlfn.XLOOKUP(SelectedFile,global_2[Source.Name],global_2[vxrm ip])</f>
        <v>192.168.1.7</v>
      </c>
      <c r="F23" s="12" t="s">
        <v>383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</row>
    <row r="24" spans="2:20" x14ac:dyDescent="0.25">
      <c r="B24" s="3"/>
      <c r="C24" s="30"/>
      <c r="F24" s="23" t="str" cm="1">
        <f t="array" ref="F24:F29">_xlfn.UNIQUE(_xlfn._xlws.FILTER(hosts_2[hostname],hosts_2[Source.Name]=dashboard!B1))</f>
        <v>6node-01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>rack01</v>
      </c>
      <c r="J24" s="24" cm="1">
        <f t="array" ref="J24">_xlfn.XLOOKUP(SelectedFile&amp;$F24,hosts_2[Source.Name]&amp;hosts_2[hostname],hosts_2[position],"")</f>
        <v>5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192.168.1.10</v>
      </c>
      <c r="M24" s="24" t="str" cm="1">
        <f t="array" ref="M24">_xlfn.XLOOKUP(SelectedFile&amp;$F24,hosts_2[Source.Name]&amp;hosts_2[hostname],hosts_2[VSAN],"")</f>
        <v>192.168.10.10</v>
      </c>
      <c r="N24" s="24" t="str" cm="1">
        <f t="array" ref="N24">_xlfn.XLOOKUP(SelectedFile&amp;$F24,hosts_2[Source.Name]&amp;hosts_2[hostname],hosts_2[VMOTION],"")</f>
        <v>192.168.11.10</v>
      </c>
      <c r="O24" s="24" cm="1">
        <f t="array" ref="O24">_xlfn.XLOOKUP(SelectedFile&amp;$F24,hosts_2[Source.Name]&amp;hosts_2[hostname],hosts_2[WITNESS],"")</f>
        <v>0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</row>
    <row r="25" spans="2:20" x14ac:dyDescent="0.25">
      <c r="B25" s="3" t="s">
        <v>86</v>
      </c>
      <c r="C25" s="30" t="str">
        <f>_xlfn.XLOOKUP(SelectedFile,global_2[Source.Name],global_2[accounts.root.username])</f>
        <v>root</v>
      </c>
      <c r="F25" s="23" t="str">
        <v>6node-02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>rack01</v>
      </c>
      <c r="J25" s="24" cm="1">
        <f t="array" ref="J25">_xlfn.XLOOKUP(SelectedFile&amp;$F25,hosts_2[Source.Name]&amp;hosts_2[hostname],hosts_2[position],"")</f>
        <v>6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192.168.1.11</v>
      </c>
      <c r="M25" s="24" t="str" cm="1">
        <f t="array" ref="M25">_xlfn.XLOOKUP(SelectedFile&amp;$F25,hosts_2[Source.Name]&amp;hosts_2[hostname],hosts_2[VSAN],"")</f>
        <v>192.168.10.11</v>
      </c>
      <c r="N25" s="24" t="str" cm="1">
        <f t="array" ref="N25">_xlfn.XLOOKUP(SelectedFile&amp;$F25,hosts_2[Source.Name]&amp;hosts_2[hostname],hosts_2[VMOTION],"")</f>
        <v>192.168.11.11</v>
      </c>
      <c r="O25" s="24" cm="1">
        <f t="array" ref="O25">_xlfn.XLOOKUP(SelectedFile&amp;$F25,hosts_2[Source.Name]&amp;hosts_2[hostname],hosts_2[WITNESS],"")</f>
        <v>0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</row>
    <row r="26" spans="2:20" x14ac:dyDescent="0.25">
      <c r="B26" s="3" t="s">
        <v>384</v>
      </c>
      <c r="C26" s="30" t="str">
        <f>_xlfn.XLOOKUP(SelectedFile,global_2[Source.Name],global_2[accounts.service.username])</f>
        <v>mystic</v>
      </c>
      <c r="F26" s="23" t="str">
        <v>6node-03</v>
      </c>
      <c r="G26" s="24" t="str" cm="1">
        <f t="array" ref="G26">_xlfn.XLOOKUP(SelectedFile&amp;$F26,hosts_2[Source.Name]&amp;hosts_2[hostname],hosts_2[root.username],"")</f>
        <v>root</v>
      </c>
      <c r="H26" s="24" t="str" cm="1">
        <f t="array" ref="H26">_xlfn.XLOOKUP(SelectedFile&amp;$F26,hosts_2[Source.Name]&amp;hosts_2[hostname],hosts_2[management.username],"")</f>
        <v>esximgr</v>
      </c>
      <c r="I26" s="24" t="str" cm="1">
        <f t="array" ref="I26">_xlfn.XLOOKUP(SelectedFile&amp;$F26,hosts_2[Source.Name]&amp;hosts_2[hostname],hosts_2[rack_name],"")</f>
        <v>rack01</v>
      </c>
      <c r="J26" s="24" cm="1">
        <f t="array" ref="J26">_xlfn.XLOOKUP(SelectedFile&amp;$F26,hosts_2[Source.Name]&amp;hosts_2[hostname],hosts_2[position],"")</f>
        <v>7</v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>192.168.1.12</v>
      </c>
      <c r="M26" s="24" t="str" cm="1">
        <f t="array" ref="M26">_xlfn.XLOOKUP(SelectedFile&amp;$F26,hosts_2[Source.Name]&amp;hosts_2[hostname],hosts_2[VSAN],"")</f>
        <v>192.168.10.12</v>
      </c>
      <c r="N26" s="24" t="str" cm="1">
        <f t="array" ref="N26">_xlfn.XLOOKUP(SelectedFile&amp;$F26,hosts_2[Source.Name]&amp;hosts_2[hostname],hosts_2[VMOTION],"")</f>
        <v>192.168.11.12</v>
      </c>
      <c r="O26" s="24" cm="1">
        <f t="array" ref="O26">_xlfn.XLOOKUP(SelectedFile&amp;$F26,hosts_2[Source.Name]&amp;hosts_2[hostname],hosts_2[WITNESS],"")</f>
        <v>0</v>
      </c>
      <c r="P26" s="24" cm="1">
        <f t="array" ref="P26">_xlfn.XLOOKUP(SelectedFile&amp;$F26,hosts_2[Source.Name]&amp;hosts_2[hostname],hosts_2[management_ip],"")</f>
        <v>0</v>
      </c>
      <c r="Q26" s="7"/>
      <c r="R26" s="7"/>
      <c r="S26" s="7"/>
      <c r="T26" s="7"/>
    </row>
    <row r="27" spans="2:20" x14ac:dyDescent="0.25">
      <c r="B27" s="3" t="s">
        <v>238</v>
      </c>
      <c r="C27" s="30" t="str">
        <f>_xlfn.XLOOKUP(SelectedFile,global_2[Source.Name],global_2[administrator.username])</f>
        <v>administrator@vsphere.local</v>
      </c>
      <c r="F27" s="23" t="str">
        <v>6node-04</v>
      </c>
      <c r="G27" s="24" t="str" cm="1">
        <f t="array" ref="G27">_xlfn.XLOOKUP(SelectedFile&amp;$F27,hosts_2[Source.Name]&amp;hosts_2[hostname],hosts_2[root.username],"")</f>
        <v>root</v>
      </c>
      <c r="H27" s="24" t="str" cm="1">
        <f t="array" ref="H27">_xlfn.XLOOKUP(SelectedFile&amp;$F27,hosts_2[Source.Name]&amp;hosts_2[hostname],hosts_2[management.username],"")</f>
        <v>esximgr</v>
      </c>
      <c r="I27" s="24" t="str" cm="1">
        <f t="array" ref="I27">_xlfn.XLOOKUP(SelectedFile&amp;$F27,hosts_2[Source.Name]&amp;hosts_2[hostname],hosts_2[rack_name],"")</f>
        <v>rack01</v>
      </c>
      <c r="J27" s="24" cm="1">
        <f t="array" ref="J27">_xlfn.XLOOKUP(SelectedFile&amp;$F27,hosts_2[Source.Name]&amp;hosts_2[hostname],hosts_2[position],"")</f>
        <v>5</v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>192.168.1.13</v>
      </c>
      <c r="M27" s="24" t="str" cm="1">
        <f t="array" ref="M27">_xlfn.XLOOKUP(SelectedFile&amp;$F27,hosts_2[Source.Name]&amp;hosts_2[hostname],hosts_2[VSAN],"")</f>
        <v>192.168.10.13</v>
      </c>
      <c r="N27" s="24" t="str" cm="1">
        <f t="array" ref="N27">_xlfn.XLOOKUP(SelectedFile&amp;$F27,hosts_2[Source.Name]&amp;hosts_2[hostname],hosts_2[VMOTION],"")</f>
        <v>192.168.11.13</v>
      </c>
      <c r="O27" s="24" cm="1">
        <f t="array" ref="O27">_xlfn.XLOOKUP(SelectedFile&amp;$F27,hosts_2[Source.Name]&amp;hosts_2[hostname],hosts_2[WITNESS],"")</f>
        <v>0</v>
      </c>
      <c r="P27" s="24" cm="1">
        <f t="array" ref="P27">_xlfn.XLOOKUP(SelectedFile&amp;$F27,hosts_2[Source.Name]&amp;hosts_2[hostname],hosts_2[management_ip],"")</f>
        <v>0</v>
      </c>
      <c r="Q27" s="7"/>
      <c r="R27" s="7"/>
      <c r="S27" s="7"/>
      <c r="T27" s="7"/>
    </row>
    <row r="28" spans="2:20" x14ac:dyDescent="0.25">
      <c r="B28" s="3" t="s">
        <v>385</v>
      </c>
      <c r="C28" s="30" t="str">
        <f>_xlfn.XLOOKUP(SelectedFile,global_2[Source.Name],global_2[management.username])</f>
        <v>vcsamgr</v>
      </c>
      <c r="F28" s="23" t="str">
        <v>6node-05</v>
      </c>
      <c r="G28" s="24" t="str" cm="1">
        <f t="array" ref="G28">_xlfn.XLOOKUP(SelectedFile&amp;$F28,hosts_2[Source.Name]&amp;hosts_2[hostname],hosts_2[root.username],"")</f>
        <v>root</v>
      </c>
      <c r="H28" s="24" t="str" cm="1">
        <f t="array" ref="H28">_xlfn.XLOOKUP(SelectedFile&amp;$F28,hosts_2[Source.Name]&amp;hosts_2[hostname],hosts_2[management.username],"")</f>
        <v>esximgr</v>
      </c>
      <c r="I28" s="24" t="str" cm="1">
        <f t="array" ref="I28">_xlfn.XLOOKUP(SelectedFile&amp;$F28,hosts_2[Source.Name]&amp;hosts_2[hostname],hosts_2[rack_name],"")</f>
        <v>rack02</v>
      </c>
      <c r="J28" s="24" cm="1">
        <f t="array" ref="J28">_xlfn.XLOOKUP(SelectedFile&amp;$F28,hosts_2[Source.Name]&amp;hosts_2[hostname],hosts_2[position],"")</f>
        <v>4</v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>192.168.1.14</v>
      </c>
      <c r="M28" s="24" t="str" cm="1">
        <f t="array" ref="M28">_xlfn.XLOOKUP(SelectedFile&amp;$F28,hosts_2[Source.Name]&amp;hosts_2[hostname],hosts_2[VSAN],"")</f>
        <v>192.168.10.14</v>
      </c>
      <c r="N28" s="24" t="str" cm="1">
        <f t="array" ref="N28">_xlfn.XLOOKUP(SelectedFile&amp;$F28,hosts_2[Source.Name]&amp;hosts_2[hostname],hosts_2[VMOTION],"")</f>
        <v>192.168.11.14</v>
      </c>
      <c r="O28" s="24" cm="1">
        <f t="array" ref="O28">_xlfn.XLOOKUP(SelectedFile&amp;$F28,hosts_2[Source.Name]&amp;hosts_2[hostname],hosts_2[WITNESS],"")</f>
        <v>0</v>
      </c>
      <c r="P28" s="24" cm="1">
        <f t="array" ref="P28">_xlfn.XLOOKUP(SelectedFile&amp;$F28,hosts_2[Source.Name]&amp;hosts_2[hostname],hosts_2[management_ip],"")</f>
        <v>0</v>
      </c>
      <c r="Q28" s="7"/>
      <c r="R28" s="7"/>
      <c r="S28" s="7"/>
      <c r="T28" s="7"/>
    </row>
    <row r="29" spans="2:20" x14ac:dyDescent="0.25">
      <c r="B29" s="3"/>
      <c r="C29" s="30"/>
      <c r="F29" s="23" t="str">
        <v>6node-06</v>
      </c>
      <c r="G29" s="24" t="str" cm="1">
        <f t="array" ref="G29">_xlfn.XLOOKUP(SelectedFile&amp;$F29,hosts_2[Source.Name]&amp;hosts_2[hostname],hosts_2[root.username],"")</f>
        <v>root</v>
      </c>
      <c r="H29" s="24" t="str" cm="1">
        <f t="array" ref="H29">_xlfn.XLOOKUP(SelectedFile&amp;$F29,hosts_2[Source.Name]&amp;hosts_2[hostname],hosts_2[management.username],"")</f>
        <v>esximgr</v>
      </c>
      <c r="I29" s="24" t="str" cm="1">
        <f t="array" ref="I29">_xlfn.XLOOKUP(SelectedFile&amp;$F29,hosts_2[Source.Name]&amp;hosts_2[hostname],hosts_2[rack_name],"")</f>
        <v>rack02</v>
      </c>
      <c r="J29" s="24" cm="1">
        <f t="array" ref="J29">_xlfn.XLOOKUP(SelectedFile&amp;$F29,hosts_2[Source.Name]&amp;hosts_2[hostname],hosts_2[position],"")</f>
        <v>5</v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>192.168.1.15</v>
      </c>
      <c r="M29" s="24" t="str" cm="1">
        <f t="array" ref="M29">_xlfn.XLOOKUP(SelectedFile&amp;$F29,hosts_2[Source.Name]&amp;hosts_2[hostname],hosts_2[VSAN],"")</f>
        <v>192.168.10.15</v>
      </c>
      <c r="N29" s="24" t="str" cm="1">
        <f t="array" ref="N29">_xlfn.XLOOKUP(SelectedFile&amp;$F29,hosts_2[Source.Name]&amp;hosts_2[hostname],hosts_2[VMOTION],"")</f>
        <v>192.168.11.15</v>
      </c>
      <c r="O29" s="24" cm="1">
        <f t="array" ref="O29">_xlfn.XLOOKUP(SelectedFile&amp;$F29,hosts_2[Source.Name]&amp;hosts_2[hostname],hosts_2[WITNESS],"")</f>
        <v>0</v>
      </c>
      <c r="P29" s="24" cm="1">
        <f t="array" ref="P29">_xlfn.XLOOKUP(SelectedFile&amp;$F29,hosts_2[Source.Name]&amp;hosts_2[hostname],hosts_2[management_ip],"")</f>
        <v>0</v>
      </c>
      <c r="Q29" s="7"/>
      <c r="R29" s="7"/>
      <c r="S29" s="7"/>
      <c r="T29" s="7"/>
    </row>
    <row r="30" spans="2:20" x14ac:dyDescent="0.25">
      <c r="B30" s="3" t="str">
        <f>("witness.gateway")</f>
        <v>witness.gateway</v>
      </c>
      <c r="C30" s="30">
        <f>_xlfn.XLOOKUP(SelectedFile,global_2[Source.Name],global_2[witness.gateway])</f>
        <v>0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</row>
    <row r="31" spans="2:20" x14ac:dyDescent="0.25">
      <c r="B31" s="3" t="str">
        <f>("witness.management_ip")</f>
        <v>witness.management_ip</v>
      </c>
      <c r="C31" s="30">
        <f>_xlfn.XLOOKUP(SelectedFile,global_2[Source.Name],global_2[witness.management_ip])</f>
        <v>0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</row>
    <row r="32" spans="2:20" x14ac:dyDescent="0.25">
      <c r="B32" s="3" t="str">
        <f>("witness.netmask")</f>
        <v>witness.netmask</v>
      </c>
      <c r="C32" s="30">
        <f>_xlfn.XLOOKUP(SelectedFile,global_2[Source.Name],global_2[witness.netmask])</f>
        <v>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</row>
    <row r="33" spans="2:20" x14ac:dyDescent="0.25">
      <c r="B33" s="3" t="str">
        <f>("witness.username")</f>
        <v>witness.username</v>
      </c>
      <c r="C33" s="30">
        <f>_xlfn.XLOOKUP(SelectedFile,global_2[Source.Name],global_2[witness.username])</f>
        <v>0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</row>
    <row r="34" spans="2:20" x14ac:dyDescent="0.25">
      <c r="B34" s="3" t="str">
        <f>("witness.witness_ip")</f>
        <v>witness.witness_ip</v>
      </c>
      <c r="C34" s="30">
        <f>_xlfn.XLOOKUP(SelectedFile,global_2[Source.Name],global_2[witness.witness_ip])</f>
        <v>0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</row>
    <row r="35" spans="2:20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</row>
    <row r="36" spans="2:20" x14ac:dyDescent="0.25">
      <c r="B36" t="s">
        <v>84</v>
      </c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</row>
    <row r="37" spans="2:20" x14ac:dyDescent="0.25"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</row>
    <row r="38" spans="2:20" ht="15" customHeight="1" x14ac:dyDescent="0.25">
      <c r="B38" s="33" t="s">
        <v>375</v>
      </c>
      <c r="C38" s="33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</row>
    <row r="39" spans="2:20" x14ac:dyDescent="0.25">
      <c r="B39" s="21" t="str" cm="1">
        <f t="array" ref="B39:B46">_xlfn._xlws.FILTER(searchtable[Source.Name],ISNUMBER(SEARCH(B36,searchtable[Global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</row>
    <row r="40" spans="2:20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</row>
    <row r="41" spans="2:20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</row>
    <row r="42" spans="2:20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</row>
    <row r="43" spans="2:20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</row>
    <row r="44" spans="2:20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</row>
    <row r="45" spans="2:20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</row>
    <row r="46" spans="2:20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</row>
    <row r="47" spans="2:20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</row>
    <row r="48" spans="2:20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</row>
    <row r="49" spans="2:20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</row>
    <row r="50" spans="2:20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</row>
    <row r="51" spans="2:20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</row>
    <row r="52" spans="2:20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</row>
    <row r="53" spans="2:20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</row>
    <row r="54" spans="2:20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</row>
    <row r="55" spans="2:20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</row>
    <row r="56" spans="2:20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</row>
    <row r="57" spans="2:20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</row>
    <row r="58" spans="2:20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</row>
    <row r="59" spans="2:20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</row>
    <row r="60" spans="2:20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</row>
    <row r="61" spans="2:20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</row>
    <row r="62" spans="2:20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</row>
    <row r="63" spans="2:20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</row>
    <row r="64" spans="2:20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</row>
    <row r="65" spans="2:20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</row>
    <row r="66" spans="2:20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</row>
    <row r="67" spans="2:20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</row>
    <row r="68" spans="2:20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</row>
    <row r="69" spans="2:20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</row>
    <row r="70" spans="2:20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</row>
    <row r="71" spans="2:20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</row>
    <row r="72" spans="2:20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</row>
    <row r="73" spans="2:20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</row>
    <row r="74" spans="2:20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</row>
    <row r="75" spans="2:20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</row>
    <row r="76" spans="2:20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</row>
    <row r="77" spans="2:20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T77" s="7"/>
    </row>
    <row r="78" spans="2:20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T78" s="7"/>
    </row>
    <row r="79" spans="2:20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T79" s="7"/>
    </row>
    <row r="80" spans="2:20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T80" s="7"/>
    </row>
    <row r="81" spans="2:20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T81" s="7"/>
    </row>
    <row r="82" spans="2:20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T82" s="7"/>
    </row>
    <row r="83" spans="2:20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T83" s="7"/>
    </row>
    <row r="84" spans="2:20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T84" s="7"/>
    </row>
    <row r="85" spans="2:20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T85" s="7"/>
    </row>
    <row r="86" spans="2:20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T86" s="7"/>
    </row>
    <row r="87" spans="2:20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T87" s="7"/>
    </row>
    <row r="88" spans="2:20" x14ac:dyDescent="0.25">
      <c r="B88" s="21"/>
      <c r="Q88" s="7"/>
      <c r="T88" s="7"/>
    </row>
    <row r="89" spans="2:20" x14ac:dyDescent="0.25">
      <c r="B89" s="21"/>
    </row>
    <row r="90" spans="2:20" x14ac:dyDescent="0.25">
      <c r="B90" s="21"/>
    </row>
    <row r="91" spans="2:20" x14ac:dyDescent="0.25">
      <c r="B91" s="21"/>
    </row>
    <row r="92" spans="2:20" x14ac:dyDescent="0.25">
      <c r="B92" s="21"/>
    </row>
    <row r="93" spans="2:20" x14ac:dyDescent="0.25">
      <c r="B93" s="21"/>
    </row>
    <row r="94" spans="2:20" x14ac:dyDescent="0.25">
      <c r="B94" s="21"/>
    </row>
    <row r="95" spans="2:20" x14ac:dyDescent="0.25">
      <c r="B95" s="21"/>
    </row>
    <row r="96" spans="2:20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linkedCell="B1" listFillRange="B39:B2409" r:id="rId5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4" name="ComboBox1"/>
      </mc:Fallback>
    </mc:AlternateContent>
    <mc:AlternateContent xmlns:mc="http://schemas.openxmlformats.org/markup-compatibility/2006">
      <mc:Choice Requires="x14">
        <control shapeId="1041" r:id="rId6" name="TextBox1">
          <controlPr defaultSize="0" autoLine="0" autoPict="0" linkedCell="B36" r:id="rId7">
            <anchor moveWithCells="1">
              <from>
                <xdr:col>0</xdr:col>
                <xdr:colOff>390525</xdr:colOff>
                <xdr:row>34</xdr:row>
                <xdr:rowOff>190500</xdr:rowOff>
              </from>
              <to>
                <xdr:col>2</xdr:col>
                <xdr:colOff>1724025</xdr:colOff>
                <xdr:row>36</xdr:row>
                <xdr:rowOff>85725</xdr:rowOff>
              </to>
            </anchor>
          </controlPr>
        </control>
      </mc:Choice>
      <mc:Fallback>
        <control shapeId="1041" r:id="rId6" name="TextBox1"/>
      </mc:Fallback>
    </mc:AlternateContent>
  </controls>
  <tableParts count="2"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3" width="81.140625" bestFit="1" customWidth="1"/>
  </cols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s="1" t="s">
        <v>5</v>
      </c>
      <c r="B2" s="1" t="s">
        <v>370</v>
      </c>
      <c r="C2" s="1" t="s">
        <v>381</v>
      </c>
    </row>
    <row r="3" spans="1:3" x14ac:dyDescent="0.25">
      <c r="A3" s="1" t="s">
        <v>387</v>
      </c>
      <c r="B3" s="1" t="s">
        <v>367</v>
      </c>
      <c r="C3" s="1" t="s">
        <v>376</v>
      </c>
    </row>
    <row r="4" spans="1:3" x14ac:dyDescent="0.25">
      <c r="A4" s="1" t="s">
        <v>6</v>
      </c>
      <c r="B4" s="1" t="s">
        <v>371</v>
      </c>
      <c r="C4" s="1" t="s">
        <v>380</v>
      </c>
    </row>
    <row r="5" spans="1:3" x14ac:dyDescent="0.25">
      <c r="A5" s="1" t="s">
        <v>388</v>
      </c>
      <c r="B5" s="1" t="s">
        <v>368</v>
      </c>
      <c r="C5" s="1" t="s">
        <v>377</v>
      </c>
    </row>
    <row r="6" spans="1:3" x14ac:dyDescent="0.25">
      <c r="A6" s="1" t="s">
        <v>7</v>
      </c>
      <c r="B6" s="1" t="s">
        <v>372</v>
      </c>
      <c r="C6" s="1" t="s">
        <v>382</v>
      </c>
    </row>
    <row r="7" spans="1:3" x14ac:dyDescent="0.25">
      <c r="A7" s="1" t="s">
        <v>389</v>
      </c>
      <c r="B7" s="1" t="s">
        <v>369</v>
      </c>
      <c r="C7" s="1" t="s">
        <v>377</v>
      </c>
    </row>
    <row r="8" spans="1:3" x14ac:dyDescent="0.25">
      <c r="A8" s="1" t="s">
        <v>260</v>
      </c>
      <c r="B8" s="1" t="s">
        <v>373</v>
      </c>
      <c r="C8" s="1" t="s">
        <v>378</v>
      </c>
    </row>
    <row r="9" spans="1:3" x14ac:dyDescent="0.25">
      <c r="A9" s="1" t="s">
        <v>390</v>
      </c>
      <c r="B9" s="1" t="s">
        <v>374</v>
      </c>
      <c r="C9" s="1" t="s">
        <v>379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32.140625" customWidth="1"/>
  </cols>
  <sheetData>
    <row r="1" spans="1:2" x14ac:dyDescent="0.25">
      <c r="A1" t="s">
        <v>0</v>
      </c>
      <c r="B1" t="s">
        <v>364</v>
      </c>
    </row>
    <row r="2" spans="1:2" x14ac:dyDescent="0.25">
      <c r="A2" s="1" t="s">
        <v>5</v>
      </c>
      <c r="B2" s="19" t="s">
        <v>421</v>
      </c>
    </row>
    <row r="3" spans="1:2" x14ac:dyDescent="0.25">
      <c r="A3" s="1" t="s">
        <v>387</v>
      </c>
      <c r="B3" s="19" t="s">
        <v>422</v>
      </c>
    </row>
    <row r="4" spans="1:2" x14ac:dyDescent="0.25">
      <c r="A4" s="1" t="s">
        <v>6</v>
      </c>
      <c r="B4" s="19" t="s">
        <v>423</v>
      </c>
    </row>
    <row r="5" spans="1:2" x14ac:dyDescent="0.25">
      <c r="A5" s="1" t="s">
        <v>388</v>
      </c>
      <c r="B5" s="19" t="s">
        <v>424</v>
      </c>
    </row>
    <row r="6" spans="1:2" x14ac:dyDescent="0.25">
      <c r="A6" s="1" t="s">
        <v>7</v>
      </c>
      <c r="B6" s="19" t="s">
        <v>425</v>
      </c>
    </row>
    <row r="7" spans="1:2" x14ac:dyDescent="0.25">
      <c r="A7" s="1" t="s">
        <v>389</v>
      </c>
      <c r="B7" s="19" t="s">
        <v>426</v>
      </c>
    </row>
    <row r="8" spans="1:2" x14ac:dyDescent="0.25">
      <c r="A8" s="1" t="s">
        <v>260</v>
      </c>
      <c r="B8" s="19" t="s">
        <v>427</v>
      </c>
    </row>
    <row r="9" spans="1:2" x14ac:dyDescent="0.25">
      <c r="A9" s="1" t="s">
        <v>390</v>
      </c>
      <c r="B9" s="19" t="s">
        <v>428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V88"/>
  <sheetViews>
    <sheetView showGridLines="0" showZeros="0" zoomScaleNormal="100" workbookViewId="0">
      <selection activeCell="B2" sqref="B2"/>
    </sheetView>
  </sheetViews>
  <sheetFormatPr defaultRowHeight="15" x14ac:dyDescent="0.25"/>
  <cols>
    <col min="1" max="1" width="7.140625" customWidth="1"/>
    <col min="2" max="2" width="76.140625" bestFit="1" customWidth="1"/>
    <col min="3" max="3" width="7.140625" customWidth="1"/>
    <col min="4" max="4" width="27.85546875" customWidth="1"/>
    <col min="5" max="5" width="36.5703125" customWidth="1"/>
    <col min="6" max="6" width="7.7109375" customWidth="1"/>
    <col min="7" max="7" width="27.85546875" customWidth="1"/>
    <col min="8" max="8" width="36.5703125" customWidth="1"/>
    <col min="9" max="9" width="7.7109375" customWidth="1"/>
    <col min="10" max="10" width="27.85546875" customWidth="1"/>
    <col min="11" max="11" width="36.5703125" customWidth="1"/>
    <col min="12" max="12" width="16.42578125" bestFit="1" customWidth="1"/>
    <col min="13" max="13" width="46.7109375" bestFit="1" customWidth="1"/>
    <col min="14" max="14" width="10.140625" bestFit="1" customWidth="1"/>
    <col min="15" max="15" width="13.140625" bestFit="1" customWidth="1"/>
    <col min="16" max="16" width="11.7109375" bestFit="1" customWidth="1"/>
    <col min="17" max="17" width="23.28515625" bestFit="1" customWidth="1"/>
    <col min="19" max="19" width="42.42578125" bestFit="1" customWidth="1"/>
    <col min="20" max="20" width="16" bestFit="1" customWidth="1"/>
    <col min="21" max="21" width="36.140625" bestFit="1" customWidth="1"/>
    <col min="22" max="22" width="19.140625" bestFit="1" customWidth="1"/>
    <col min="23" max="23" width="21.7109375" bestFit="1" customWidth="1"/>
    <col min="24" max="24" width="20.140625" bestFit="1" customWidth="1"/>
    <col min="25" max="25" width="34.28515625" bestFit="1" customWidth="1"/>
    <col min="26" max="26" width="36" bestFit="1" customWidth="1"/>
    <col min="27" max="27" width="30" bestFit="1" customWidth="1"/>
    <col min="28" max="28" width="35.85546875" bestFit="1" customWidth="1"/>
    <col min="29" max="29" width="9.5703125" bestFit="1" customWidth="1"/>
    <col min="30" max="30" width="33.28515625" bestFit="1" customWidth="1"/>
  </cols>
  <sheetData>
    <row r="1" spans="1:48" x14ac:dyDescent="0.25">
      <c r="A1" s="15">
        <v>13</v>
      </c>
      <c r="B1" s="15"/>
      <c r="C1" s="15"/>
      <c r="D1" s="15" t="s">
        <v>6</v>
      </c>
      <c r="G1" s="15">
        <v>13</v>
      </c>
      <c r="H1" s="15" t="s">
        <v>5</v>
      </c>
      <c r="J1" s="15">
        <v>13</v>
      </c>
      <c r="K1" s="15" t="s">
        <v>389</v>
      </c>
    </row>
    <row r="2" spans="1:48" x14ac:dyDescent="0.25">
      <c r="B2" t="s">
        <v>429</v>
      </c>
    </row>
    <row r="4" spans="1:48" x14ac:dyDescent="0.25">
      <c r="B4" s="20" t="s">
        <v>375</v>
      </c>
      <c r="D4" s="3" t="s">
        <v>195</v>
      </c>
      <c r="E4" s="30" t="s">
        <v>2</v>
      </c>
      <c r="G4" s="3" t="s">
        <v>195</v>
      </c>
      <c r="H4" s="30" t="s">
        <v>2</v>
      </c>
      <c r="J4" s="3" t="s">
        <v>195</v>
      </c>
      <c r="K4" s="30" t="s">
        <v>2</v>
      </c>
      <c r="AD4" s="4"/>
      <c r="AE4" s="4"/>
    </row>
    <row r="5" spans="1:48" x14ac:dyDescent="0.25">
      <c r="B5" t="str" cm="1">
        <f t="array" ref="B5:B6">_xlfn._xlws.FILTER(searchtable[Source.Name],ISNUMBER(SEARCH(B2,searchtable[Global Search])),"No Results")</f>
        <v>starter-6nodes.json</v>
      </c>
      <c r="D5" s="3" t="s">
        <v>17</v>
      </c>
      <c r="E5" s="29" t="str">
        <f>_xlfn.XLOOKUP(File1,supported[Source.Name],supported[Value])</f>
        <v>7.0.130</v>
      </c>
      <c r="G5" s="3" t="s">
        <v>17</v>
      </c>
      <c r="H5" s="29" t="str">
        <f>_xlfn.XLOOKUP(File2,supported[Source.Name],supported[Value])</f>
        <v>7.0.201</v>
      </c>
      <c r="J5" s="3" t="s">
        <v>17</v>
      </c>
      <c r="K5" s="29" t="str">
        <f>_xlfn.XLOOKUP(File3,supported[Source.Name],supported[Value])</f>
        <v>7.0.210</v>
      </c>
    </row>
    <row r="6" spans="1:48" x14ac:dyDescent="0.25">
      <c r="B6" t="str">
        <v>starter-7.0.210.json</v>
      </c>
      <c r="D6" s="3" t="s">
        <v>231</v>
      </c>
      <c r="E6" s="29" t="str">
        <f>_xlfn.XLOOKUP(File1,global_2[Source.Name],global_2[cluster_type])</f>
        <v>STANDARD</v>
      </c>
      <c r="G6" s="3" t="s">
        <v>231</v>
      </c>
      <c r="H6" s="29" t="str">
        <f>_xlfn.XLOOKUP(File2,global_2[Source.Name],global_2[cluster_type])</f>
        <v>VSAN2NODE</v>
      </c>
      <c r="J6" s="3" t="s">
        <v>231</v>
      </c>
      <c r="K6" s="29" t="str">
        <f>_xlfn.XLOOKUP(File3,global_2[Source.Name],global_2[cluster_type])</f>
        <v>STANDARD</v>
      </c>
    </row>
    <row r="7" spans="1:48" x14ac:dyDescent="0.25">
      <c r="D7" s="3" t="s">
        <v>224</v>
      </c>
      <c r="E7" s="30">
        <f>COUNTIF(hosts_2[Source.Name],File1)</f>
        <v>6</v>
      </c>
      <c r="G7" s="3" t="s">
        <v>224</v>
      </c>
      <c r="H7" s="30">
        <f>COUNTIF(hosts_2[Source.Name],File2)</f>
        <v>2</v>
      </c>
      <c r="J7" s="3" t="s">
        <v>224</v>
      </c>
      <c r="K7" s="30">
        <f>COUNTIF(hosts_2[Source.Name],File3)</f>
        <v>3</v>
      </c>
    </row>
    <row r="8" spans="1:48" x14ac:dyDescent="0.25">
      <c r="D8" s="3" t="s">
        <v>225</v>
      </c>
      <c r="E8" s="30">
        <f>COUNTIF(network_vds[Source.Name],File1)</f>
        <v>12</v>
      </c>
      <c r="G8" s="3" t="s">
        <v>225</v>
      </c>
      <c r="H8" s="30">
        <f>COUNTIF(network_vds[Source.Name],File2)</f>
        <v>12</v>
      </c>
      <c r="J8" s="3" t="s">
        <v>225</v>
      </c>
      <c r="K8" s="30">
        <f>COUNTIF(network_vds[Source.Name],File3)</f>
        <v>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x14ac:dyDescent="0.25">
      <c r="D9" s="3"/>
      <c r="E9" s="30"/>
      <c r="G9" s="3"/>
      <c r="H9" s="30"/>
      <c r="J9" s="3"/>
      <c r="K9" s="3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0"/>
    </row>
    <row r="10" spans="1:48" x14ac:dyDescent="0.25">
      <c r="D10" s="3" t="s">
        <v>193</v>
      </c>
      <c r="E10" s="29" t="str">
        <f ca="1">(TEXT((_xlfn.XLOOKUP(File1,Source[Name],Source[Date created])),"mm/dd/yy")) &amp; (" ("&amp;ROUND((TODAY()-(_xlfn.XLOOKUP(File1,Source[Name],Source[Date created]))),0)&amp;"d)")</f>
        <v>07/12/21 (49d)</v>
      </c>
      <c r="G10" s="3" t="s">
        <v>193</v>
      </c>
      <c r="H10" s="29" t="str">
        <f ca="1">(TEXT((_xlfn.XLOOKUP(File2,Source[Name],Source[Date created])),"mm/dd/yy")) &amp; (" ("&amp;ROUND((TODAY()-(_xlfn.XLOOKUP(File2,Source[Name],Source[Date created]))),0)&amp;"d)")</f>
        <v>07/13/21 (49d)</v>
      </c>
      <c r="J10" s="3" t="s">
        <v>193</v>
      </c>
      <c r="K10" s="29" t="str">
        <f ca="1">(TEXT((_xlfn.XLOOKUP(File3,Source[Name],Source[Date created])),"mm/dd/yy")) &amp; (" ("&amp;ROUND((TODAY()-(_xlfn.XLOOKUP(File3,Source[Name],Source[Date created]))),0)&amp;"d)")</f>
        <v>08/31/21 (0d)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0"/>
    </row>
    <row r="11" spans="1:48" x14ac:dyDescent="0.25">
      <c r="D11" s="3" t="s">
        <v>194</v>
      </c>
      <c r="E11" s="29" t="str">
        <f ca="1">(TEXT((_xlfn.XLOOKUP(File1,Source[Name],Source[Date modified])),"mm/dd/yy")) &amp; (" ("&amp;ROUND((TODAY()-(_xlfn.XLOOKUP(File1,Source[Name],Source[Date modified]))),0)&amp;"d)")</f>
        <v>07/20/21 (42d)</v>
      </c>
      <c r="G11" s="3" t="s">
        <v>194</v>
      </c>
      <c r="H11" s="29" t="str">
        <f ca="1">(TEXT((_xlfn.XLOOKUP(File2,Source[Name],Source[Date modified])),"mm/dd/yy")) &amp; (" ("&amp;ROUND((TODAY()-(_xlfn.XLOOKUP(File2,Source[Name],Source[Date modified]))),0)&amp;"d)")</f>
        <v>07/13/21 (49d)</v>
      </c>
      <c r="J11" s="3" t="s">
        <v>194</v>
      </c>
      <c r="K11" s="29" t="str">
        <f ca="1">(TEXT((_xlfn.XLOOKUP(File3,Source[Name],Source[Date modified])),"mm/dd/yy")) &amp; (" ("&amp;ROUND((TODAY()-(_xlfn.XLOOKUP(File3,Source[Name],Source[Date modified]))),0)&amp;"d)")</f>
        <v>08/31/21 (0d)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0"/>
    </row>
    <row r="12" spans="1:48" x14ac:dyDescent="0.25">
      <c r="E12" s="30"/>
      <c r="G12" s="3"/>
      <c r="H12" s="30"/>
      <c r="J12" s="3"/>
      <c r="K12" s="3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10"/>
    </row>
    <row r="13" spans="1:48" x14ac:dyDescent="0.25">
      <c r="D13" s="3" t="s">
        <v>75</v>
      </c>
      <c r="E13" s="30">
        <f>_xlfn.XLOOKUP(File1,global_2[Source.Name],global_2[cluster_name])</f>
        <v>0</v>
      </c>
      <c r="G13" s="3" t="s">
        <v>75</v>
      </c>
      <c r="H13" s="30" t="str">
        <f>_xlfn.XLOOKUP(File2,global_2[Source.Name],global_2[cluster_name])</f>
        <v>2_node_2VDS</v>
      </c>
      <c r="J13" s="3" t="s">
        <v>75</v>
      </c>
      <c r="K13" s="30">
        <f>_xlfn.XLOOKUP(File3,global_2[Source.Name],global_2[cluster_name])</f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10"/>
    </row>
    <row r="14" spans="1:48" x14ac:dyDescent="0.25">
      <c r="D14" s="3" t="s">
        <v>386</v>
      </c>
      <c r="E14" s="30" t="str">
        <f>_xlfn.XLOOKUP(File1,global_2[Source.Name],global_2[top_level_domain])</f>
        <v>6nodes.com</v>
      </c>
      <c r="G14" s="3" t="s">
        <v>386</v>
      </c>
      <c r="H14" s="30" t="str">
        <f>_xlfn.XLOOKUP(File2,global_2[Source.Name],global_2[top_level_domain])</f>
        <v>example.com</v>
      </c>
      <c r="J14" s="3" t="s">
        <v>386</v>
      </c>
      <c r="K14" s="30" t="str">
        <f>_xlfn.XLOOKUP(File3,global_2[Source.Name],global_2[top_level_domain])</f>
        <v>tld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10"/>
    </row>
    <row r="15" spans="1:48" x14ac:dyDescent="0.25">
      <c r="D15" s="3" t="s">
        <v>257</v>
      </c>
      <c r="E15" s="30" t="str">
        <f>_xlfn.XLOOKUP(File1,global_2[Source.Name],global_2[ntp_servers])</f>
        <v>192.168.1.3</v>
      </c>
      <c r="G15" s="3" t="s">
        <v>257</v>
      </c>
      <c r="H15" s="30" t="str">
        <f>_xlfn.XLOOKUP(File2,global_2[Source.Name],global_2[ntp_servers])</f>
        <v/>
      </c>
      <c r="J15" s="3" t="s">
        <v>257</v>
      </c>
      <c r="K15" s="30" t="str">
        <f>_xlfn.XLOOKUP(File3,global_2[Source.Name],global_2[ntp_servers])</f>
        <v/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10"/>
    </row>
    <row r="16" spans="1:48" x14ac:dyDescent="0.25">
      <c r="D16" s="3" t="s">
        <v>254</v>
      </c>
      <c r="E16" s="30" t="str">
        <f>IF((_xlfn.XLOOKUP(File1,global_2[Source.Name],global_2[is_internal_dns]))=TRUE,"Internal",_xlfn.XLOOKUP(File1,global_2[Source.Name],global_2[dns_servers]))</f>
        <v>192.168.1.2</v>
      </c>
      <c r="G16" s="3" t="s">
        <v>254</v>
      </c>
      <c r="H16" s="30" t="str">
        <f>IF((_xlfn.XLOOKUP(File2,global_2[Source.Name],global_2[is_internal_dns]))=TRUE,"Internal",_xlfn.XLOOKUP(File2,global_2[Source.Name],global_2[dns_servers]))</f>
        <v>192.168.1.1</v>
      </c>
      <c r="J16" s="3" t="s">
        <v>254</v>
      </c>
      <c r="K16" s="30" t="str">
        <f>IF((_xlfn.XLOOKUP(File3,global_2[Source.Name],global_2[is_internal_dns]))=TRUE,"Internal",_xlfn.XLOOKUP(File3,global_2[Source.Name],global_2[dns_servers]))</f>
        <v>Internal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10"/>
    </row>
    <row r="17" spans="4:48" x14ac:dyDescent="0.25">
      <c r="D17" s="3" t="s">
        <v>255</v>
      </c>
      <c r="E17" s="30" t="str">
        <f>_xlfn.XLOOKUP(File1,global_2[Source.Name],global_2[syslog_servers])</f>
        <v>192.168.1.4</v>
      </c>
      <c r="G17" s="3" t="s">
        <v>255</v>
      </c>
      <c r="H17" s="30" t="str">
        <f>_xlfn.XLOOKUP(File2,global_2[Source.Name],global_2[syslog_servers])</f>
        <v/>
      </c>
      <c r="J17" s="3" t="s">
        <v>255</v>
      </c>
      <c r="K17" s="30" t="str">
        <f>_xlfn.XLOOKUP(File3,global_2[Source.Name],global_2[syslog_servers])</f>
        <v/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10"/>
    </row>
    <row r="18" spans="4:48" x14ac:dyDescent="0.25">
      <c r="D18" s="3" t="s">
        <v>256</v>
      </c>
      <c r="E18" s="30">
        <f>_xlfn.XLOOKUP(File1,global_2[Source.Name],global_2[datacenter_name])</f>
        <v>0</v>
      </c>
      <c r="G18" s="3" t="s">
        <v>256</v>
      </c>
      <c r="H18" s="30" t="str">
        <f>_xlfn.XLOOKUP(File2,global_2[Source.Name],global_2[datacenter_name])</f>
        <v>customdatacentername</v>
      </c>
      <c r="J18" s="3" t="s">
        <v>256</v>
      </c>
      <c r="K18" s="30">
        <f>_xlfn.XLOOKUP(File3,global_2[Source.Name],global_2[datacenter_name])</f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10"/>
    </row>
    <row r="19" spans="4:48" x14ac:dyDescent="0.25">
      <c r="D19" s="3" t="s">
        <v>230</v>
      </c>
      <c r="E19" s="30">
        <f>_xlfn.XLOOKUP(File1,global_2[Source.Name],global_2[disk_group_type])</f>
        <v>0</v>
      </c>
      <c r="G19" s="3" t="s">
        <v>230</v>
      </c>
      <c r="H19" s="30">
        <f>_xlfn.XLOOKUP(File2,global_2[Source.Name],global_2[disk_group_type])</f>
        <v>0</v>
      </c>
      <c r="J19" s="3" t="s">
        <v>230</v>
      </c>
      <c r="K19" s="30" t="str">
        <f>_xlfn.XLOOKUP(File3,global_2[Source.Name],global_2[disk_group_type])</f>
        <v>1002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0"/>
    </row>
    <row r="20" spans="4:48" x14ac:dyDescent="0.25">
      <c r="D20" s="3"/>
      <c r="E20" s="30"/>
      <c r="G20" s="3"/>
      <c r="H20" s="30"/>
      <c r="J20" s="3"/>
      <c r="K20" s="30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10"/>
    </row>
    <row r="21" spans="4:48" x14ac:dyDescent="0.25">
      <c r="D21" s="3" t="s">
        <v>220</v>
      </c>
      <c r="E21" s="30" t="b">
        <f>_xlfn.XLOOKUP(File1,global_2[Source.Name],global_2[customer_supplied])</f>
        <v>0</v>
      </c>
      <c r="G21" s="3" t="s">
        <v>220</v>
      </c>
      <c r="H21" s="30" t="b">
        <f>_xlfn.XLOOKUP(File2,global_2[Source.Name],global_2[customer_supplied])</f>
        <v>1</v>
      </c>
      <c r="J21" s="3" t="s">
        <v>220</v>
      </c>
      <c r="K21" s="30" t="b">
        <f>_xlfn.XLOOKUP(File3,global_2[Source.Name],global_2[customer_supplied])</f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10"/>
    </row>
    <row r="22" spans="4:48" x14ac:dyDescent="0.25">
      <c r="D22" s="3" t="s">
        <v>232</v>
      </c>
      <c r="E22" s="31" t="str">
        <f>IF(E21="TRUE",(_xlfn.XLOOKUP(File1,global_2[Source.Name],global_2[customer_supplied_vc_name_or_ip])),(_xlfn.XLOOKUP(File1,global_2[Source.Name],global_2[customer_supplied_vc_name_or_ip]))&amp;((_xlfn.XLOOKUP(File1,global_2[Source.Name],global_2[vxrail_supplied_vc_name]))&amp;" ("&amp;(_xlfn.XLOOKUP(File1,global_2[Source.Name],global_2[vxrail_supplied_vc_ip]))&amp;")"))</f>
        <v>vcsa (192.168.1.5)</v>
      </c>
      <c r="G22" s="3" t="s">
        <v>232</v>
      </c>
      <c r="H22" s="31" t="str">
        <f>IF(H21="TRUE",(_xlfn.XLOOKUP(File2,global_2[Source.Name],global_2[customer_supplied_vc_name_or_ip])),(_xlfn.XLOOKUP(File2,global_2[Source.Name],global_2[customer_supplied_vc_name_or_ip]))&amp;((_xlfn.XLOOKUP(File2,global_2[Source.Name],global_2[vxrail_supplied_vc_name]))&amp;" ("&amp;(_xlfn.XLOOKUP(File2,global_2[Source.Name],global_2[vxrail_supplied_vc_ip]))&amp;")"))</f>
        <v>192.168.1.151 ()</v>
      </c>
      <c r="J22" s="3" t="s">
        <v>232</v>
      </c>
      <c r="K22" s="31" t="str">
        <f>IF(K21="TRUE",(_xlfn.XLOOKUP(File3,global_2[Source.Name],global_2[customer_supplied_vc_name_or_ip])),(_xlfn.XLOOKUP(File3,global_2[Source.Name],global_2[customer_supplied_vc_name_or_ip]))&amp;((_xlfn.XLOOKUP(File3,global_2[Source.Name],global_2[vxrail_supplied_vc_name]))&amp;" ("&amp;(_xlfn.XLOOKUP(File3,global_2[Source.Name],global_2[vxrail_supplied_vc_ip]))&amp;")"))</f>
        <v>host (192.168.0.200)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10"/>
    </row>
    <row r="23" spans="4:48" x14ac:dyDescent="0.25">
      <c r="D23" s="3"/>
      <c r="E23" s="30"/>
      <c r="G23" s="3"/>
      <c r="H23" s="30"/>
      <c r="J23" s="3"/>
      <c r="K23" s="30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10"/>
    </row>
    <row r="24" spans="4:48" x14ac:dyDescent="0.25">
      <c r="D24" s="3" t="s">
        <v>226</v>
      </c>
      <c r="E24" s="30" t="str">
        <f>_xlfn.XLOOKUP(File1,global_2[Source.Name],global_2[cluster_management_gateway])</f>
        <v>192.168.1.1</v>
      </c>
      <c r="G24" s="3" t="s">
        <v>226</v>
      </c>
      <c r="H24" s="30" t="str">
        <f>_xlfn.XLOOKUP(File2,global_2[Source.Name],global_2[cluster_management_gateway])</f>
        <v>192.168.1.1</v>
      </c>
      <c r="J24" s="3" t="s">
        <v>226</v>
      </c>
      <c r="K24" s="30" t="str">
        <f>_xlfn.XLOOKUP(File3,global_2[Source.Name],global_2[cluster_management_gateway])</f>
        <v>192.168.0.1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10"/>
    </row>
    <row r="25" spans="4:48" x14ac:dyDescent="0.25">
      <c r="D25" s="3" t="s">
        <v>227</v>
      </c>
      <c r="E25" s="30" t="str">
        <f>_xlfn.XLOOKUP(File1,global_2[Source.Name],global_2[cluster_management_netmask])</f>
        <v>255.255.255.0</v>
      </c>
      <c r="G25" s="3" t="s">
        <v>227</v>
      </c>
      <c r="H25" s="30" t="str">
        <f>_xlfn.XLOOKUP(File2,global_2[Source.Name],global_2[cluster_management_netmask])</f>
        <v>255.255.255.0</v>
      </c>
      <c r="J25" s="3" t="s">
        <v>227</v>
      </c>
      <c r="K25" s="30" t="str">
        <f>_xlfn.XLOOKUP(File3,global_2[Source.Name],global_2[cluster_management_netmask])</f>
        <v>255.255.255.0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10"/>
    </row>
    <row r="26" spans="4:48" x14ac:dyDescent="0.25">
      <c r="D26" s="3" t="s">
        <v>228</v>
      </c>
      <c r="E26" s="30" t="str">
        <f>_xlfn.XLOOKUP(File1,global_2[Source.Name],global_2[cluster_vsan_netmask])</f>
        <v>255.255.255.0</v>
      </c>
      <c r="G26" s="3" t="s">
        <v>228</v>
      </c>
      <c r="H26" s="30" t="str">
        <f>_xlfn.XLOOKUP(File2,global_2[Source.Name],global_2[cluster_vsan_netmask])</f>
        <v>255.255.255.0</v>
      </c>
      <c r="J26" s="3" t="s">
        <v>228</v>
      </c>
      <c r="K26" s="30" t="str">
        <f>_xlfn.XLOOKUP(File3,global_2[Source.Name],global_2[cluster_vsan_netmask])</f>
        <v>255.255.255.0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10"/>
    </row>
    <row r="27" spans="4:48" x14ac:dyDescent="0.25">
      <c r="D27" s="3" t="s">
        <v>229</v>
      </c>
      <c r="E27" s="30" t="str">
        <f>_xlfn.XLOOKUP(File1,global_2[Source.Name],global_2[cluster_vsan_netmask])</f>
        <v>255.255.255.0</v>
      </c>
      <c r="G27" s="3" t="s">
        <v>229</v>
      </c>
      <c r="H27" s="30" t="str">
        <f>_xlfn.XLOOKUP(File2,global_2[Source.Name],global_2[cluster_vsan_netmask])</f>
        <v>255.255.255.0</v>
      </c>
      <c r="J27" s="3" t="s">
        <v>229</v>
      </c>
      <c r="K27" s="30" t="str">
        <f>_xlfn.XLOOKUP(File3,global_2[Source.Name],global_2[cluster_vsan_netmask])</f>
        <v>255.255.255.0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10"/>
    </row>
    <row r="28" spans="4:48" x14ac:dyDescent="0.25">
      <c r="D28" s="3" t="s">
        <v>418</v>
      </c>
      <c r="E28" s="30" t="str">
        <f>_xlfn.XLOOKUP(File1,global_2[Source.Name],global_2[network.sfs.configured])</f>
        <v>FALSE</v>
      </c>
      <c r="G28" s="3" t="s">
        <v>418</v>
      </c>
      <c r="H28" s="30" t="str">
        <f>_xlfn.XLOOKUP(File2,global_2[Source.Name],global_2[network.sfs.configured])</f>
        <v>FALSE</v>
      </c>
      <c r="J28" s="3" t="s">
        <v>418</v>
      </c>
      <c r="K28" s="30" t="str">
        <f>_xlfn.XLOOKUP(File3,global_2[Source.Name],global_2[network.sfs.configured])</f>
        <v>TRUE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10"/>
    </row>
    <row r="29" spans="4:48" x14ac:dyDescent="0.25">
      <c r="D29" s="3"/>
      <c r="E29" s="30"/>
      <c r="G29" s="3"/>
      <c r="H29" s="30"/>
      <c r="J29" s="3"/>
      <c r="K29" s="3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10"/>
    </row>
    <row r="30" spans="4:48" x14ac:dyDescent="0.25">
      <c r="D30" s="3" t="s">
        <v>183</v>
      </c>
      <c r="E30" s="30" t="str">
        <f>_xlfn.XLOOKUP(File1,global_2[Source.Name],global_2[vxrm hostname])</f>
        <v>vxrm</v>
      </c>
      <c r="G30" s="3" t="s">
        <v>183</v>
      </c>
      <c r="H30" s="30" t="str">
        <f>_xlfn.XLOOKUP(File2,global_2[Source.Name],global_2[vxrm hostname])</f>
        <v>vxrm</v>
      </c>
      <c r="J30" s="3" t="s">
        <v>183</v>
      </c>
      <c r="K30" s="30" t="str">
        <f>_xlfn.XLOOKUP(File3,global_2[Source.Name],global_2[vxrm hostname])</f>
        <v>vxrm-host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0"/>
    </row>
    <row r="31" spans="4:48" x14ac:dyDescent="0.25">
      <c r="D31" s="3" t="s">
        <v>184</v>
      </c>
      <c r="E31" s="30" t="str">
        <f>_xlfn.XLOOKUP(File1,global_2[Source.Name],global_2[vxrm ip])</f>
        <v>192.168.1.7</v>
      </c>
      <c r="G31" s="3" t="s">
        <v>184</v>
      </c>
      <c r="H31" s="30" t="str">
        <f>_xlfn.XLOOKUP(File2,global_2[Source.Name],global_2[vxrm ip])</f>
        <v>192.168.1.58</v>
      </c>
      <c r="J31" s="3" t="s">
        <v>184</v>
      </c>
      <c r="K31" s="30" t="str">
        <f>_xlfn.XLOOKUP(File3,global_2[Source.Name],global_2[vxrm ip])</f>
        <v>192.168.0.205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0"/>
    </row>
    <row r="32" spans="4:48" x14ac:dyDescent="0.25">
      <c r="D32" s="3"/>
      <c r="E32" s="30"/>
      <c r="G32" s="3"/>
      <c r="H32" s="30"/>
      <c r="J32" s="3"/>
      <c r="K32" s="30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10"/>
    </row>
    <row r="33" spans="4:48" x14ac:dyDescent="0.25">
      <c r="D33" s="3" t="s">
        <v>86</v>
      </c>
      <c r="E33" s="30" t="str">
        <f>_xlfn.XLOOKUP(File1,global_2[Source.Name],global_2[accounts.root.username])</f>
        <v>root</v>
      </c>
      <c r="G33" s="3" t="s">
        <v>86</v>
      </c>
      <c r="H33" s="30" t="str">
        <f>_xlfn.XLOOKUP(File2,global_2[Source.Name],global_2[accounts.root.username])</f>
        <v>root</v>
      </c>
      <c r="J33" s="3" t="s">
        <v>86</v>
      </c>
      <c r="K33" s="30" t="str">
        <f>_xlfn.XLOOKUP(File3,global_2[Source.Name],global_2[accounts.root.username])</f>
        <v>root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0"/>
    </row>
    <row r="34" spans="4:48" x14ac:dyDescent="0.25">
      <c r="D34" s="3" t="s">
        <v>384</v>
      </c>
      <c r="E34" s="30" t="str">
        <f>_xlfn.XLOOKUP(File1,global_2[Source.Name],global_2[accounts.service.username])</f>
        <v>mystic</v>
      </c>
      <c r="G34" s="3" t="s">
        <v>384</v>
      </c>
      <c r="H34" s="30" t="str">
        <f>_xlfn.XLOOKUP(File2,global_2[Source.Name],global_2[accounts.service.username])</f>
        <v>mystic</v>
      </c>
      <c r="J34" s="3" t="s">
        <v>384</v>
      </c>
      <c r="K34" s="30" t="str">
        <f>_xlfn.XLOOKUP(File3,global_2[Source.Name],global_2[accounts.service.username])</f>
        <v>mystic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0"/>
    </row>
    <row r="35" spans="4:48" x14ac:dyDescent="0.25">
      <c r="D35" s="3" t="s">
        <v>238</v>
      </c>
      <c r="E35" s="30" t="str">
        <f>_xlfn.XLOOKUP(File1,global_2[Source.Name],global_2[administrator.username])</f>
        <v>administrator@vsphere.local</v>
      </c>
      <c r="G35" s="3" t="s">
        <v>238</v>
      </c>
      <c r="H35" s="30" t="str">
        <f>_xlfn.XLOOKUP(File2,global_2[Source.Name],global_2[administrator.username])</f>
        <v>vcenteruser@vcadmin.com</v>
      </c>
      <c r="J35" s="3" t="s">
        <v>238</v>
      </c>
      <c r="K35" s="30" t="str">
        <f>_xlfn.XLOOKUP(File3,global_2[Source.Name],global_2[administrator.username])</f>
        <v>administrator@vsphere.local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10"/>
    </row>
    <row r="36" spans="4:48" x14ac:dyDescent="0.25">
      <c r="D36" s="3" t="s">
        <v>385</v>
      </c>
      <c r="E36" s="30" t="str">
        <f>_xlfn.XLOOKUP(File1,global_2[Source.Name],global_2[management.username])</f>
        <v>vcsamgr</v>
      </c>
      <c r="G36" s="3" t="s">
        <v>385</v>
      </c>
      <c r="H36" s="30" t="str">
        <f>_xlfn.XLOOKUP(File2,global_2[Source.Name],global_2[management.username])</f>
        <v>vcentermgr</v>
      </c>
      <c r="J36" s="3" t="s">
        <v>385</v>
      </c>
      <c r="K36" s="30" t="str">
        <f>_xlfn.XLOOKUP(File3,global_2[Source.Name],global_2[management.username])</f>
        <v>vcuser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10"/>
    </row>
    <row r="37" spans="4:48" ht="15" customHeight="1" x14ac:dyDescent="0.25">
      <c r="D37" s="3"/>
      <c r="E37" s="30"/>
      <c r="G37" s="3"/>
      <c r="H37" s="30"/>
      <c r="J37" s="3"/>
      <c r="K37" s="30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0"/>
    </row>
    <row r="38" spans="4:48" x14ac:dyDescent="0.25">
      <c r="D38" s="3" t="str">
        <f>IF(compare1[[#This Row],[Value]]=0,"","witness.gateway")</f>
        <v/>
      </c>
      <c r="E38" s="30">
        <f>_xlfn.XLOOKUP(File1,global_2[Source.Name],global_2[witness.gateway])</f>
        <v>0</v>
      </c>
      <c r="G38" s="3" t="str">
        <f>IF(compare2[[#This Row],[Value]]=0,"","witness.gateway")</f>
        <v>witness.gateway</v>
      </c>
      <c r="H38" s="30" t="str">
        <f>_xlfn.XLOOKUP(File2,global_2[Source.Name],global_2[witness.gateway])</f>
        <v>192.168.100.1</v>
      </c>
      <c r="J38" s="3" t="str">
        <f>IF(compare3[[#This Row],[Value]]=0,"","witness.gateway")</f>
        <v/>
      </c>
      <c r="K38" s="30">
        <f>_xlfn.XLOOKUP(File3,global_2[Source.Name],global_2[witness.gateway])</f>
        <v>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10"/>
    </row>
    <row r="39" spans="4:48" x14ac:dyDescent="0.25">
      <c r="D39" s="3" t="str">
        <f>IF(compare1[[#This Row],[Value]]=0,"","witness.management_ip")</f>
        <v/>
      </c>
      <c r="E39" s="30">
        <f>_xlfn.XLOOKUP(File1,global_2[Source.Name],global_2[witness.management_ip])</f>
        <v>0</v>
      </c>
      <c r="G39" s="3" t="str">
        <f>IF(compare2[[#This Row],[Value]]=0,"","witness.management_ip")</f>
        <v>witness.management_ip</v>
      </c>
      <c r="H39" s="30" t="str">
        <f>_xlfn.XLOOKUP(File2,global_2[Source.Name],global_2[witness.management_ip])</f>
        <v>192.168.100.3</v>
      </c>
      <c r="J39" s="3" t="str">
        <f>IF(compare3[[#This Row],[Value]]=0,"","witness.management_ip")</f>
        <v/>
      </c>
      <c r="K39" s="30">
        <f>_xlfn.XLOOKUP(File3,global_2[Source.Name],global_2[witness.management_ip])</f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10"/>
    </row>
    <row r="40" spans="4:48" x14ac:dyDescent="0.25">
      <c r="D40" s="3" t="str">
        <f>IF(compare1[[#This Row],[Value]]=0,"","witness.netmask")</f>
        <v/>
      </c>
      <c r="E40" s="30">
        <f>_xlfn.XLOOKUP(File1,global_2[Source.Name],global_2[witness.netmask])</f>
        <v>0</v>
      </c>
      <c r="G40" s="3" t="str">
        <f>IF(compare2[[#This Row],[Value]]=0,"","witness.netmask")</f>
        <v>witness.netmask</v>
      </c>
      <c r="H40" s="30" t="str">
        <f>_xlfn.XLOOKUP(File2,global_2[Source.Name],global_2[witness.netmask])</f>
        <v>255.255.255.0</v>
      </c>
      <c r="J40" s="3" t="str">
        <f>IF(compare3[[#This Row],[Value]]=0,"","witness.netmask")</f>
        <v/>
      </c>
      <c r="K40" s="30">
        <f>_xlfn.XLOOKUP(File3,global_2[Source.Name],global_2[witness.netmask])</f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10"/>
    </row>
    <row r="41" spans="4:48" x14ac:dyDescent="0.25">
      <c r="D41" s="3" t="str">
        <f>IF(compare1[[#This Row],[Value]]=0,"","witness.username")</f>
        <v/>
      </c>
      <c r="E41" s="30">
        <f>_xlfn.XLOOKUP(File1,global_2[Source.Name],global_2[witness.username])</f>
        <v>0</v>
      </c>
      <c r="G41" s="3" t="str">
        <f>IF(compare2[[#This Row],[Value]]=0,"","witness.username")</f>
        <v>witness.username</v>
      </c>
      <c r="H41" s="30" t="str">
        <f>_xlfn.XLOOKUP(File2,global_2[Source.Name],global_2[witness.username])</f>
        <v>witnessuser</v>
      </c>
      <c r="J41" s="3" t="str">
        <f>IF(compare3[[#This Row],[Value]]=0,"","witness.username")</f>
        <v/>
      </c>
      <c r="K41" s="30">
        <f>_xlfn.XLOOKUP(File3,global_2[Source.Name],global_2[witness.username])</f>
        <v>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10"/>
    </row>
    <row r="42" spans="4:48" x14ac:dyDescent="0.25">
      <c r="D42" s="3" t="str">
        <f>IF(compare1[[#This Row],[Value]]=0,"","witness.witness_ip")</f>
        <v/>
      </c>
      <c r="E42" s="30">
        <f>_xlfn.XLOOKUP(File1,global_2[Source.Name],global_2[witness.witness_ip])</f>
        <v>0</v>
      </c>
      <c r="G42" s="3" t="str">
        <f>IF(compare2[[#This Row],[Value]]=0,"","witness.witness_ip")</f>
        <v>witness.witness_ip</v>
      </c>
      <c r="H42" s="30" t="str">
        <f>_xlfn.XLOOKUP(File2,global_2[Source.Name],global_2[witness.witness_ip])</f>
        <v>192.168.100.4</v>
      </c>
      <c r="J42" s="3" t="str">
        <f>IF(compare3[[#This Row],[Value]]=0,"","witness.witness_ip")</f>
        <v/>
      </c>
      <c r="K42" s="30">
        <f>_xlfn.XLOOKUP(File3,global_2[Source.Name],global_2[witness.witness_ip])</f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10"/>
    </row>
    <row r="43" spans="4:48" x14ac:dyDescent="0.25">
      <c r="D43" s="3" t="str">
        <f>IF(compare1[[#This Row],[Value]]=0,"","cluster_witness_gateway")</f>
        <v/>
      </c>
      <c r="E43" s="30">
        <f>_xlfn.XLOOKUP(File1,global_2[Source.Name],global_2[cluster_witness_gateway])</f>
        <v>0</v>
      </c>
      <c r="G43" s="3" t="str">
        <f>IF(compare2[[#This Row],[Value]]=0,"","cluster_witness_gateway")</f>
        <v>cluster_witness_gateway</v>
      </c>
      <c r="H43" s="30" t="str">
        <f>_xlfn.XLOOKUP(File2,global_2[Source.Name],global_2[cluster_witness_gateway])</f>
        <v>192.168.100.1</v>
      </c>
      <c r="J43" s="3" t="str">
        <f>IF(compare3[[#This Row],[Value]]=0,"","cluster_witness_gateway")</f>
        <v/>
      </c>
      <c r="K43" s="30">
        <f>_xlfn.XLOOKUP(File3,global_2[Source.Name],global_2[cluster_witness_gateway])</f>
        <v>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10"/>
    </row>
    <row r="44" spans="4:48" x14ac:dyDescent="0.25">
      <c r="D44" s="3" t="str">
        <f>IF(compare1[[#This Row],[Value]]=0,"","cluster_witness_netmask")</f>
        <v/>
      </c>
      <c r="E44" s="30">
        <f>_xlfn.XLOOKUP(File1,global_2[Source.Name],global_2[cluster_witness_netmask])</f>
        <v>0</v>
      </c>
      <c r="G44" s="3" t="str">
        <f>IF(compare2[[#This Row],[Value]]=0,"","cluster_witness_netmask")</f>
        <v>cluster_witness_netmask</v>
      </c>
      <c r="H44" s="30" t="str">
        <f>_xlfn.XLOOKUP(File2,global_2[Source.Name],global_2[cluster_witness_netmask])</f>
        <v>255.255.255.0</v>
      </c>
      <c r="J44" s="3" t="str">
        <f>IF(compare3[[#This Row],[Value]]=0,"","cluster_witness_netmask")</f>
        <v/>
      </c>
      <c r="K44" s="30">
        <f>_xlfn.XLOOKUP(File3,global_2[Source.Name],global_2[cluster_witness_netmask])</f>
        <v>0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10"/>
    </row>
    <row r="45" spans="4:48" x14ac:dyDescent="0.25"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10"/>
    </row>
    <row r="46" spans="4:48" x14ac:dyDescent="0.25">
      <c r="D46" s="34" t="str">
        <f>"HOST      MGMT IP          VSAN IP            VMOTION IP"</f>
        <v>HOST      MGMT IP          VSAN IP            VMOTION IP</v>
      </c>
      <c r="E46" s="35"/>
      <c r="G46" s="36" t="str">
        <f>D46</f>
        <v>HOST      MGMT IP          VSAN IP            VMOTION IP</v>
      </c>
      <c r="H46" s="37"/>
      <c r="J46" s="38" t="str">
        <f>D46</f>
        <v>HOST      MGMT IP          VSAN IP            VMOTION IP</v>
      </c>
      <c r="K46" s="39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10"/>
    </row>
    <row r="47" spans="4:48" ht="15" customHeight="1" x14ac:dyDescent="0.25">
      <c r="D47" s="18" t="str">
        <f>_xlfn.XLOOKUP(File1,quickview[Source.Name],quickview[Host Quickvew])</f>
        <v>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E47" s="16"/>
      <c r="G47" s="18" t="str">
        <f>_xlfn.XLOOKUP(File2,quickview[Source.Name],quickview[Host Quickvew])</f>
        <v>host-01	192.168.1.50	192.168.80.1	192.168.90.1
host-02	192.168.1.51	192.168.80.2	192.168.90.2</v>
      </c>
      <c r="H47" s="16"/>
      <c r="J47" s="18" t="str">
        <f>_xlfn.XLOOKUP(File3,quickview[Source.Name],quickview[Host Quickvew])</f>
        <v>esxi-01	192.168.0.100	192.168.0.40	192.168.0.80
esxi-02	192.168.0.101	192.168.0.41	192.168.0.81
esxi-03	192.168.0.102	192.168.0.42	192.168.0.82</v>
      </c>
      <c r="K47" s="1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10"/>
    </row>
    <row r="48" spans="4:48" x14ac:dyDescent="0.25">
      <c r="D48" s="17"/>
      <c r="E48" s="1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10"/>
    </row>
    <row r="49" spans="4:48" x14ac:dyDescent="0.25">
      <c r="D49" s="17"/>
      <c r="E49" s="1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10"/>
    </row>
    <row r="50" spans="4:48" x14ac:dyDescent="0.25">
      <c r="D50" s="17"/>
      <c r="E50" s="1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10"/>
    </row>
    <row r="51" spans="4:48" x14ac:dyDescent="0.25">
      <c r="D51" s="17"/>
      <c r="E51" s="1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10"/>
    </row>
    <row r="52" spans="4:48" x14ac:dyDescent="0.25">
      <c r="D52" s="17"/>
      <c r="E52" s="1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10"/>
    </row>
    <row r="53" spans="4:48" x14ac:dyDescent="0.25">
      <c r="D53" s="17"/>
      <c r="E53" s="1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10"/>
    </row>
    <row r="54" spans="4:48" x14ac:dyDescent="0.25">
      <c r="D54" s="17"/>
      <c r="E54" s="1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10"/>
    </row>
    <row r="55" spans="4:48" x14ac:dyDescent="0.25">
      <c r="D55" s="17"/>
      <c r="E55" s="1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10"/>
    </row>
    <row r="56" spans="4:48" x14ac:dyDescent="0.25">
      <c r="D56" s="17"/>
      <c r="E56" s="1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10"/>
    </row>
    <row r="57" spans="4:48" x14ac:dyDescent="0.25">
      <c r="D57" s="17"/>
      <c r="E57" s="1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10"/>
    </row>
    <row r="58" spans="4:48" x14ac:dyDescent="0.25"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10"/>
    </row>
    <row r="59" spans="4:48" x14ac:dyDescent="0.25">
      <c r="D59" s="34" t="str">
        <f>"VLAN ID           VLAN NAME              PNIC"</f>
        <v>VLAN ID           VLAN NAME              PNIC</v>
      </c>
      <c r="E59" s="35"/>
      <c r="G59" s="36" t="str">
        <f>D59</f>
        <v>VLAN ID           VLAN NAME              PNIC</v>
      </c>
      <c r="H59" s="37"/>
      <c r="J59" s="38" t="str">
        <f>D59</f>
        <v>VLAN ID           VLAN NAME              PNIC</v>
      </c>
      <c r="K59" s="39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10"/>
    </row>
    <row r="60" spans="4:48" x14ac:dyDescent="0.25">
      <c r="D60" s="18" t="str">
        <f>_xlfn.XLOOKUP(File1,quickview[Source.Name],quickview[VLAN Quickview])</f>
        <v>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E60" s="16"/>
      <c r="G60" s="18" t="str">
        <f>_xlfn.XLOOKUP(File2,quickview[Source.Name],quickview[VLAN Quickview])</f>
        <v>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H60" s="16"/>
      <c r="J60" s="18" t="str">
        <f>_xlfn.XLOOKUP(File3,quickview[Source.Name],quickview[VLAN Quickview])</f>
        <v xml:space="preserve">1	(MANAGEMENT)	
1	(VSAN)	
1	(VMOTION)	</v>
      </c>
      <c r="K60" s="1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10"/>
    </row>
    <row r="61" spans="4:48" x14ac:dyDescent="0.25"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10"/>
    </row>
    <row r="62" spans="4:48" x14ac:dyDescent="0.25"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10"/>
    </row>
    <row r="63" spans="4:48" x14ac:dyDescent="0.25"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10"/>
    </row>
    <row r="64" spans="4:48" x14ac:dyDescent="0.25"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0"/>
    </row>
    <row r="65" spans="19:48" x14ac:dyDescent="0.25"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10"/>
    </row>
    <row r="66" spans="19:48" x14ac:dyDescent="0.25"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0"/>
    </row>
    <row r="67" spans="19:4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0"/>
    </row>
    <row r="68" spans="19:48" x14ac:dyDescent="0.25"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0"/>
    </row>
    <row r="69" spans="19:48" x14ac:dyDescent="0.25"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0"/>
    </row>
    <row r="70" spans="19:48" x14ac:dyDescent="0.25"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10"/>
    </row>
    <row r="71" spans="19:48" x14ac:dyDescent="0.25"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10"/>
    </row>
    <row r="72" spans="19:48" x14ac:dyDescent="0.25"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10"/>
    </row>
    <row r="73" spans="19:48" x14ac:dyDescent="0.25"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0"/>
    </row>
    <row r="74" spans="19:48" x14ac:dyDescent="0.25"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0"/>
    </row>
    <row r="75" spans="19:48" x14ac:dyDescent="0.25"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10"/>
    </row>
    <row r="76" spans="19:48" x14ac:dyDescent="0.25"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10"/>
    </row>
    <row r="77" spans="19:48" x14ac:dyDescent="0.25"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10"/>
    </row>
    <row r="78" spans="19:48" x14ac:dyDescent="0.25"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10"/>
    </row>
    <row r="79" spans="19:48" x14ac:dyDescent="0.25"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10"/>
    </row>
    <row r="80" spans="19:48" x14ac:dyDescent="0.25"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0"/>
    </row>
    <row r="81" spans="19:48" x14ac:dyDescent="0.25"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10"/>
    </row>
    <row r="82" spans="19:48" x14ac:dyDescent="0.25"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10"/>
    </row>
    <row r="83" spans="19:48" x14ac:dyDescent="0.25"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10"/>
    </row>
    <row r="84" spans="19:48" x14ac:dyDescent="0.25"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10"/>
    </row>
    <row r="85" spans="19:48" x14ac:dyDescent="0.25"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10"/>
    </row>
    <row r="86" spans="19:48" x14ac:dyDescent="0.25"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10"/>
    </row>
    <row r="87" spans="19:48" x14ac:dyDescent="0.25"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10"/>
    </row>
    <row r="88" spans="19:48" x14ac:dyDescent="0.25"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4"/>
    </row>
  </sheetData>
  <mergeCells count="6">
    <mergeCell ref="D46:E46"/>
    <mergeCell ref="D59:E59"/>
    <mergeCell ref="G46:H46"/>
    <mergeCell ref="J46:K46"/>
    <mergeCell ref="G59:H59"/>
    <mergeCell ref="J59:K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9" r:id="rId4" name="ComboBox3">
          <controlPr defaultSize="0" autoLine="0" autoPict="0" linkedCell="K1" listFillRange="B5:B2225" r:id="rId5">
            <anchor moveWithCells="1">
              <from>
                <xdr:col>9</xdr:col>
                <xdr:colOff>0</xdr:colOff>
                <xdr:row>0</xdr:row>
                <xdr:rowOff>152400</xdr:rowOff>
              </from>
              <to>
                <xdr:col>10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4" name="ComboBox3"/>
      </mc:Fallback>
    </mc:AlternateContent>
    <mc:AlternateContent xmlns:mc="http://schemas.openxmlformats.org/markup-compatibility/2006">
      <mc:Choice Requires="x14">
        <control shapeId="9218" r:id="rId6" name="ComboBox2">
          <controlPr defaultSize="0" autoLine="0" autoPict="0" linkedCell="H1" listFillRange="B5:B2225" r:id="rId7">
            <anchor moveWithCells="1">
              <from>
                <xdr:col>6</xdr:col>
                <xdr:colOff>0</xdr:colOff>
                <xdr:row>0</xdr:row>
                <xdr:rowOff>152400</xdr:rowOff>
              </from>
              <to>
                <xdr:col>7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6" name="ComboBox2"/>
      </mc:Fallback>
    </mc:AlternateContent>
    <mc:AlternateContent xmlns:mc="http://schemas.openxmlformats.org/markup-compatibility/2006">
      <mc:Choice Requires="x14">
        <control shapeId="9217" r:id="rId8" name="ComboBox1">
          <controlPr defaultSize="0" autoLine="0" autoPict="0" linkedCell="D1" listFillRange="B5:B2225" r:id="rId9">
            <anchor moveWithCells="1">
              <from>
                <xdr:col>3</xdr:col>
                <xdr:colOff>0</xdr:colOff>
                <xdr:row>0</xdr:row>
                <xdr:rowOff>152400</xdr:rowOff>
              </from>
              <to>
                <xdr:col>4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8" name="ComboBox1"/>
      </mc:Fallback>
    </mc:AlternateContent>
    <mc:AlternateContent xmlns:mc="http://schemas.openxmlformats.org/markup-compatibility/2006">
      <mc:Choice Requires="x14">
        <control shapeId="9220" r:id="rId10" name="TextBox1">
          <controlPr defaultSize="0" autoLine="0" linkedCell="D47" r:id="rId11">
            <anchor moveWithCells="1">
              <from>
                <xdr:col>3</xdr:col>
                <xdr:colOff>0</xdr:colOff>
                <xdr:row>46</xdr:row>
                <xdr:rowOff>19050</xdr:rowOff>
              </from>
              <to>
                <xdr:col>5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0" name="TextBox1"/>
      </mc:Fallback>
    </mc:AlternateContent>
    <mc:AlternateContent xmlns:mc="http://schemas.openxmlformats.org/markup-compatibility/2006">
      <mc:Choice Requires="x14">
        <control shapeId="9221" r:id="rId12" name="TextBox2">
          <controlPr defaultSize="0" autoLine="0" linkedCell="D60" r:id="rId13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5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2" name="TextBox2"/>
      </mc:Fallback>
    </mc:AlternateContent>
    <mc:AlternateContent xmlns:mc="http://schemas.openxmlformats.org/markup-compatibility/2006">
      <mc:Choice Requires="x14">
        <control shapeId="9222" r:id="rId14" name="TextBox3">
          <controlPr defaultSize="0" autoLine="0" linkedCell="G60" r:id="rId15">
            <anchor moveWithCells="1">
              <from>
                <xdr:col>6</xdr:col>
                <xdr:colOff>0</xdr:colOff>
                <xdr:row>59</xdr:row>
                <xdr:rowOff>19050</xdr:rowOff>
              </from>
              <to>
                <xdr:col>8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4" name="TextBox3"/>
      </mc:Fallback>
    </mc:AlternateContent>
    <mc:AlternateContent xmlns:mc="http://schemas.openxmlformats.org/markup-compatibility/2006">
      <mc:Choice Requires="x14">
        <control shapeId="9223" r:id="rId16" name="TextBox4">
          <controlPr defaultSize="0" autoLine="0" linkedCell="J60" r:id="rId17">
            <anchor moveWithCells="1">
              <from>
                <xdr:col>9</xdr:col>
                <xdr:colOff>9525</xdr:colOff>
                <xdr:row>59</xdr:row>
                <xdr:rowOff>19050</xdr:rowOff>
              </from>
              <to>
                <xdr:col>11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6" name="TextBox4"/>
      </mc:Fallback>
    </mc:AlternateContent>
    <mc:AlternateContent xmlns:mc="http://schemas.openxmlformats.org/markup-compatibility/2006">
      <mc:Choice Requires="x14">
        <control shapeId="9224" r:id="rId18" name="TextBox5">
          <controlPr defaultSize="0" autoLine="0" linkedCell="G47" r:id="rId19">
            <anchor moveWithCells="1">
              <from>
                <xdr:col>6</xdr:col>
                <xdr:colOff>0</xdr:colOff>
                <xdr:row>46</xdr:row>
                <xdr:rowOff>19050</xdr:rowOff>
              </from>
              <to>
                <xdr:col>8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18" name="TextBox5"/>
      </mc:Fallback>
    </mc:AlternateContent>
    <mc:AlternateContent xmlns:mc="http://schemas.openxmlformats.org/markup-compatibility/2006">
      <mc:Choice Requires="x14">
        <control shapeId="9225" r:id="rId20" name="TextBox6">
          <controlPr defaultSize="0" autoLine="0" linkedCell="J47" r:id="rId21">
            <anchor moveWithCells="1">
              <from>
                <xdr:col>9</xdr:col>
                <xdr:colOff>9525</xdr:colOff>
                <xdr:row>46</xdr:row>
                <xdr:rowOff>19050</xdr:rowOff>
              </from>
              <to>
                <xdr:col>11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20" name="TextBox6"/>
      </mc:Fallback>
    </mc:AlternateContent>
    <mc:AlternateContent xmlns:mc="http://schemas.openxmlformats.org/markup-compatibility/2006">
      <mc:Choice Requires="x14">
        <control shapeId="9226" r:id="rId22" name="TextBox7">
          <controlPr defaultSize="0" autoLine="0" autoPict="0" altText="Keyword search" linkedCell="B2" r:id="rId23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4953000</xdr:colOff>
                <xdr:row>2</xdr:row>
                <xdr:rowOff>85725</xdr:rowOff>
              </to>
            </anchor>
          </controlPr>
        </control>
      </mc:Choice>
      <mc:Fallback>
        <control shapeId="9226" r:id="rId22" name="TextBox7"/>
      </mc:Fallback>
    </mc:AlternateContent>
  </controls>
  <tableParts count="3">
    <tablePart r:id="rId24"/>
    <tablePart r:id="rId25"/>
    <tablePart r:id="rId2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363</v>
      </c>
    </row>
    <row r="5" spans="1:1" x14ac:dyDescent="0.25">
      <c r="A5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2021-09-01T02:14:40Z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