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https://cleansheet5.sharepoint.com/sites/SalesFunnel/Shared Documents/"/>
    </mc:Choice>
  </mc:AlternateContent>
  <xr:revisionPtr revIDLastSave="94" documentId="8_{21563C38-2F53-472C-BDDE-749BC5A6B610}" xr6:coauthVersionLast="47" xr6:coauthVersionMax="47" xr10:uidLastSave="{A61E66E4-7FAE-41CD-8E7D-D732220C34A5}"/>
  <bookViews>
    <workbookView xWindow="19090" yWindow="-110" windowWidth="38620" windowHeight="21100" xr2:uid="{CDF61347-1E32-4F62-9AD6-B33051915A35}"/>
  </bookViews>
  <sheets>
    <sheet name="Pipeline" sheetId="4" r:id="rId1"/>
    <sheet name="Customers" sheetId="2" r:id="rId2"/>
    <sheet name="Settings" sheetId="6" r:id="rId3"/>
    <sheet name="graphics" sheetId="5" state="hidden" r:id="rId4"/>
  </sheets>
  <definedNames>
    <definedName name="_xlchart.v2.0" hidden="1">graphics!$A$11:$A$16</definedName>
    <definedName name="_xlchart.v2.1" hidden="1">graphics!$C$11:$C$16</definedName>
    <definedName name="calendarType">Pipeline!$B$2</definedName>
    <definedName name="custList">Settings!#REF!</definedName>
    <definedName name="dateRange">Pipeline!$D$2</definedName>
    <definedName name="ExternalData_1" localSheetId="1" hidden="1">'Customers'!$A$1:$G$31</definedName>
    <definedName name="fqStart">Settings!$B$1</definedName>
    <definedName name="oppList">Settings!#REF!</definedName>
    <definedName name="pipelineName">Settings!$B$3</definedName>
    <definedName name="pipelineType">Pipeline!$B$3</definedName>
    <definedName name="probabilityThreshold">Settings!$B$2</definedName>
    <definedName name="siteUrl">Settings!#REF!</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4" l="1"/>
  <c r="F2" i="6"/>
  <c r="F3" i="6"/>
  <c r="F4" i="6"/>
  <c r="F5" i="6"/>
  <c r="F6" i="6"/>
  <c r="F7" i="6"/>
  <c r="Q2" i="5" a="1"/>
  <c r="Q2" i="5"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N8" i="4"/>
  <c r="N9" i="4"/>
  <c r="N10" i="4"/>
  <c r="N12" i="4"/>
  <c r="N11"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M8" i="4"/>
  <c r="M9" i="4"/>
  <c r="M10" i="4"/>
  <c r="M12" i="4"/>
  <c r="M11"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L8" i="4"/>
  <c r="L9" i="4"/>
  <c r="L10" i="4"/>
  <c r="L12" i="4"/>
  <c r="L11"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AH1" i="5" l="1" a="1"/>
  <c r="AH1" i="5" s="1"/>
  <c r="AH2" i="5" s="1"/>
  <c r="R1" i="5" a="1"/>
  <c r="R1" i="5" s="1"/>
  <c r="K14" i="4"/>
  <c r="AM2" i="5" l="1"/>
  <c r="AK2" i="5"/>
  <c r="AJ2" i="5"/>
  <c r="O8" i="4"/>
  <c r="O9" i="4"/>
  <c r="O10" i="4"/>
  <c r="O12" i="4"/>
  <c r="O11"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P37" i="4"/>
  <c r="P21" i="4"/>
  <c r="P29" i="4"/>
  <c r="P28" i="4"/>
  <c r="P14" i="4"/>
  <c r="P17" i="4"/>
  <c r="P24" i="4"/>
  <c r="P36" i="4"/>
  <c r="P19" i="4"/>
  <c r="P42" i="4"/>
  <c r="P32" i="4"/>
  <c r="P35" i="4"/>
  <c r="P10" i="4"/>
  <c r="P13" i="4"/>
  <c r="AL3" i="5" s="1"/>
  <c r="P20" i="4"/>
  <c r="P30" i="4"/>
  <c r="P23" i="4"/>
  <c r="P41" i="4"/>
  <c r="P22" i="4"/>
  <c r="P27" i="4"/>
  <c r="P11" i="4"/>
  <c r="P8" i="4"/>
  <c r="AM3" i="5" s="1"/>
  <c r="P16" i="4"/>
  <c r="P25" i="4"/>
  <c r="AK3" i="5" s="1"/>
  <c r="P26" i="4"/>
  <c r="P31" i="4"/>
  <c r="P34" i="4"/>
  <c r="P33" i="4"/>
  <c r="P12" i="4"/>
  <c r="P39" i="4"/>
  <c r="P38" i="4"/>
  <c r="AI2" i="5" s="1"/>
  <c r="P18" i="4"/>
  <c r="AL2" i="5" s="1"/>
  <c r="P40" i="4"/>
  <c r="P43" i="4"/>
  <c r="P9" i="4"/>
  <c r="P15" i="4"/>
  <c r="AM4" i="5" l="1"/>
  <c r="AK4" i="5"/>
  <c r="AL4" i="5"/>
  <c r="AJ3" i="5"/>
  <c r="AI3" i="5"/>
  <c r="AJ4" i="5"/>
  <c r="AI4" i="5"/>
  <c r="AH3" i="5"/>
  <c r="AH4" i="5"/>
  <c r="I1" i="5" a="1"/>
  <c r="C2" i="5"/>
  <c r="B11" i="5" a="1"/>
  <c r="E2" i="5"/>
  <c r="B2" i="5"/>
  <c r="D2" i="4"/>
  <c r="I1" i="5" l="1"/>
  <c r="L4" i="5"/>
  <c r="N3" i="5"/>
  <c r="J3" i="5"/>
  <c r="L2" i="5"/>
  <c r="K3" i="5"/>
  <c r="K4" i="5"/>
  <c r="M3" i="5"/>
  <c r="M2" i="5"/>
  <c r="M4" i="5"/>
  <c r="N4" i="5"/>
  <c r="J4" i="5"/>
  <c r="L3" i="5"/>
  <c r="J2" i="5"/>
  <c r="N2" i="5"/>
  <c r="K2" i="5"/>
  <c r="D14" i="5"/>
  <c r="D13" i="5"/>
  <c r="D16" i="5"/>
  <c r="D12" i="5"/>
  <c r="D15" i="5"/>
  <c r="W7" i="5"/>
  <c r="S7" i="5"/>
  <c r="U6" i="5"/>
  <c r="W5" i="5"/>
  <c r="S5" i="5"/>
  <c r="U4" i="5"/>
  <c r="W3" i="5"/>
  <c r="S3" i="5"/>
  <c r="U2" i="5"/>
  <c r="V7" i="5"/>
  <c r="T6" i="5"/>
  <c r="V5" i="5"/>
  <c r="T4" i="5"/>
  <c r="V3" i="5"/>
  <c r="T2" i="5"/>
  <c r="V6" i="5"/>
  <c r="T5" i="5"/>
  <c r="U7" i="5"/>
  <c r="W6" i="5"/>
  <c r="S6" i="5"/>
  <c r="U5" i="5"/>
  <c r="W4" i="5"/>
  <c r="S4" i="5"/>
  <c r="U3" i="5"/>
  <c r="W2" i="5"/>
  <c r="S2" i="5"/>
  <c r="T7" i="5"/>
  <c r="V4" i="5"/>
  <c r="T3" i="5"/>
  <c r="V2" i="5"/>
  <c r="D2" i="5"/>
  <c r="B11" i="5"/>
  <c r="C13" i="5"/>
  <c r="C16" i="5"/>
  <c r="C12" i="5"/>
  <c r="C15" i="5"/>
  <c r="C14" i="5"/>
  <c r="C11" i="5" l="1"/>
  <c r="D11" i="5"/>
  <c r="I2" i="5"/>
  <c r="I3" i="5"/>
  <c r="I4" i="5"/>
  <c r="R7" i="5"/>
  <c r="R5" i="5"/>
  <c r="R3" i="5"/>
  <c r="R4" i="5"/>
  <c r="R2" i="5"/>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tc={9A4746C8-FC47-4749-9526-75E3D70D66DA}</author>
  </authors>
  <commentList>
    <comment ref="K14" authorId="0" shapeId="0" xr:uid="{9A4746C8-FC47-4749-9526-75E3D70D66DA}">
      <text>
        <t>[Threaded comment]
Your version of Excel allows you to read this threaded comment; however, any edits to it will get removed if the file is opened in a newer version of Excel. Learn more: https://go.microsoft.com/fwlink/?linkid=870924
Comment:
    This is a comment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<sst xmlns="http://schemas.openxmlformats.org/spreadsheetml/2006/main" count="377" uniqueCount="238">
  <si>
    <t>Title</t>
  </si>
  <si>
    <t>PrimaryContact</t>
  </si>
  <si>
    <t>PrimaryContactTitle</t>
  </si>
  <si>
    <t>AlternateContact</t>
  </si>
  <si>
    <t>AlternateContactTitle</t>
  </si>
  <si>
    <t>AlternateContact2</t>
  </si>
  <si>
    <t>AlternateContact2Title</t>
  </si>
  <si>
    <t>CryoCell Solutions</t>
  </si>
  <si>
    <t>Dr. Sarah Chen</t>
  </si>
  <si>
    <t>Chief Scientific Officer</t>
  </si>
  <si>
    <t>Marcus Rodriguez</t>
  </si>
  <si>
    <t>VP of Operations</t>
  </si>
  <si>
    <t>SolarMax Innovations</t>
  </si>
  <si>
    <t>David Thompson</t>
  </si>
  <si>
    <t>CEO</t>
  </si>
  <si>
    <t>Elena Vasquez</t>
  </si>
  <si>
    <t>VP of Engineering</t>
  </si>
  <si>
    <t>Michael Park</t>
  </si>
  <si>
    <t>Business Development Manager</t>
  </si>
  <si>
    <t>MicroAssembly Systems</t>
  </si>
  <si>
    <t>Dr. Raj Patel</t>
  </si>
  <si>
    <t>CTO</t>
  </si>
  <si>
    <t>Amanda Foster</t>
  </si>
  <si>
    <t>Director of Manufacturing</t>
  </si>
  <si>
    <t>Kevin Wu</t>
  </si>
  <si>
    <t>Quality Assurance Manager</t>
  </si>
  <si>
    <t>LanguageTech Corp</t>
  </si>
  <si>
    <t>Lisa Anderson</t>
  </si>
  <si>
    <t>Chief Product Officer</t>
  </si>
  <si>
    <t>Carlos Mendez</t>
  </si>
  <si>
    <t>VP of Research</t>
  </si>
  <si>
    <t>Sophie Turner</t>
  </si>
  <si>
    <t>Marketing Director</t>
  </si>
  <si>
    <t>CyberSecure Systems</t>
  </si>
  <si>
    <t>Robert Johnson</t>
  </si>
  <si>
    <t>Chief Security Officer</t>
  </si>
  <si>
    <t>Maria Gonzalez</t>
  </si>
  <si>
    <t>VP of Client Services</t>
  </si>
  <si>
    <t>Alex Chen</t>
  </si>
  <si>
    <t>Technical Lead</t>
  </si>
  <si>
    <t>Precision3D Technologies</t>
  </si>
  <si>
    <t>Dr. Michelle Wong</t>
  </si>
  <si>
    <t>Founder &amp; CEO</t>
  </si>
  <si>
    <t>James Harrison</t>
  </si>
  <si>
    <t>VP of Sales</t>
  </si>
  <si>
    <t>Rachel Kim</t>
  </si>
  <si>
    <t>Operations Manager</t>
  </si>
  <si>
    <t>PredictiveHealth AI</t>
  </si>
  <si>
    <t>Dr. Benjamin Carter</t>
  </si>
  <si>
    <t>Chief Medical Officer</t>
  </si>
  <si>
    <t>QuantumSensors Inc</t>
  </si>
  <si>
    <t>Dr. Alan Mitchell</t>
  </si>
  <si>
    <t>Chief Technology Officer</t>
  </si>
  <si>
    <t>Susan Davis</t>
  </si>
  <si>
    <t>VP of Business Development</t>
  </si>
  <si>
    <t>NanoMaterials Unlimited</t>
  </si>
  <si>
    <t>Dr. Nina Kowalski</t>
  </si>
  <si>
    <t>Chief Research Officer</t>
  </si>
  <si>
    <t>Frank Miller</t>
  </si>
  <si>
    <t>VP of Manufacturing</t>
  </si>
  <si>
    <t>CarbonCapture Solutions</t>
  </si>
  <si>
    <t>Eric Peterson</t>
  </si>
  <si>
    <t>Isabella Rossi</t>
  </si>
  <si>
    <t>VP of Environmental Affairs</t>
  </si>
  <si>
    <t>Jake Thompson</t>
  </si>
  <si>
    <t>Project Manager</t>
  </si>
  <si>
    <t>LaserTech Precision</t>
  </si>
  <si>
    <t>Dr. Mark Stevens</t>
  </si>
  <si>
    <t>Catherine Lee</t>
  </si>
  <si>
    <t>Brian Kim</t>
  </si>
  <si>
    <t>Production Manager</t>
  </si>
  <si>
    <t>SpaceTech Dynamics</t>
  </si>
  <si>
    <t>Jennifer Walsh</t>
  </si>
  <si>
    <t>Chief Executive Officer</t>
  </si>
  <si>
    <t>Antonio Garcia</t>
  </si>
  <si>
    <t>NeuralPath Therapeutics</t>
  </si>
  <si>
    <t>Dr. Rebecca Foster</t>
  </si>
  <si>
    <t>Steven Liu</t>
  </si>
  <si>
    <t>VP of Clinical Affairs</t>
  </si>
  <si>
    <t>Monica Davis</t>
  </si>
  <si>
    <t>Regulatory Director</t>
  </si>
  <si>
    <t>RegeneraTech Industries</t>
  </si>
  <si>
    <t>Dr. Christopher Young</t>
  </si>
  <si>
    <t>Founder &amp; CTO</t>
  </si>
  <si>
    <t>Patricia Brown</t>
  </si>
  <si>
    <t>Henry Wang</t>
  </si>
  <si>
    <t>R&amp;D Manager</t>
  </si>
  <si>
    <t>WindFlow Dynamics</t>
  </si>
  <si>
    <t>Matthew Clark</t>
  </si>
  <si>
    <t>Samantha Miller</t>
  </si>
  <si>
    <t>FlexMaterials Inc</t>
  </si>
  <si>
    <t>Dr. Victoria Hughes</t>
  </si>
  <si>
    <t>Chief Materials Officer</t>
  </si>
  <si>
    <t>Ryan Anderson</t>
  </si>
  <si>
    <t>NeuroInterface Technologies</t>
  </si>
  <si>
    <t>Dr. Andrew Martinez</t>
  </si>
  <si>
    <t>Faculty Consulting</t>
  </si>
  <si>
    <t>Dr. Elizabeth Turner</t>
  </si>
  <si>
    <t>Managing Director</t>
  </si>
  <si>
    <t>Jonathan White</t>
  </si>
  <si>
    <t>Senior Partner</t>
  </si>
  <si>
    <t>RoboVision Technologies</t>
  </si>
  <si>
    <t>Peter Chang</t>
  </si>
  <si>
    <t>Sarah Williams</t>
  </si>
  <si>
    <t>SmartFactory Solutions</t>
  </si>
  <si>
    <t>Linda Rodriguez</t>
  </si>
  <si>
    <t>Chief Operations Officer</t>
  </si>
  <si>
    <t>Adam Johnson</t>
  </si>
  <si>
    <t>VP of Technology</t>
  </si>
  <si>
    <t>FinanceML Solutions</t>
  </si>
  <si>
    <t>Dr. Richard Davis</t>
  </si>
  <si>
    <t>Chief Data Officer</t>
  </si>
  <si>
    <t>FusionTech Energy</t>
  </si>
  <si>
    <t>Dr. Michael Robinson</t>
  </si>
  <si>
    <t>EcoMaterials Corp</t>
  </si>
  <si>
    <t>Sandra Lewis</t>
  </si>
  <si>
    <t>Philip Wong</t>
  </si>
  <si>
    <t>VP of Sustainability</t>
  </si>
  <si>
    <t>NeuralNet Dynamics</t>
  </si>
  <si>
    <t>Dr. Joseph Wilson</t>
  </si>
  <si>
    <t>Chief AI Officer</t>
  </si>
  <si>
    <t>Lisa Garcia</t>
  </si>
  <si>
    <t>BioElectronics Systems</t>
  </si>
  <si>
    <t>Dr. Mary Anderson</t>
  </si>
  <si>
    <t>David Lee</t>
  </si>
  <si>
    <t>Rachel Martinez</t>
  </si>
  <si>
    <t>Regulatory Affairs</t>
  </si>
  <si>
    <t>BioSynth Dynamics</t>
  </si>
  <si>
    <t>Dr. Thomas Taylor</t>
  </si>
  <si>
    <t>Amanda Rodriguez</t>
  </si>
  <si>
    <t>Quantum Dynamics Labs</t>
  </si>
  <si>
    <t>Dr. Susan Miller</t>
  </si>
  <si>
    <t>Chief Quantum Officer</t>
  </si>
  <si>
    <t>Charles Johnson</t>
  </si>
  <si>
    <t>HydrogenFuel Systems</t>
  </si>
  <si>
    <t>William Brown</t>
  </si>
  <si>
    <t>Maria Lopez</t>
  </si>
  <si>
    <t>DataFlow Analytics</t>
  </si>
  <si>
    <t>Dr. Jennifer Davis</t>
  </si>
  <si>
    <t>Chief Analytics Officer</t>
  </si>
  <si>
    <t>Robert Zhang</t>
  </si>
  <si>
    <t>AugmentedReality Labs</t>
  </si>
  <si>
    <t>Dr. Kevin Martinez</t>
  </si>
  <si>
    <t>Chief Innovation Officer</t>
  </si>
  <si>
    <t>Rachel Thompson</t>
  </si>
  <si>
    <t>VP of Product</t>
  </si>
  <si>
    <t>Michael Garcia</t>
  </si>
  <si>
    <t>Technical Director</t>
  </si>
  <si>
    <t>Stage</t>
  </si>
  <si>
    <t>Amount</t>
  </si>
  <si>
    <t>Close Date</t>
  </si>
  <si>
    <t>Biomaterial Research</t>
  </si>
  <si>
    <t>At Risk</t>
  </si>
  <si>
    <t>Negotiation</t>
  </si>
  <si>
    <t>Novel Cryoprotectants</t>
  </si>
  <si>
    <t>Active</t>
  </si>
  <si>
    <t>Lead Qualification</t>
  </si>
  <si>
    <t>Population Genomics</t>
  </si>
  <si>
    <t>Perovskite Solar Cell Research</t>
  </si>
  <si>
    <t>Micro-Scale Process Engineering</t>
  </si>
  <si>
    <t>Computational Linguistics</t>
  </si>
  <si>
    <t>Proposal</t>
  </si>
  <si>
    <t>ML Threat Detection</t>
  </si>
  <si>
    <t>3D Print Optimization</t>
  </si>
  <si>
    <t>Nurturing</t>
  </si>
  <si>
    <t>Medical Informatics</t>
  </si>
  <si>
    <t>Physics</t>
  </si>
  <si>
    <t>Closeout</t>
  </si>
  <si>
    <t>Nanomaterial Characterization</t>
  </si>
  <si>
    <t>CO2 Conversion Process</t>
  </si>
  <si>
    <t>Environmental Simulation</t>
  </si>
  <si>
    <t>Optical Biosensing</t>
  </si>
  <si>
    <t>Space Materials</t>
  </si>
  <si>
    <t>AI Protein Folding</t>
  </si>
  <si>
    <t>Fluid Dynamics</t>
  </si>
  <si>
    <t>Smart Materials</t>
  </si>
  <si>
    <t>Biomedical Engineering</t>
  </si>
  <si>
    <t>Computer Vision</t>
  </si>
  <si>
    <t>2D Material Synthesis</t>
  </si>
  <si>
    <t>Industrial Engineering</t>
  </si>
  <si>
    <t>Mathematical Modeling</t>
  </si>
  <si>
    <t>Plasma Physics</t>
  </si>
  <si>
    <t>Laser-Material Interface</t>
  </si>
  <si>
    <t>Polymer Chemistry</t>
  </si>
  <si>
    <t>Deep Learning Project</t>
  </si>
  <si>
    <t>Bioengineering</t>
  </si>
  <si>
    <t>Implantable Electronics</t>
  </si>
  <si>
    <t>Engineered Microorganisms</t>
  </si>
  <si>
    <t>Quantum Mechanics</t>
  </si>
  <si>
    <t>Critical</t>
  </si>
  <si>
    <t>Electrochemistry</t>
  </si>
  <si>
    <t>Distributed Computing</t>
  </si>
  <si>
    <t>Machine Learning Algorithms</t>
  </si>
  <si>
    <t>Human Factors</t>
  </si>
  <si>
    <t>Perception Algorithms</t>
  </si>
  <si>
    <t>Total Pipeline</t>
  </si>
  <si>
    <t>Avg Probability</t>
  </si>
  <si>
    <t>High Probability</t>
  </si>
  <si>
    <t>Opportunity</t>
  </si>
  <si>
    <t>Close Quarter</t>
  </si>
  <si>
    <t>FQ</t>
  </si>
  <si>
    <t>Customer</t>
  </si>
  <si>
    <t>Calendar</t>
  </si>
  <si>
    <t>4 - Negotiation</t>
  </si>
  <si>
    <t>1 - Lead Qualification</t>
  </si>
  <si>
    <t>5 - Project Execution</t>
  </si>
  <si>
    <t>3 - Proposal</t>
  </si>
  <si>
    <t>2 - Nurturing</t>
  </si>
  <si>
    <t>6 - Closeout</t>
  </si>
  <si>
    <t>Weighted</t>
  </si>
  <si>
    <t>Pipeline Type</t>
  </si>
  <si>
    <t>Unweighted</t>
  </si>
  <si>
    <t>Active Opportunities</t>
  </si>
  <si>
    <t>Probability Threshold</t>
  </si>
  <si>
    <t>Visible</t>
  </si>
  <si>
    <t>Prob</t>
  </si>
  <si>
    <t>FY Start</t>
  </si>
  <si>
    <t>Opportunities</t>
  </si>
  <si>
    <t>}</t>
  </si>
  <si>
    <t>✓</t>
  </si>
  <si>
    <t>⚠</t>
  </si>
  <si>
    <t>⮾</t>
  </si>
  <si>
    <t>S</t>
  </si>
  <si>
    <t>GitHub Issues</t>
  </si>
  <si>
    <t>Next Milestone / Comment</t>
  </si>
  <si>
    <t>Differences include:</t>
  </si>
  <si>
    <t>• Opportunity editing directly in table</t>
  </si>
  <si>
    <t>Functional Standalone clone of Sharepoint funneler</t>
  </si>
  <si>
    <t>Multi-user environments should consider using</t>
  </si>
  <si>
    <t>Proect Execution</t>
  </si>
  <si>
    <t>the SharePoint version - it is suitable for up to 100 users</t>
  </si>
  <si>
    <t>• Customer editing on different sheet</t>
  </si>
  <si>
    <t>Lightweight, suitable for 1-5 users</t>
  </si>
  <si>
    <t>Value</t>
  </si>
  <si>
    <t>and takes 15 minutes to set up.</t>
  </si>
  <si>
    <t>Order</t>
  </si>
  <si>
    <t>Display</t>
  </si>
  <si>
    <t>Pipeline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</si>
</sst>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quot;$&quot;\ #,##0.0&quot;k&quot;"/>
    <numFmt numFmtId="165" formatCode="yyyy\-mmm\-dd"/>
    <numFmt numFmtId="166" formatCode="&quot;$&quot;\ #,##0.0&quot;m&quot;"/>
    <numFmt numFmtId="167" formatCode="&quot;$&quot;#,##0.00"/>
    <numFmt numFmtId="168" formatCode="_(&quot;$&quot;* #,##0_);_(&quot;$&quot;* \(#,##0\);_(&quot;$&quot;* &quot;-&quot;??_);_(@_)"/>
    <numFmt numFmtId="169" formatCode="&quot;$&quot;\ 0.0\k"/>
    <numFmt numFmtId="171" formatCode="&quot;$&quot;\ #,##0"/>
  </numFmts>
  <fonts count="12"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i/>
      <sz val="11"/>
      <color theme="1"/>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i/>
      <sz val="11"/>
      <color theme="0" tint="-0.499984740745262"/>
      <name val="Aptos Narrow"/>
      <family val="2"/>
      <scheme val="minor"/>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0" tint="-4.9989318521683403E-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40">
    <xf numFmtId="0" fontId="0" fillId="0" borderId="0" xfId="0"/>
    <xf numFmtId="164" fontId="0" fillId="0" borderId="0" xfId="1" applyNumberFormat="1" applyFont="1"/>
    <xf numFmtId="164" fontId="0" fillId="0" borderId="0" xfId="0" applyNumberFormat="1"/>
    <xf numFmtId="0" fontId="9" fillId="0" borderId="0" xfId="0" applyFont="1" applyAlignment="1">
      <alignment horizontal="center" vertical="top"/>
    </xf>
    <xf numFmtId="0" fontId="8" fillId="3" borderId="0" xfId="0" applyFont="1" applyFill="1" applyAlignment="1">
      <alignment horizontal="centerContinuous"/>
    </xf>
    <xf numFmtId="166" fontId="8" fillId="3" borderId="0" xfId="1" applyNumberFormat="1" applyFont="1" applyFill="1" applyAlignment="1">
      <alignment horizontal="centerContinuous"/>
    </xf>
    <xf numFmtId="167" fontId="8" fillId="3" borderId="0" xfId="0" applyNumberFormat="1" applyFont="1" applyFill="1" applyAlignment="1">
      <alignment horizontal="centerContinuous"/>
    </xf>
    <xf numFmtId="0" fontId="4" fillId="3" borderId="0" xfId="0" applyFont="1" applyFill="1" applyAlignment="1">
      <alignment horizontal="centerContinuous"/>
    </xf>
    <xf numFmtId="0" fontId="2" fillId="3" borderId="1" xfId="0" applyFont="1" applyFill="1" applyBorder="1"/>
    <xf numFmtId="0" fontId="4" fillId="3" borderId="0" xfId="0" applyFont="1" applyFill="1"/>
    <xf numFmtId="0" fontId="9" fillId="0" borderId="2" xfId="0" applyFont="1" applyBorder="1" applyAlignment="1">
      <alignment horizontal="center" vertical="top"/>
    </xf>
    <xf numFmtId="166" fontId="10" fillId="0" borderId="2" xfId="0" applyNumberFormat="1" applyFont="1" applyBorder="1" applyAlignment="1">
      <alignment horizontal="center"/>
    </xf>
    <xf numFmtId="1" fontId="10" fillId="0" borderId="2" xfId="0" applyNumberFormat="1" applyFont="1" applyBorder="1" applyAlignment="1">
      <alignment horizontal="center"/>
    </xf>
    <xf numFmtId="9" fontId="10" fillId="0" borderId="2" xfId="3" applyFont="1" applyBorder="1" applyAlignment="1">
      <alignment horizontal="center"/>
    </xf>
    <xf numFmtId="0" fontId="0" fillId="3" borderId="0" xfId="0" applyFill="1" applyAlignment="1">
      <alignment horizontal="centerContinuous"/>
    </xf>
    <xf numFmtId="166" fontId="10" fillId="0" borderId="3" xfId="0" applyNumberFormat="1" applyFont="1" applyBorder="1" applyAlignment="1">
      <alignment horizontal="center"/>
    </xf>
    <xf numFmtId="0" fontId="7" fillId="0" borderId="0" xfId="4" applyAlignment="1">
      <alignment horizontal="right"/>
    </xf>
    <xf numFmtId="0" fontId="2" fillId="3" borderId="0" xfId="0" applyFont="1" applyFill="1" applyAlignment="1">
      <alignment horizontal="right"/>
    </xf>
    <xf numFmtId="0" fontId="7" fillId="0" borderId="0" xfId="4"/>
    <xf numFmtId="0" fontId="0" fillId="0" borderId="0" xfId="0" applyAlignment="1">
      <alignment horizontal="left" indent="1"/>
    </xf>
    <xf numFmtId="165" fontId="11" fillId="0" borderId="0" xfId="3" applyNumberFormat="1" applyFont="1" applyAlignment="1">
      <alignment horizontal="left" indent="1"/>
    </xf>
    <xf numFmtId="165" fontId="11" fillId="0" borderId="0" xfId="0" applyNumberFormat="1" applyFont="1" applyAlignment="1">
      <alignment horizontal="left" indent="1"/>
    </xf>
    <xf numFmtId="0" fontId="7" fillId="0" borderId="0" xfId="4" applyAlignment="1">
      <alignment horizontal="left" vertical="top"/>
    </xf>
    <xf numFmtId="169" fontId="0" fillId="0" borderId="0" xfId="0" applyNumberFormat="1"/>
    <xf numFmtId="0" fontId="2" fillId="3" borderId="0" xfId="0" applyFont="1" applyFill="1"/>
    <xf numFmtId="0" fontId="0" fillId="0" borderId="0" xfId="0" applyProtection="1">
      <protection locked="0"/>
    </xf>
    <xf numFmtId="165" fontId="0" fillId="2" borderId="0" xfId="0" applyNumberFormat="1" applyFill="1" applyAlignment="1" applyProtection="1">
      <alignment horizontal="left" indent="2"/>
      <protection locked="0"/>
    </xf>
    <xf numFmtId="9" fontId="0" fillId="2" borderId="0" xfId="3" applyFont="1" applyFill="1" applyAlignment="1" applyProtection="1">
      <alignment horizontal="left" indent="2"/>
      <protection locked="0"/>
    </xf>
    <xf numFmtId="0" fontId="0" fillId="0" borderId="0" xfId="0" applyAlignment="1" applyProtection="1">
      <alignment horizontal="right" indent="1"/>
      <protection locked="0"/>
    </xf>
    <xf numFmtId="0" fontId="3" fillId="0" borderId="0" xfId="0" applyFont="1" applyAlignment="1" applyProtection="1">
      <alignment horizontal="left" indent="1"/>
      <protection locked="0"/>
    </xf>
    <xf numFmtId="0" fontId="6" fillId="0" borderId="0" xfId="0" applyFont="1" applyAlignment="1" applyProtection="1">
      <alignment horizontal="left" indent="1"/>
      <protection locked="0"/>
    </xf>
    <xf numFmtId="0" fontId="0" fillId="0" borderId="0" xfId="0" applyAlignment="1" applyProtection="1">
      <alignment horizontal="left" indent="1"/>
      <protection locked="0"/>
    </xf>
    <xf numFmtId="168" fontId="0" fillId="0" borderId="0" xfId="2" applyNumberFormat="1" applyFont="1" applyProtection="1">
      <protection locked="0"/>
    </xf>
    <xf numFmtId="9" fontId="0" fillId="0" borderId="0" xfId="3" applyFont="1" applyAlignment="1" applyProtection="1">
      <alignment horizontal="left" indent="1"/>
      <protection locked="0"/>
    </xf>
    <xf numFmtId="165" fontId="0" fillId="0" borderId="0" xfId="3" applyNumberFormat="1" applyFont="1" applyProtection="1">
      <protection locked="0"/>
    </xf>
    <xf numFmtId="165" fontId="0" fillId="0" borderId="0" xfId="0" applyNumberFormat="1" applyProtection="1">
      <protection locked="0"/>
    </xf>
    <xf numFmtId="0" fontId="0" fillId="2" borderId="0" xfId="0" applyFill="1" applyAlignment="1" applyProtection="1">
      <alignment horizontal="left" indent="1"/>
      <protection locked="0"/>
    </xf>
    <xf numFmtId="0" fontId="0" fillId="4" borderId="0" xfId="0" applyFill="1"/>
    <xf numFmtId="171" fontId="0" fillId="0" borderId="0" xfId="2" applyNumberFormat="1" applyFont="1"/>
    <xf numFmtId="1" fontId="0" fillId="0" borderId="0" xfId="0" applyNumberFormat="1"/>
  </cellXfs>
  <cellStyles count="5">
    <cellStyle name="Comma" xfId="1" builtinId="3"/>
    <cellStyle name="Currency" xfId="2" builtinId="4"/>
    <cellStyle name="Hyperlink" xfId="4" builtinId="8"/>
    <cellStyle name="Normal" xfId="0" builtinId="0"/>
    <cellStyle name="Percent" xfId="3" builtinId="5"/>
  </cellStyles>
  <dxfs count="34">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protection locked="0" hidden="0"/>
    </dxf>
    <dxf>
      <protection locked="0" hidden="0"/>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dxf>
    <dxf>
      <numFmt numFmtId="169" formatCode="&quot;$&quot;\ 0.0\k"/>
    </dxf>
    <dxf>
      <protection locked="0" hidden="0"/>
    </dxf>
    <dxf>
      <protection locked="0" hidden="0"/>
    </dxf>
    <dxf>
      <protection locked="0" hidden="0"/>
    </dxf>
    <dxf>
      <protection locked="0" hidden="0"/>
    </dxf>
    <dxf>
      <protection locked="0" hidden="0"/>
    </dxf>
    <dxf>
      <protection locked="0" hidden="0"/>
    </dxf>
    <dxf>
      <protection locked="0" hidden="0"/>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protection locked="0" hidden="0"/>
    </dxf>
    <dxf>
      <font>
        <b val="0"/>
        <i val="0"/>
        <strike val="0"/>
        <condense val="0"/>
        <extend val="0"/>
        <outline val="0"/>
        <shadow val="0"/>
        <u val="none"/>
        <vertAlign val="baseline"/>
        <sz val="11"/>
        <color theme="1"/>
        <name val="Aptos Narrow"/>
        <family val="2"/>
        <scheme val="minor"/>
      </font>
      <numFmt numFmtId="13" formatCode="0%"/>
      <alignment horizontal="left" vertical="bottom" textRotation="0" wrapText="0" indent="1" justifyLastLine="0" shrinkToFit="0" readingOrder="0"/>
      <protection locked="0" hidden="0"/>
    </dxf>
    <dxf>
      <numFmt numFmtId="168" formatCode="_(&quot;$&quot;* #,##0_);_(&quot;$&quot;* \(#,##0\);_(&quot;$&quot;* &quot;-&quot;??_);_(@_)"/>
      <protection locked="0" hidden="0"/>
    </dxf>
    <dxf>
      <alignment horizontal="left" vertical="bottom" textRotation="0" wrapText="0" indent="1" justifyLastLine="0" shrinkToFit="0" readingOrder="0"/>
      <protection locked="0" hidden="0"/>
    </dxf>
    <dxf>
      <font>
        <i/>
      </font>
      <numFmt numFmtId="0" formatCode="General"/>
      <alignment horizontal="left" vertical="bottom" textRotation="0" wrapText="0" indent="1" justifyLastLine="0" shrinkToFit="0" readingOrder="0"/>
      <protection locked="0" hidden="0"/>
    </dxf>
    <dxf>
      <font>
        <b/>
      </font>
      <alignment horizontal="left" vertical="bottom" textRotation="0" wrapText="0" indent="1" justifyLastLine="0" shrinkToFit="0" readingOrder="0"/>
      <protection locked="0" hidden="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protection locked="0" hidden="0"/>
    </dxf>
  </dxfs>
  <tableStyles count="0" defaultTableStyle="TableStyleMedium2" defaultPivotStyle="PivotStyleLight16"/>
  <colors>
    <mruColors>
      <color rgb="FF660000"/>
      <color rgb="FFFF7D7D"/>
      <color rgb="FFFFFFB9"/>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5264.0249939004998</c:v>
                </c:pt>
                <c:pt idx="1">
                  <c:v>5644.622759140645</c:v>
                </c:pt>
                <c:pt idx="2">
                  <c:v>8810.3683026508425</c:v>
                </c:pt>
                <c:pt idx="3">
                  <c:v>5592.4752323912544</c:v>
                </c:pt>
                <c:pt idx="4">
                  <c:v>6768.1609340400919</c:v>
                </c:pt>
                <c:pt idx="5">
                  <c:v>5078.606896746749</c:v>
                </c:pt>
              </c:numCache>
            </c:numRef>
          </c:val>
          <c:extLst>
            <c:ext xmlns:c16="http://schemas.microsoft.com/office/drawing/2014/chart" uri="{C3380CC4-5D6E-409C-BE32-E72D297353CC}">
              <c16:uniqueId val="{00000000-0454-44AA-A5F1-5F435096A57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2081.2925975944308</c:v>
                </c:pt>
                <c:pt idx="1">
                  <c:v>2667.5838801820482</c:v>
                </c:pt>
                <c:pt idx="2">
                  <c:v>4086.2270627537446</c:v>
                </c:pt>
                <c:pt idx="3">
                  <c:v>3089.55407556611</c:v>
                </c:pt>
                <c:pt idx="4">
                  <c:v>3462.4983324788341</c:v>
                </c:pt>
                <c:pt idx="5">
                  <c:v>2571.7312754961572</c:v>
                </c:pt>
              </c:numCache>
            </c:numRef>
          </c:val>
          <c:extLst>
            <c:ext xmlns:c16="http://schemas.microsoft.com/office/drawing/2014/chart" uri="{C3380CC4-5D6E-409C-BE32-E72D297353CC}">
              <c16:uniqueId val="{00000001-0454-44AA-A5F1-5F435096A57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12700"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6</c:v>
                </c:pt>
                <c:pt idx="2">
                  <c:v>7</c:v>
                </c:pt>
                <c:pt idx="3">
                  <c:v>7</c:v>
                </c:pt>
                <c:pt idx="4">
                  <c:v>6</c:v>
                </c:pt>
                <c:pt idx="5">
                  <c:v>5</c:v>
                </c:pt>
              </c:numCache>
            </c:numRef>
          </c:val>
          <c:smooth val="0"/>
          <c:extLst>
            <c:ext xmlns:c16="http://schemas.microsoft.com/office/drawing/2014/chart" uri="{C3380CC4-5D6E-409C-BE32-E72D297353CC}">
              <c16:uniqueId val="{00000002-0454-44AA-A5F1-5F435096A57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graphics!$AH$1:$AM$1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0</c:v>
                </c:pt>
                <c:pt idx="1">
                  <c:v>1106.463099917522</c:v>
                </c:pt>
                <c:pt idx="2">
                  <c:v>0</c:v>
                </c:pt>
                <c:pt idx="3">
                  <c:v>0</c:v>
                </c:pt>
                <c:pt idx="4">
                  <c:v>1392.3770427948311</c:v>
                </c:pt>
                <c:pt idx="5">
                  <c:v>0</c:v>
                </c:pt>
              </c:numCache>
            </c:numRef>
          </c:val>
          <c:extLst>
            <c:ext xmlns:c16="http://schemas.microsoft.com/office/drawing/2014/chart" uri="{C3380CC4-5D6E-409C-BE32-E72D297353CC}">
              <c16:uniqueId val="{00000000-20CA-42CA-813F-B3E714555FEA}"/>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graphics!$AH$1:$AM$1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2049.2495835388445</c:v>
                </c:pt>
                <c:pt idx="1">
                  <c:v>3577.2537577425483</c:v>
                </c:pt>
                <c:pt idx="2">
                  <c:v>2858.4520734527396</c:v>
                </c:pt>
                <c:pt idx="3">
                  <c:v>864.89680746494037</c:v>
                </c:pt>
                <c:pt idx="4">
                  <c:v>920.71272749064838</c:v>
                </c:pt>
                <c:pt idx="5">
                  <c:v>967.05295501806222</c:v>
                </c:pt>
              </c:numCache>
            </c:numRef>
          </c:val>
          <c:extLst>
            <c:ext xmlns:c16="http://schemas.microsoft.com/office/drawing/2014/chart" uri="{C3380CC4-5D6E-409C-BE32-E72D297353CC}">
              <c16:uniqueId val="{00000001-20CA-42CA-813F-B3E714555FEA}"/>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graphics!$AH$1:$AM$1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3029.3573132079041</c:v>
                </c:pt>
                <c:pt idx="1">
                  <c:v>2084.4440763800217</c:v>
                </c:pt>
                <c:pt idx="2">
                  <c:v>2734.0231589385139</c:v>
                </c:pt>
                <c:pt idx="3">
                  <c:v>7945.4714951859032</c:v>
                </c:pt>
                <c:pt idx="4">
                  <c:v>3331.5329888551655</c:v>
                </c:pt>
                <c:pt idx="5">
                  <c:v>4296.972038882438</c:v>
                </c:pt>
              </c:numCache>
            </c:numRef>
          </c:val>
          <c:extLst>
            <c:ext xmlns:c16="http://schemas.microsoft.com/office/drawing/2014/chart" uri="{C3380CC4-5D6E-409C-BE32-E72D297353CC}">
              <c16:uniqueId val="{00000002-20CA-42CA-813F-B3E714555FEA}"/>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5264.0249939004998</c:v>
                </c:pt>
                <c:pt idx="1">
                  <c:v>5644.622759140645</c:v>
                </c:pt>
                <c:pt idx="2">
                  <c:v>8810.3683026508425</c:v>
                </c:pt>
                <c:pt idx="3">
                  <c:v>5592.4752323912544</c:v>
                </c:pt>
                <c:pt idx="4">
                  <c:v>6768.1609340400919</c:v>
                </c:pt>
                <c:pt idx="5">
                  <c:v>5078.606896746749</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2081.2925975944308</c:v>
                </c:pt>
                <c:pt idx="1">
                  <c:v>2667.5838801820482</c:v>
                </c:pt>
                <c:pt idx="2">
                  <c:v>4086.2270627537446</c:v>
                </c:pt>
                <c:pt idx="3">
                  <c:v>3089.55407556611</c:v>
                </c:pt>
                <c:pt idx="4">
                  <c:v>3462.4983324788341</c:v>
                </c:pt>
                <c:pt idx="5">
                  <c:v>2571.7312754961572</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6</c:v>
                </c:pt>
                <c:pt idx="2">
                  <c:v>7</c:v>
                </c:pt>
                <c:pt idx="3">
                  <c:v>7</c:v>
                </c:pt>
                <c:pt idx="4">
                  <c:v>6</c:v>
                </c:pt>
                <c:pt idx="5">
                  <c:v>5</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graphics!$Q$2</c:f>
              <c:strCache>
                <c:ptCount val="1"/>
                <c:pt idx="0">
                  <c:v>1 - Lead Qualification</c:v>
                </c:pt>
              </c:strCache>
            </c:strRef>
          </c:tx>
          <c:spPr>
            <a:solidFill>
              <a:schemeClr val="bg1">
                <a:lumMod val="95000"/>
              </a:schemeClr>
            </a:solidFill>
            <a:ln>
              <a:noFill/>
            </a:ln>
            <a:effectLst/>
          </c:spPr>
          <c:invertIfNegative val="0"/>
          <c:cat>
            <c:strRef>
              <c:f>graphics!$R$1:$W$1</c:f>
              <c:strCache>
                <c:ptCount val="6"/>
                <c:pt idx="0">
                  <c:v>FY27-Q2</c:v>
                </c:pt>
                <c:pt idx="1">
                  <c:v>FY27-Q1</c:v>
                </c:pt>
                <c:pt idx="2">
                  <c:v>FY26-Q4</c:v>
                </c:pt>
                <c:pt idx="3">
                  <c:v>FY26-Q3</c:v>
                </c:pt>
                <c:pt idx="4">
                  <c:v>FY26-Q2</c:v>
                </c:pt>
                <c:pt idx="5">
                  <c:v>FY26-Q1</c:v>
                </c:pt>
              </c:strCache>
            </c:strRef>
          </c:cat>
          <c:val>
            <c:numRef>
              <c:f>graphics!$R$2:$W$2</c:f>
              <c:numCache>
                <c:formatCode>"$"\ #,##0.0"k"</c:formatCode>
                <c:ptCount val="6"/>
                <c:pt idx="0">
                  <c:v>0</c:v>
                </c:pt>
                <c:pt idx="1">
                  <c:v>881.37861657303768</c:v>
                </c:pt>
                <c:pt idx="2">
                  <c:v>2860.6327696273215</c:v>
                </c:pt>
                <c:pt idx="3">
                  <c:v>4905.4656743550386</c:v>
                </c:pt>
                <c:pt idx="4">
                  <c:v>945.90309503520859</c:v>
                </c:pt>
                <c:pt idx="5">
                  <c:v>0</c:v>
                </c:pt>
              </c:numCache>
            </c:numRef>
          </c:val>
          <c:extLst>
            <c:ext xmlns:c16="http://schemas.microsoft.com/office/drawing/2014/chart" uri="{C3380CC4-5D6E-409C-BE32-E72D297353CC}">
              <c16:uniqueId val="{00000000-7785-41A0-848D-278A68585E98}"/>
            </c:ext>
          </c:extLst>
        </c:ser>
        <c:ser>
          <c:idx val="1"/>
          <c:order val="1"/>
          <c:tx>
            <c:strRef>
              <c:f>graphics!$Q$3</c:f>
              <c:strCache>
                <c:ptCount val="1"/>
                <c:pt idx="0">
                  <c:v>2 - Nurturing</c:v>
                </c:pt>
              </c:strCache>
            </c:strRef>
          </c:tx>
          <c:spPr>
            <a:solidFill>
              <a:schemeClr val="tx2">
                <a:lumMod val="10000"/>
                <a:lumOff val="90000"/>
              </a:schemeClr>
            </a:solidFill>
            <a:ln>
              <a:noFill/>
            </a:ln>
            <a:effectLst/>
          </c:spPr>
          <c:invertIfNegative val="0"/>
          <c:cat>
            <c:strRef>
              <c:f>graphics!$R$1:$W$1</c:f>
              <c:strCache>
                <c:ptCount val="6"/>
                <c:pt idx="0">
                  <c:v>FY27-Q2</c:v>
                </c:pt>
                <c:pt idx="1">
                  <c:v>FY27-Q1</c:v>
                </c:pt>
                <c:pt idx="2">
                  <c:v>FY26-Q4</c:v>
                </c:pt>
                <c:pt idx="3">
                  <c:v>FY26-Q3</c:v>
                </c:pt>
                <c:pt idx="4">
                  <c:v>FY26-Q2</c:v>
                </c:pt>
                <c:pt idx="5">
                  <c:v>FY26-Q1</c:v>
                </c:pt>
              </c:strCache>
            </c:strRef>
          </c:cat>
          <c:val>
            <c:numRef>
              <c:f>graphics!$R$3:$W$3</c:f>
              <c:numCache>
                <c:formatCode>"$"\ #,##0.0"k"</c:formatCode>
                <c:ptCount val="6"/>
                <c:pt idx="0">
                  <c:v>1785.2830361038496</c:v>
                </c:pt>
                <c:pt idx="1">
                  <c:v>1244.2329771232348</c:v>
                </c:pt>
                <c:pt idx="2">
                  <c:v>1458.5688466161737</c:v>
                </c:pt>
                <c:pt idx="3">
                  <c:v>2683.8089918370993</c:v>
                </c:pt>
                <c:pt idx="4">
                  <c:v>433.89434379011277</c:v>
                </c:pt>
                <c:pt idx="5">
                  <c:v>1675.5002111045035</c:v>
                </c:pt>
              </c:numCache>
            </c:numRef>
          </c:val>
          <c:extLst>
            <c:ext xmlns:c16="http://schemas.microsoft.com/office/drawing/2014/chart" uri="{C3380CC4-5D6E-409C-BE32-E72D297353CC}">
              <c16:uniqueId val="{00000001-7785-41A0-848D-278A68585E98}"/>
            </c:ext>
          </c:extLst>
        </c:ser>
        <c:ser>
          <c:idx val="2"/>
          <c:order val="2"/>
          <c:tx>
            <c:strRef>
              <c:f>graphics!$Q$4</c:f>
              <c:strCache>
                <c:ptCount val="1"/>
                <c:pt idx="0">
                  <c:v>3 - Proposal</c:v>
                </c:pt>
              </c:strCache>
            </c:strRef>
          </c:tx>
          <c:spPr>
            <a:solidFill>
              <a:schemeClr val="tx2">
                <a:lumMod val="25000"/>
                <a:lumOff val="75000"/>
              </a:schemeClr>
            </a:solidFill>
            <a:ln>
              <a:noFill/>
            </a:ln>
            <a:effectLst/>
          </c:spPr>
          <c:invertIfNegative val="0"/>
          <c:cat>
            <c:strRef>
              <c:f>graphics!$R$1:$W$1</c:f>
              <c:strCache>
                <c:ptCount val="6"/>
                <c:pt idx="0">
                  <c:v>FY27-Q2</c:v>
                </c:pt>
                <c:pt idx="1">
                  <c:v>FY27-Q1</c:v>
                </c:pt>
                <c:pt idx="2">
                  <c:v>FY26-Q4</c:v>
                </c:pt>
                <c:pt idx="3">
                  <c:v>FY26-Q3</c:v>
                </c:pt>
                <c:pt idx="4">
                  <c:v>FY26-Q2</c:v>
                </c:pt>
                <c:pt idx="5">
                  <c:v>FY26-Q1</c:v>
                </c:pt>
              </c:strCache>
            </c:strRef>
          </c:cat>
          <c:val>
            <c:numRef>
              <c:f>graphics!$R$4:$W$4</c:f>
              <c:numCache>
                <c:formatCode>"$"\ #,##0.0"k"</c:formatCode>
                <c:ptCount val="6"/>
                <c:pt idx="0">
                  <c:v>1203.2591858662738</c:v>
                </c:pt>
                <c:pt idx="1">
                  <c:v>2309.5285597245061</c:v>
                </c:pt>
                <c:pt idx="2">
                  <c:v>469.30825897959363</c:v>
                </c:pt>
                <c:pt idx="3">
                  <c:v>0</c:v>
                </c:pt>
                <c:pt idx="4">
                  <c:v>801.7886826531867</c:v>
                </c:pt>
                <c:pt idx="5">
                  <c:v>755.86141357754241</c:v>
                </c:pt>
              </c:numCache>
            </c:numRef>
          </c:val>
          <c:extLst>
            <c:ext xmlns:c16="http://schemas.microsoft.com/office/drawing/2014/chart" uri="{C3380CC4-5D6E-409C-BE32-E72D297353CC}">
              <c16:uniqueId val="{00000002-7785-41A0-848D-278A68585E98}"/>
            </c:ext>
          </c:extLst>
        </c:ser>
        <c:ser>
          <c:idx val="3"/>
          <c:order val="3"/>
          <c:tx>
            <c:strRef>
              <c:f>graphics!$Q$5</c:f>
              <c:strCache>
                <c:ptCount val="1"/>
                <c:pt idx="0">
                  <c:v>4 - Negotiation</c:v>
                </c:pt>
              </c:strCache>
            </c:strRef>
          </c:tx>
          <c:spPr>
            <a:solidFill>
              <a:schemeClr val="accent4"/>
            </a:solidFill>
            <a:ln>
              <a:noFill/>
            </a:ln>
            <a:effectLst/>
          </c:spPr>
          <c:invertIfNegative val="0"/>
          <c:cat>
            <c:strRef>
              <c:f>graphics!$R$1:$W$1</c:f>
              <c:strCache>
                <c:ptCount val="6"/>
                <c:pt idx="0">
                  <c:v>FY27-Q2</c:v>
                </c:pt>
                <c:pt idx="1">
                  <c:v>FY27-Q1</c:v>
                </c:pt>
                <c:pt idx="2">
                  <c:v>FY26-Q4</c:v>
                </c:pt>
                <c:pt idx="3">
                  <c:v>FY26-Q3</c:v>
                </c:pt>
                <c:pt idx="4">
                  <c:v>FY26-Q2</c:v>
                </c:pt>
                <c:pt idx="5">
                  <c:v>FY26-Q1</c:v>
                </c:pt>
              </c:strCache>
            </c:strRef>
          </c:cat>
          <c:val>
            <c:numRef>
              <c:f>graphics!$R$5:$W$5</c:f>
              <c:numCache>
                <c:formatCode>"$"\ #,##0.0"k"</c:formatCode>
                <c:ptCount val="6"/>
                <c:pt idx="0">
                  <c:v>809.29291304357275</c:v>
                </c:pt>
                <c:pt idx="1">
                  <c:v>1263.1774497572162</c:v>
                </c:pt>
                <c:pt idx="2">
                  <c:v>0</c:v>
                </c:pt>
                <c:pt idx="3">
                  <c:v>1221.0936364587055</c:v>
                </c:pt>
                <c:pt idx="4">
                  <c:v>0</c:v>
                </c:pt>
                <c:pt idx="5">
                  <c:v>1015.3405693241727</c:v>
                </c:pt>
              </c:numCache>
            </c:numRef>
          </c:val>
          <c:extLst>
            <c:ext xmlns:c16="http://schemas.microsoft.com/office/drawing/2014/chart" uri="{C3380CC4-5D6E-409C-BE32-E72D297353CC}">
              <c16:uniqueId val="{00000003-7785-41A0-848D-278A68585E98}"/>
            </c:ext>
          </c:extLst>
        </c:ser>
        <c:ser>
          <c:idx val="4"/>
          <c:order val="4"/>
          <c:tx>
            <c:strRef>
              <c:f>graphics!$Q$6</c:f>
              <c:strCache>
                <c:ptCount val="1"/>
                <c:pt idx="0">
                  <c:v>5 - Project Execution</c:v>
                </c:pt>
              </c:strCache>
            </c:strRef>
          </c:tx>
          <c:spPr>
            <a:solidFill>
              <a:schemeClr val="accent3">
                <a:lumMod val="20000"/>
                <a:lumOff val="80000"/>
              </a:schemeClr>
            </a:solidFill>
            <a:ln>
              <a:noFill/>
            </a:ln>
            <a:effectLst/>
          </c:spPr>
          <c:invertIfNegative val="0"/>
          <c:cat>
            <c:strRef>
              <c:f>graphics!$R$1:$W$1</c:f>
              <c:strCache>
                <c:ptCount val="6"/>
                <c:pt idx="0">
                  <c:v>FY27-Q2</c:v>
                </c:pt>
                <c:pt idx="1">
                  <c:v>FY27-Q1</c:v>
                </c:pt>
                <c:pt idx="2">
                  <c:v>FY26-Q4</c:v>
                </c:pt>
                <c:pt idx="3">
                  <c:v>FY26-Q3</c:v>
                </c:pt>
                <c:pt idx="4">
                  <c:v>FY26-Q2</c:v>
                </c:pt>
                <c:pt idx="5">
                  <c:v>FY26-Q1</c:v>
                </c:pt>
              </c:strCache>
            </c:strRef>
          </c:cat>
          <c:val>
            <c:numRef>
              <c:f>graphics!$R$6:$W$6</c:f>
              <c:numCache>
                <c:formatCode>"$"\ #,##0.0"k"</c:formatCode>
                <c:ptCount val="6"/>
                <c:pt idx="0">
                  <c:v>0</c:v>
                </c:pt>
                <c:pt idx="1">
                  <c:v>1069.843330862097</c:v>
                </c:pt>
                <c:pt idx="2">
                  <c:v>0</c:v>
                </c:pt>
                <c:pt idx="3">
                  <c:v>0</c:v>
                </c:pt>
                <c:pt idx="4">
                  <c:v>3463.0366376621369</c:v>
                </c:pt>
                <c:pt idx="5">
                  <c:v>1817.3227998942823</c:v>
                </c:pt>
              </c:numCache>
            </c:numRef>
          </c:val>
          <c:extLst>
            <c:ext xmlns:c16="http://schemas.microsoft.com/office/drawing/2014/chart" uri="{C3380CC4-5D6E-409C-BE32-E72D297353CC}">
              <c16:uniqueId val="{00000004-7785-41A0-848D-278A68585E98}"/>
            </c:ext>
          </c:extLst>
        </c:ser>
        <c:ser>
          <c:idx val="5"/>
          <c:order val="5"/>
          <c:tx>
            <c:strRef>
              <c:f>graphics!$Q$7</c:f>
              <c:strCache>
                <c:ptCount val="1"/>
                <c:pt idx="0">
                  <c:v>6 - Closeout</c:v>
                </c:pt>
              </c:strCache>
            </c:strRef>
          </c:tx>
          <c:spPr>
            <a:solidFill>
              <a:schemeClr val="bg2">
                <a:lumMod val="90000"/>
              </a:schemeClr>
            </a:solidFill>
            <a:ln>
              <a:noFill/>
            </a:ln>
            <a:effectLst/>
          </c:spPr>
          <c:invertIfNegative val="0"/>
          <c:cat>
            <c:strRef>
              <c:f>graphics!$R$1:$W$1</c:f>
              <c:strCache>
                <c:ptCount val="6"/>
                <c:pt idx="0">
                  <c:v>FY27-Q2</c:v>
                </c:pt>
                <c:pt idx="1">
                  <c:v>FY27-Q1</c:v>
                </c:pt>
                <c:pt idx="2">
                  <c:v>FY26-Q4</c:v>
                </c:pt>
                <c:pt idx="3">
                  <c:v>FY26-Q3</c:v>
                </c:pt>
                <c:pt idx="4">
                  <c:v>FY26-Q2</c:v>
                </c:pt>
                <c:pt idx="5">
                  <c:v>FY26-Q1</c:v>
                </c:pt>
              </c:strCache>
            </c:strRef>
          </c:cat>
          <c:val>
            <c:numRef>
              <c:f>graphics!$R$7:$W$7</c:f>
              <c:numCache>
                <c:formatCode>"$"\ #,##0.0"k"</c:formatCode>
                <c:ptCount val="6"/>
                <c:pt idx="0">
                  <c:v>1280.7717617330529</c:v>
                </c:pt>
                <c:pt idx="1">
                  <c:v>0</c:v>
                </c:pt>
                <c:pt idx="2">
                  <c:v>803.96535716816538</c:v>
                </c:pt>
                <c:pt idx="3">
                  <c:v>0</c:v>
                </c:pt>
                <c:pt idx="4">
                  <c:v>0</c:v>
                </c:pt>
                <c:pt idx="5">
                  <c:v>0</c:v>
                </c:pt>
              </c:numCache>
            </c:numRef>
          </c:val>
          <c:extLst>
            <c:ext xmlns:c16="http://schemas.microsoft.com/office/drawing/2014/chart" uri="{C3380CC4-5D6E-409C-BE32-E72D297353CC}">
              <c16:uniqueId val="{00000005-7785-41A0-848D-278A68585E98}"/>
            </c:ext>
          </c:extLst>
        </c:ser>
        <c:dLbls>
          <c:showLegendKey val="0"/>
          <c:showVal val="0"/>
          <c:showCatName val="0"/>
          <c:showSerName val="0"/>
          <c:showPercent val="0"/>
          <c:showBubbleSize val="0"/>
        </c:dLbls>
        <c:gapWidth val="150"/>
        <c:overlap val="100"/>
        <c:axId val="1856946351"/>
        <c:axId val="1856939631"/>
      </c:barChart>
      <c:catAx>
        <c:axId val="1856946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939631"/>
        <c:crosses val="autoZero"/>
        <c:auto val="1"/>
        <c:lblAlgn val="ctr"/>
        <c:lblOffset val="100"/>
        <c:noMultiLvlLbl val="0"/>
      </c:catAx>
      <c:valAx>
        <c:axId val="18569396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946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graphics!$AH$1:$AM$1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0</c:v>
                </c:pt>
                <c:pt idx="1">
                  <c:v>1106.463099917522</c:v>
                </c:pt>
                <c:pt idx="2">
                  <c:v>0</c:v>
                </c:pt>
                <c:pt idx="3">
                  <c:v>0</c:v>
                </c:pt>
                <c:pt idx="4">
                  <c:v>1392.3770427948311</c:v>
                </c:pt>
                <c:pt idx="5">
                  <c:v>0</c:v>
                </c:pt>
              </c:numCache>
            </c:numRef>
          </c:val>
          <c:extLst>
            <c:ext xmlns:c16="http://schemas.microsoft.com/office/drawing/2014/chart" uri="{C3380CC4-5D6E-409C-BE32-E72D297353CC}">
              <c16:uniqueId val="{00000000-67BD-47AC-B944-0B29CC955776}"/>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graphics!$AH$1:$AM$1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2049.2495835388445</c:v>
                </c:pt>
                <c:pt idx="1">
                  <c:v>3577.2537577425483</c:v>
                </c:pt>
                <c:pt idx="2">
                  <c:v>2858.4520734527396</c:v>
                </c:pt>
                <c:pt idx="3">
                  <c:v>864.89680746494037</c:v>
                </c:pt>
                <c:pt idx="4">
                  <c:v>920.71272749064838</c:v>
                </c:pt>
                <c:pt idx="5">
                  <c:v>967.05295501806222</c:v>
                </c:pt>
              </c:numCache>
            </c:numRef>
          </c:val>
          <c:extLst>
            <c:ext xmlns:c16="http://schemas.microsoft.com/office/drawing/2014/chart" uri="{C3380CC4-5D6E-409C-BE32-E72D297353CC}">
              <c16:uniqueId val="{00000001-67BD-47AC-B944-0B29CC955776}"/>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graphics!$AH$1:$AM$1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3029.3573132079041</c:v>
                </c:pt>
                <c:pt idx="1">
                  <c:v>2084.4440763800217</c:v>
                </c:pt>
                <c:pt idx="2">
                  <c:v>2734.0231589385139</c:v>
                </c:pt>
                <c:pt idx="3">
                  <c:v>7945.4714951859032</c:v>
                </c:pt>
                <c:pt idx="4">
                  <c:v>3331.5329888551655</c:v>
                </c:pt>
                <c:pt idx="5">
                  <c:v>4296.972038882438</c:v>
                </c:pt>
              </c:numCache>
            </c:numRef>
          </c:val>
          <c:extLst>
            <c:ext xmlns:c16="http://schemas.microsoft.com/office/drawing/2014/chart" uri="{C3380CC4-5D6E-409C-BE32-E72D297353CC}">
              <c16:uniqueId val="{00000002-67BD-47AC-B944-0B29CC955776}"/>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1</xdr:col>
      <xdr:colOff>650875</xdr:colOff>
      <xdr:row>6</xdr:row>
      <xdr:rowOff>22224</xdr:rowOff>
    </xdr:from>
    <xdr:to>
      <xdr:col>2</xdr:col>
      <xdr:colOff>1407160</xdr:colOff>
      <xdr:row>17</xdr:row>
      <xdr:rowOff>130809</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16125" y="1241424"/>
              <a:ext cx="1746885" cy="219773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111125</xdr:colOff>
      <xdr:row>6</xdr:row>
      <xdr:rowOff>34925</xdr:rowOff>
    </xdr:from>
    <xdr:to>
      <xdr:col>1</xdr:col>
      <xdr:colOff>480060</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111125" y="1254125"/>
              <a:ext cx="1734185"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xdr:col>
          <xdr:colOff>180975</xdr:colOff>
          <xdr:row>2</xdr:row>
          <xdr:rowOff>71446</xdr:rowOff>
        </xdr:from>
        <xdr:to>
          <xdr:col>10</xdr:col>
          <xdr:colOff>2320926</xdr:colOff>
          <xdr:row>5</xdr:row>
          <xdr:rowOff>55225</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60"/>
                </a:ext>
              </a:extLst>
            </xdr:cNvPicPr>
          </xdr:nvPicPr>
          <xdr:blipFill>
            <a:blip xmlns:r="http://schemas.openxmlformats.org/officeDocument/2006/relationships" r:embed="rId1"/>
            <a:srcRect/>
            <a:stretch>
              <a:fillRect/>
            </a:stretch>
          </xdr:blipFill>
          <xdr:spPr bwMode="auto">
            <a:xfrm>
              <a:off x="4416425" y="528646"/>
              <a:ext cx="9817101" cy="55527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187324</xdr:rowOff>
    </xdr:from>
    <xdr:to>
      <xdr:col>2</xdr:col>
      <xdr:colOff>1393825</xdr:colOff>
      <xdr:row>27</xdr:row>
      <xdr:rowOff>111124</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4"/>
              <a:ext cx="3657600" cy="182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92075</xdr:colOff>
      <xdr:row>27</xdr:row>
      <xdr:rowOff>169862</xdr:rowOff>
    </xdr:from>
    <xdr:to>
      <xdr:col>2</xdr:col>
      <xdr:colOff>1406525</xdr:colOff>
      <xdr:row>37</xdr:row>
      <xdr:rowOff>93662</xdr:rowOff>
    </xdr:to>
    <xdr:graphicFrame macro="">
      <xdr:nvGraphicFramePr>
        <xdr:cNvPr id="17" name="Chart 16">
          <a:extLst>
            <a:ext uri="{FF2B5EF4-FFF2-40B4-BE49-F238E27FC236}">
              <a16:creationId xmlns:a16="http://schemas.microsoft.com/office/drawing/2014/main" id="{52BD54B8-499C-4763-B1D0-1BC3D5EC1C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114300</xdr:colOff>
      <xdr:row>37</xdr:row>
      <xdr:rowOff>152400</xdr:rowOff>
    </xdr:from>
    <xdr:to>
      <xdr:col>2</xdr:col>
      <xdr:colOff>1425575</xdr:colOff>
      <xdr:row>47</xdr:row>
      <xdr:rowOff>76200</xdr:rowOff>
    </xdr:to>
    <xdr:graphicFrame macro="">
      <xdr:nvGraphicFramePr>
        <xdr:cNvPr id="2" name="Chart 1">
          <a:extLst>
            <a:ext uri="{FF2B5EF4-FFF2-40B4-BE49-F238E27FC236}">
              <a16:creationId xmlns:a16="http://schemas.microsoft.com/office/drawing/2014/main" id="{4BA8706E-46C4-4370-AD08-EDC7BAF45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212725</xdr:colOff>
      <xdr:row>8</xdr:row>
      <xdr:rowOff>66675</xdr:rowOff>
    </xdr:from>
    <xdr:to>
      <xdr:col>22</xdr:col>
      <xdr:colOff>73025</xdr:colOff>
      <xdr:row>22</xdr:row>
      <xdr:rowOff>142875</xdr:rowOff>
    </xdr:to>
    <xdr:graphicFrame macro="">
      <xdr:nvGraphicFramePr>
        <xdr:cNvPr id="13" name="Chart 12">
          <a:extLst>
            <a:ext uri="{FF2B5EF4-FFF2-40B4-BE49-F238E27FC236}">
              <a16:creationId xmlns:a16="http://schemas.microsoft.com/office/drawing/2014/main" id="{7338B4D0-0A19-6CD1-76A0-9524C4BF2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32</xdr:col>
      <xdr:colOff>31750</xdr:colOff>
      <xdr:row>12</xdr:row>
      <xdr:rowOff>168275</xdr:rowOff>
    </xdr:from>
    <xdr:to>
      <xdr:col>36</xdr:col>
      <xdr:colOff>171450</xdr:colOff>
      <xdr:row>22</xdr:row>
      <xdr:rowOff>92075</xdr:rowOff>
    </xdr:to>
    <xdr:graphicFrame macro="">
      <xdr:nvGraphicFramePr>
        <xdr:cNvPr id="16" name="Chart 15">
          <a:extLst>
            <a:ext uri="{FF2B5EF4-FFF2-40B4-BE49-F238E27FC236}">
              <a16:creationId xmlns:a16="http://schemas.microsoft.com/office/drawing/2014/main" id="{923DCE68-9DB1-5E21-8A17-1AAB3F7B9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Paul Galjan" id="{AFDA968C-5DE3-4C66-B756-A3E2F3254577}" userId="S::paulg@cleansheet.dev::1301a086-d2ca-4b57-a391-838c260cb206" providerId="AD"/>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P43" totalsRowShown="0">
  <autoFilter ref="D7:P43" xr:uid="{B35EA62C-D81E-48BA-B2FB-27C4C61792D5}"/>
  <sortState xmlns:xlrd2="http://schemas.microsoft.com/office/spreadsheetml/2017/richdata2" ref="D8:P43">
    <sortCondition ref="J7:J43"/>
  </sortState>
  <tableColumns count="13">
    <tableColumn id="13" xr3:uid="{147FBFBE-2CFC-486E-B125-6D8C29F38818}" name="S" dataDxfId="33"/>
    <tableColumn id="3" xr3:uid="{3E4A8EA1-FA0C-4196-B6BC-1AD8EC635331}" name="Customer" dataDxfId="32" dataCellStyle="Normal"/>
    <tableColumn id="4" xr3:uid="{D0C93997-AE18-4F2C-9498-E378F0368CD3}" name="Opportunity" dataDxfId="31"/>
    <tableColumn id="5" xr3:uid="{BE8EE8B1-D066-4E99-BDBA-DD40A4432652}" name="Stage" dataDxfId="30" dataCellStyle="Normal"/>
    <tableColumn id="7" xr3:uid="{36D3885A-765B-43F4-B223-18E0110E7BAC}" name="Amount" dataDxfId="29" dataCellStyle="Currency"/>
    <tableColumn id="8" xr3:uid="{3B6386A9-4665-44D2-94FF-64420F041C4F}" name="Prob" dataDxfId="28" dataCellStyle="Percent"/>
    <tableColumn id="10" xr3:uid="{B7055589-582D-4A7C-ACCD-633272C194D8}" name="Close Date" dataDxfId="27" dataCellStyle="Percent"/>
    <tableColumn id="20" xr3:uid="{59C0ACCC-1D82-45A6-AFAA-3712BAC86C84}" name="Next Milestone / Comment" dataDxfId="26" dataCellStyle="Percent"/>
    <tableColumn id="9" xr3:uid="{52FF3CBA-17BB-47F5-85A3-2DEE8B12587C}" name="Close Quarter" dataDxfId="25">
      <calculatedColumnFormula>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calculatedColumnFormula>
    </tableColumn>
    <tableColumn id="14" xr3:uid="{07448A78-D3A9-4A09-89B7-13C1C1A6E61A}" name="Weighted" dataDxfId="24" dataCellStyle="Comma">
      <calculatedColumnFormula>View[[#This Row],[Amount]]*View[[#This Row],[Prob]]</calculatedColumnFormula>
    </tableColumn>
    <tableColumn id="15" xr3:uid="{FBDC7969-7E8D-49D4-8066-6E0E6F1203F0}" name="Unweighted" dataDxfId="23">
      <calculatedColumnFormula>View[[#This Row],[Amount]]</calculatedColumnFormula>
    </tableColumn>
    <tableColumn id="16" xr3:uid="{EF89BB7F-252B-45F9-8123-82BF9FB66AF0}" name="High Probability" dataDxfId="22">
      <calculatedColumnFormula>View[[#This Row],[Prob]]&gt;=probabilityThreshold</calculatedColumnFormula>
    </tableColumn>
    <tableColumn id="17" xr3:uid="{4BD52F12-45D4-4BCC-83AA-14BDE7142C90}" name="Visible" dataDxfId="21">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H31" totalsRowShown="0">
  <autoFilter ref="A1:H31" xr:uid="{AE464801-8CE7-41B6-B2AB-6D69477B150E}"/>
  <tableColumns count="8">
    <tableColumn id="2" xr3:uid="{1D7AD566-FEAA-4988-9FEE-E54A26670368}" name="Title" dataDxfId="20"/>
    <tableColumn id="4" xr3:uid="{D5F6E9E1-F8CC-49E4-B924-992DE5B56998}" name="PrimaryContact" dataDxfId="19"/>
    <tableColumn id="5" xr3:uid="{68B74CB2-5092-4B10-B8D3-57A2C72A4094}" name="PrimaryContactTitle" dataDxfId="18"/>
    <tableColumn id="6" xr3:uid="{F107D99F-26CA-441C-8F5A-07BB782E026A}" name="AlternateContact" dataDxfId="17"/>
    <tableColumn id="7" xr3:uid="{B94065BD-6902-4598-84B7-78281693D614}" name="AlternateContactTitle" dataDxfId="16"/>
    <tableColumn id="8" xr3:uid="{52B52703-1BF7-483F-89B1-54C3A8EA17BF}" name="AlternateContact2" dataDxfId="15"/>
    <tableColumn id="9" xr3:uid="{BDC1B5C1-F98F-420D-808E-2437A0DF4BE8}" name="AlternateContact2Title" dataDxfId="14"/>
    <tableColumn id="21" xr3:uid="{49EAE07E-3C8A-455E-A1F1-36DCECD5B3CC}" name="Value" dataDxfId="13">
      <calculatedColumnFormula>SUMIF(View[Customer],Customers[[#This Row],[Title]],View[Amount])/1000</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E57F7F-7C13-4222-BD8F-16C8ED938F4C}" name="Table8" displayName="Table8" ref="D1:F7" totalsRowShown="0" headerRowDxfId="12">
  <autoFilter ref="D1:F7" xr:uid="{99E57F7F-7C13-4222-BD8F-16C8ED938F4C}"/>
  <tableColumns count="3">
    <tableColumn id="1" xr3:uid="{2A2763C2-C401-447C-92E2-EA7D5A46EE2C}" name="Stage" dataDxfId="11"/>
    <tableColumn id="2" xr3:uid="{A51D872F-BFBE-499B-96B4-4ECA2310EBA0}" name="Order" dataDxfId="10"/>
    <tableColumn id="3" xr3:uid="{B78B795F-1C93-4CAC-87D5-DF736B1E805A}" name="Display" dataDxfId="9">
      <calculatedColumnFormula>Table8[[#This Row],[Order]]&amp; "- " &amp;Table8[[#This Row],[Stage]]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4" dT="2025-08-07T11:57:40.82" personId="{AFDA968C-5DE3-4C66-B756-A3E2F3254577}" id="{9A4746C8-FC47-4749-9526-75E3D70D66DA}">
    <text>This is a comment</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S87"/>
  <sheetViews>
    <sheetView showGridLines="0" tabSelected="1" topLeftCell="A35" workbookViewId="0">
      <selection activeCell="W64" sqref="W64"/>
    </sheetView>
  </sheetViews>
  <sheetFormatPr defaultRowHeight="15" outlineLevelCol="1" x14ac:dyDescent="0.25"/>
  <cols>
    <col min="1" max="1" width="20.42578125" bestFit="1" customWidth="1"/>
    <col min="2" max="2" width="14.85546875" customWidth="1"/>
    <col min="3" max="3" width="23.7109375" customWidth="1"/>
    <col min="4" max="4" width="4.42578125" bestFit="1" customWidth="1"/>
    <col min="5" max="5" width="26.85546875" bestFit="1" customWidth="1"/>
    <col min="6" max="6" width="33.5703125" bestFit="1" customWidth="1"/>
    <col min="7" max="7" width="21.42578125" bestFit="1" customWidth="1"/>
    <col min="8" max="8" width="11.7109375" bestFit="1" customWidth="1"/>
    <col min="9" max="9" width="8.140625" bestFit="1" customWidth="1"/>
    <col min="10" max="10" width="13.28515625" bestFit="1" customWidth="1"/>
    <col min="11" max="11" width="48.85546875" bestFit="1" customWidth="1"/>
    <col min="12" max="12" width="16" hidden="1" customWidth="1" outlineLevel="1"/>
    <col min="13" max="13" width="12" hidden="1" customWidth="1" outlineLevel="1"/>
    <col min="14" max="14" width="14" hidden="1" customWidth="1" outlineLevel="1"/>
    <col min="15" max="15" width="9.140625" hidden="1" customWidth="1" outlineLevel="1"/>
    <col min="16" max="16" width="9.42578125" hidden="1" customWidth="1" outlineLevel="1"/>
    <col min="17" max="17" width="9.140625" collapsed="1"/>
  </cols>
  <sheetData>
    <row r="1" spans="1:19" ht="21" x14ac:dyDescent="0.35">
      <c r="A1" s="22" t="s">
        <v>223</v>
      </c>
      <c r="D1" s="4" t="str">
        <f>IF(pipelineName="","Sales",pipelineName)&amp;" Pipeline"</f>
        <v>Sales Pipeline</v>
      </c>
      <c r="E1" s="4"/>
      <c r="F1" s="4"/>
      <c r="G1" s="5"/>
      <c r="H1" s="6"/>
      <c r="I1" s="4"/>
      <c r="J1" s="4"/>
      <c r="K1" s="4"/>
      <c r="L1" s="4"/>
      <c r="M1" s="4"/>
      <c r="N1" s="4"/>
      <c r="O1" s="14"/>
      <c r="P1" s="14"/>
      <c r="S1" s="18"/>
    </row>
    <row r="2" spans="1:19" x14ac:dyDescent="0.25">
      <c r="A2" s="17" t="s">
        <v>202</v>
      </c>
      <c r="B2" s="36" t="s">
        <v>200</v>
      </c>
      <c r="D2" s="7" t="str">
        <f>_xlfn.XLOOKUP(SUBTOTAL(5,View[Close Date]),View[Close Date],View[Close Quarter]) &amp;" to " &amp; _xlfn.XLOOKUP(SUBTOTAL(4,View[Close Date]),View[Close Date],View[Close Quarter])</f>
        <v>FY26-Q1 to FY27-Q2</v>
      </c>
      <c r="E2" s="7"/>
      <c r="F2" s="7"/>
      <c r="G2" s="7"/>
      <c r="H2" s="7"/>
      <c r="I2" s="7"/>
      <c r="J2" s="7"/>
      <c r="K2" s="7"/>
      <c r="L2" s="7"/>
      <c r="M2" s="7"/>
      <c r="N2" s="7"/>
      <c r="O2" s="14"/>
      <c r="P2" s="14"/>
    </row>
    <row r="3" spans="1:19" x14ac:dyDescent="0.25">
      <c r="A3" s="17" t="s">
        <v>210</v>
      </c>
      <c r="B3" s="36" t="s">
        <v>211</v>
      </c>
      <c r="K3" s="16"/>
      <c r="S3" s="18"/>
    </row>
    <row r="4" spans="1:19" x14ac:dyDescent="0.25">
      <c r="K4" s="16"/>
    </row>
    <row r="7" spans="1:19" x14ac:dyDescent="0.25">
      <c r="D7" s="8" t="s">
        <v>222</v>
      </c>
      <c r="E7" s="9" t="s">
        <v>201</v>
      </c>
      <c r="F7" s="9" t="s">
        <v>198</v>
      </c>
      <c r="G7" s="9" t="s">
        <v>148</v>
      </c>
      <c r="H7" s="9" t="s">
        <v>149</v>
      </c>
      <c r="I7" s="9" t="s">
        <v>215</v>
      </c>
      <c r="J7" s="9" t="s">
        <v>150</v>
      </c>
      <c r="K7" s="9" t="s">
        <v>224</v>
      </c>
      <c r="L7" s="9" t="s">
        <v>199</v>
      </c>
      <c r="M7" s="9" t="s">
        <v>209</v>
      </c>
      <c r="N7" s="9" t="s">
        <v>211</v>
      </c>
      <c r="O7" s="9" t="s">
        <v>197</v>
      </c>
      <c r="P7" s="9" t="s">
        <v>214</v>
      </c>
    </row>
    <row r="8" spans="1:19" x14ac:dyDescent="0.25">
      <c r="D8" s="28" t="s">
        <v>220</v>
      </c>
      <c r="E8" s="29" t="s">
        <v>104</v>
      </c>
      <c r="F8" s="30" t="s">
        <v>179</v>
      </c>
      <c r="G8" s="31" t="s">
        <v>205</v>
      </c>
      <c r="H8" s="32">
        <v>967052.95501806226</v>
      </c>
      <c r="I8" s="33">
        <v>0.37808020144071275</v>
      </c>
      <c r="J8" s="34">
        <v>45906</v>
      </c>
      <c r="K8" s="20" t="s">
        <v>227</v>
      </c>
      <c r="L8"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FY26-Q1</v>
      </c>
      <c r="M8" s="1">
        <f>View[[#This Row],[Amount]]*View[[#This Row],[Prob]]</f>
        <v>365623.57603706548</v>
      </c>
      <c r="N8" s="2">
        <f>View[[#This Row],[Amount]]</f>
        <v>967052.95501806226</v>
      </c>
      <c r="O8" t="b">
        <f>View[[#This Row],[Prob]]&gt;=probabilityThreshold</f>
        <v>0</v>
      </c>
      <c r="P8">
        <f>SUBTOTAL(103, View[[#This Row],[S]])</f>
        <v>1</v>
      </c>
    </row>
    <row r="9" spans="1:19" x14ac:dyDescent="0.25">
      <c r="D9" s="28" t="s">
        <v>219</v>
      </c>
      <c r="E9" s="29" t="s">
        <v>141</v>
      </c>
      <c r="F9" s="30" t="s">
        <v>193</v>
      </c>
      <c r="G9" s="31" t="s">
        <v>203</v>
      </c>
      <c r="H9" s="32">
        <v>1015340.5693241728</v>
      </c>
      <c r="I9" s="33">
        <v>0.46414430712116095</v>
      </c>
      <c r="J9" s="34">
        <v>45911</v>
      </c>
      <c r="K9" s="20" t="s">
        <v>232</v>
      </c>
      <c r="L9"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FY26-Q1</v>
      </c>
      <c r="M9" s="1">
        <f>View[[#This Row],[Amount]]*View[[#This Row],[Prob]]</f>
        <v>471264.54504097329</v>
      </c>
      <c r="N9" s="2">
        <f>View[[#This Row],[Amount]]</f>
        <v>1015340.5693241728</v>
      </c>
      <c r="O9" t="b">
        <f>View[[#This Row],[Prob]]&gt;=probabilityThreshold</f>
        <v>0</v>
      </c>
      <c r="P9">
        <f>SUBTOTAL(103, View[[#This Row],[S]])</f>
        <v>1</v>
      </c>
    </row>
    <row r="10" spans="1:19" x14ac:dyDescent="0.25">
      <c r="D10" s="28" t="s">
        <v>219</v>
      </c>
      <c r="E10" s="29" t="s">
        <v>60</v>
      </c>
      <c r="F10" s="30" t="s">
        <v>170</v>
      </c>
      <c r="G10" s="31" t="s">
        <v>205</v>
      </c>
      <c r="H10" s="32">
        <v>850269.8448762201</v>
      </c>
      <c r="I10" s="33">
        <v>0.28111381953258124</v>
      </c>
      <c r="J10" s="34">
        <v>45920</v>
      </c>
      <c r="K10" s="20"/>
      <c r="L10"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FY26-Q1</v>
      </c>
      <c r="M10" s="1">
        <f>View[[#This Row],[Amount]]*View[[#This Row],[Prob]]</f>
        <v>239022.60372652957</v>
      </c>
      <c r="N10" s="2">
        <f>View[[#This Row],[Amount]]</f>
        <v>850269.8448762201</v>
      </c>
      <c r="O10" t="b">
        <f>View[[#This Row],[Prob]]&gt;=probabilityThreshold</f>
        <v>0</v>
      </c>
      <c r="P10">
        <f>SUBTOTAL(103, View[[#This Row],[S]])</f>
        <v>1</v>
      </c>
    </row>
    <row r="11" spans="1:19" x14ac:dyDescent="0.25">
      <c r="D11" s="28" t="s">
        <v>219</v>
      </c>
      <c r="E11" s="29" t="s">
        <v>104</v>
      </c>
      <c r="F11" s="30" t="s">
        <v>178</v>
      </c>
      <c r="G11" s="31" t="s">
        <v>206</v>
      </c>
      <c r="H11" s="32">
        <v>755861.41357754241</v>
      </c>
      <c r="I11" s="33">
        <v>0.21469895389997112</v>
      </c>
      <c r="J11" s="34">
        <v>45930</v>
      </c>
      <c r="K11" s="20" t="s">
        <v>226</v>
      </c>
      <c r="L11"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FY26-Q1</v>
      </c>
      <c r="M11" s="1">
        <f>View[[#This Row],[Amount]]*View[[#This Row],[Prob]]</f>
        <v>162282.65478845179</v>
      </c>
      <c r="N11" s="2">
        <f>View[[#This Row],[Amount]]</f>
        <v>755861.41357754241</v>
      </c>
      <c r="O11" t="b">
        <f>View[[#This Row],[Prob]]&gt;=probabilityThreshold</f>
        <v>0</v>
      </c>
      <c r="P11">
        <f>SUBTOTAL(103, View[[#This Row],[S]])</f>
        <v>1</v>
      </c>
    </row>
    <row r="12" spans="1:19" x14ac:dyDescent="0.25">
      <c r="D12" s="28" t="s">
        <v>219</v>
      </c>
      <c r="E12" s="29" t="s">
        <v>122</v>
      </c>
      <c r="F12" s="30" t="s">
        <v>186</v>
      </c>
      <c r="G12" s="31" t="s">
        <v>207</v>
      </c>
      <c r="H12" s="32">
        <v>1675500.2111045034</v>
      </c>
      <c r="I12" s="33">
        <v>0.50319254656830681</v>
      </c>
      <c r="J12" s="35">
        <v>45930</v>
      </c>
      <c r="K12" s="20" t="s">
        <v>225</v>
      </c>
      <c r="L12"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FY26-Q1</v>
      </c>
      <c r="M12" s="1">
        <f>View[[#This Row],[Amount]]*View[[#This Row],[Prob]]</f>
        <v>843099.21800141071</v>
      </c>
      <c r="N12" s="2">
        <f>View[[#This Row],[Amount]]</f>
        <v>1675500.2111045034</v>
      </c>
      <c r="O12" t="b">
        <f>View[[#This Row],[Prob]]&gt;=probabilityThreshold</f>
        <v>0</v>
      </c>
      <c r="P12">
        <f>SUBTOTAL(103, View[[#This Row],[S]])</f>
        <v>1</v>
      </c>
    </row>
    <row r="13" spans="1:19" x14ac:dyDescent="0.25">
      <c r="D13" s="28" t="s">
        <v>220</v>
      </c>
      <c r="E13" s="29" t="s">
        <v>60</v>
      </c>
      <c r="F13" s="30" t="s">
        <v>171</v>
      </c>
      <c r="G13" s="31" t="s">
        <v>205</v>
      </c>
      <c r="H13" s="32">
        <v>920712.72749064839</v>
      </c>
      <c r="I13" s="33">
        <v>0.25633696422225827</v>
      </c>
      <c r="J13" s="34">
        <v>45934</v>
      </c>
      <c r="K13" s="20" t="s">
        <v>231</v>
      </c>
      <c r="L13"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FY26-Q2</v>
      </c>
      <c r="M13" s="1">
        <f>View[[#This Row],[Amount]]*View[[#This Row],[Prob]]</f>
        <v>236012.70548574816</v>
      </c>
      <c r="N13" s="2">
        <f>View[[#This Row],[Amount]]</f>
        <v>920712.72749064839</v>
      </c>
      <c r="O13" t="b">
        <f>View[[#This Row],[Prob]]&gt;=probabilityThreshold</f>
        <v>0</v>
      </c>
      <c r="P13">
        <f>SUBTOTAL(103, View[[#This Row],[S]])</f>
        <v>1</v>
      </c>
    </row>
    <row r="14" spans="1:19" x14ac:dyDescent="0.25">
      <c r="D14" s="28" t="s">
        <v>219</v>
      </c>
      <c r="E14" s="29" t="s">
        <v>19</v>
      </c>
      <c r="F14" s="30" t="s">
        <v>159</v>
      </c>
      <c r="G14" s="31" t="s">
        <v>205</v>
      </c>
      <c r="H14" s="32">
        <v>1149946.8673766574</v>
      </c>
      <c r="I14" s="33">
        <v>0.45784597683976674</v>
      </c>
      <c r="J14" s="34">
        <v>45937</v>
      </c>
      <c r="K14" s="21" t="str">
        <f>"• Commenting limited to built-in M365 pattern"</f>
        <v>• Commenting limited to built-in M365 pattern</v>
      </c>
      <c r="L14"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FY26-Q2</v>
      </c>
      <c r="M14" s="1">
        <f>View[[#This Row],[Amount]]*View[[#This Row],[Prob]]</f>
        <v>526498.54680789541</v>
      </c>
      <c r="N14" s="2">
        <f>View[[#This Row],[Amount]]</f>
        <v>1149946.8673766574</v>
      </c>
      <c r="O14" t="b">
        <f>View[[#This Row],[Prob]]&gt;=probabilityThreshold</f>
        <v>0</v>
      </c>
      <c r="P14">
        <f>SUBTOTAL(103, View[[#This Row],[S]])</f>
        <v>1</v>
      </c>
    </row>
    <row r="15" spans="1:19" x14ac:dyDescent="0.25">
      <c r="D15" s="28" t="s">
        <v>219</v>
      </c>
      <c r="E15" s="29" t="s">
        <v>141</v>
      </c>
      <c r="F15" s="30" t="s">
        <v>194</v>
      </c>
      <c r="G15" s="31" t="s">
        <v>204</v>
      </c>
      <c r="H15" s="32">
        <v>945903.09503520862</v>
      </c>
      <c r="I15" s="33">
        <v>0.42843966969222319</v>
      </c>
      <c r="J15" s="34">
        <v>45965</v>
      </c>
      <c r="K15" s="20"/>
      <c r="L15"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FY26-Q2</v>
      </c>
      <c r="M15" s="1">
        <f>View[[#This Row],[Amount]]*View[[#This Row],[Prob]]</f>
        <v>405262.40959773638</v>
      </c>
      <c r="N15" s="2">
        <f>View[[#This Row],[Amount]]</f>
        <v>945903.09503520862</v>
      </c>
      <c r="O15" t="b">
        <f>View[[#This Row],[Prob]]&gt;=probabilityThreshold</f>
        <v>0</v>
      </c>
      <c r="P15">
        <f>SUBTOTAL(103, View[[#This Row],[S]])</f>
        <v>1</v>
      </c>
    </row>
    <row r="16" spans="1:19" x14ac:dyDescent="0.25">
      <c r="D16" s="28" t="s">
        <v>219</v>
      </c>
      <c r="E16" s="29" t="s">
        <v>109</v>
      </c>
      <c r="F16" s="30" t="s">
        <v>180</v>
      </c>
      <c r="G16" s="31" t="s">
        <v>207</v>
      </c>
      <c r="H16" s="32">
        <v>433894.34379011276</v>
      </c>
      <c r="I16" s="33">
        <v>0.35579153635395644</v>
      </c>
      <c r="J16" s="34">
        <v>45998</v>
      </c>
      <c r="K16" s="20" t="s">
        <v>228</v>
      </c>
      <c r="L16"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FY26-Q2</v>
      </c>
      <c r="M16" s="1">
        <f>View[[#This Row],[Amount]]*View[[#This Row],[Prob]]</f>
        <v>154375.93519237597</v>
      </c>
      <c r="N16" s="2">
        <f>View[[#This Row],[Amount]]</f>
        <v>433894.34379011276</v>
      </c>
      <c r="O16" t="b">
        <f>View[[#This Row],[Prob]]&gt;=probabilityThreshold</f>
        <v>0</v>
      </c>
      <c r="P16">
        <f>SUBTOTAL(103, View[[#This Row],[S]])</f>
        <v>1</v>
      </c>
    </row>
    <row r="17" spans="4:16" x14ac:dyDescent="0.25">
      <c r="D17" s="28" t="s">
        <v>219</v>
      </c>
      <c r="E17" s="29" t="s">
        <v>26</v>
      </c>
      <c r="F17" s="30" t="s">
        <v>160</v>
      </c>
      <c r="G17" s="31" t="s">
        <v>206</v>
      </c>
      <c r="H17" s="32">
        <v>801788.68265318673</v>
      </c>
      <c r="I17" s="33">
        <v>0.5390266208824831</v>
      </c>
      <c r="J17" s="34">
        <v>45999</v>
      </c>
      <c r="K17" s="20" t="s">
        <v>230</v>
      </c>
      <c r="L17"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FY26-Q2</v>
      </c>
      <c r="M17" s="1">
        <f>View[[#This Row],[Amount]]*View[[#This Row],[Prob]]</f>
        <v>432185.44427236484</v>
      </c>
      <c r="N17" s="2">
        <f>View[[#This Row],[Amount]]</f>
        <v>801788.68265318673</v>
      </c>
      <c r="O17" t="b">
        <f>View[[#This Row],[Prob]]&gt;=probabilityThreshold</f>
        <v>0</v>
      </c>
      <c r="P17">
        <f>SUBTOTAL(103, View[[#This Row],[S]])</f>
        <v>1</v>
      </c>
    </row>
    <row r="18" spans="4:16" x14ac:dyDescent="0.25">
      <c r="D18" s="28" t="s">
        <v>221</v>
      </c>
      <c r="E18" s="29" t="s">
        <v>134</v>
      </c>
      <c r="F18" s="30" t="s">
        <v>190</v>
      </c>
      <c r="G18" s="31" t="s">
        <v>205</v>
      </c>
      <c r="H18" s="32">
        <v>1392377.0427948311</v>
      </c>
      <c r="I18" s="33">
        <v>0.65589191056527363</v>
      </c>
      <c r="J18" s="34">
        <v>46002</v>
      </c>
      <c r="K18" s="20" t="s">
        <v>234</v>
      </c>
      <c r="L18"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FY26-Q2</v>
      </c>
      <c r="M18" s="1">
        <f>View[[#This Row],[Amount]]*View[[#This Row],[Prob]]</f>
        <v>913248.83882592758</v>
      </c>
      <c r="N18" s="2">
        <f>View[[#This Row],[Amount]]</f>
        <v>1392377.0427948311</v>
      </c>
      <c r="O18" t="b">
        <f>View[[#This Row],[Prob]]&gt;=probabilityThreshold</f>
        <v>0</v>
      </c>
      <c r="P18">
        <f>SUBTOTAL(103, View[[#This Row],[S]])</f>
        <v>1</v>
      </c>
    </row>
    <row r="19" spans="4:16" x14ac:dyDescent="0.25">
      <c r="D19" s="28" t="s">
        <v>219</v>
      </c>
      <c r="E19" s="29" t="s">
        <v>47</v>
      </c>
      <c r="F19" s="30" t="s">
        <v>165</v>
      </c>
      <c r="G19" s="31" t="s">
        <v>203</v>
      </c>
      <c r="H19" s="32">
        <v>1221093.6364587056</v>
      </c>
      <c r="I19" s="33">
        <v>0.37323381926496535</v>
      </c>
      <c r="J19" s="34">
        <v>46027</v>
      </c>
      <c r="K19" s="20"/>
      <c r="L19"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FY26-Q3</v>
      </c>
      <c r="M19" s="1">
        <f>View[[#This Row],[Amount]]*View[[#This Row],[Prob]]</f>
        <v>455753.44161562785</v>
      </c>
      <c r="N19" s="2">
        <f>View[[#This Row],[Amount]]</f>
        <v>1221093.6364587056</v>
      </c>
      <c r="O19" t="b">
        <f>View[[#This Row],[Prob]]&gt;=probabilityThreshold</f>
        <v>0</v>
      </c>
      <c r="P19">
        <f>SUBTOTAL(103, View[[#This Row],[S]])</f>
        <v>1</v>
      </c>
    </row>
    <row r="20" spans="4:16" x14ac:dyDescent="0.25">
      <c r="D20" s="28" t="s">
        <v>219</v>
      </c>
      <c r="E20" s="29" t="s">
        <v>71</v>
      </c>
      <c r="F20" s="30" t="s">
        <v>172</v>
      </c>
      <c r="G20" s="31" t="s">
        <v>207</v>
      </c>
      <c r="H20" s="32">
        <v>1765408.1350371069</v>
      </c>
      <c r="I20" s="33">
        <v>0.31110880361234339</v>
      </c>
      <c r="J20" s="34">
        <v>46031</v>
      </c>
      <c r="K20" s="20"/>
      <c r="L20"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FY26-Q3</v>
      </c>
      <c r="M20" s="1">
        <f>View[[#This Row],[Amount]]*View[[#This Row],[Prob]]</f>
        <v>549234.01277889265</v>
      </c>
      <c r="N20" s="2">
        <f>View[[#This Row],[Amount]]</f>
        <v>1765408.1350371069</v>
      </c>
      <c r="O20" t="b">
        <f>View[[#This Row],[Prob]]&gt;=probabilityThreshold</f>
        <v>0</v>
      </c>
      <c r="P20">
        <f>SUBTOTAL(103, View[[#This Row],[S]])</f>
        <v>1</v>
      </c>
    </row>
    <row r="21" spans="4:16" x14ac:dyDescent="0.25">
      <c r="D21" s="28" t="s">
        <v>219</v>
      </c>
      <c r="E21" s="29" t="s">
        <v>7</v>
      </c>
      <c r="F21" s="30" t="s">
        <v>154</v>
      </c>
      <c r="G21" s="31" t="s">
        <v>204</v>
      </c>
      <c r="H21" s="32">
        <v>1378250.651671526</v>
      </c>
      <c r="I21" s="33">
        <v>0.37592667313412914</v>
      </c>
      <c r="J21" s="34">
        <v>46033</v>
      </c>
      <c r="K21" s="20"/>
      <c r="L21"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FY26-Q3</v>
      </c>
      <c r="M21" s="1">
        <f>View[[#This Row],[Amount]]*View[[#This Row],[Prob]]</f>
        <v>518121.18222782225</v>
      </c>
      <c r="N21" s="1">
        <f>View[[#This Row],[Amount]]</f>
        <v>1378250.651671526</v>
      </c>
      <c r="O21" t="b">
        <f>View[[#This Row],[Prob]]&gt;=probabilityThreshold</f>
        <v>0</v>
      </c>
      <c r="P21">
        <f>SUBTOTAL(103, View[[#This Row],[S]])</f>
        <v>1</v>
      </c>
    </row>
    <row r="22" spans="4:16" x14ac:dyDescent="0.25">
      <c r="D22" s="28" t="s">
        <v>219</v>
      </c>
      <c r="E22" s="29" t="s">
        <v>94</v>
      </c>
      <c r="F22" s="30" t="s">
        <v>176</v>
      </c>
      <c r="G22" s="31" t="s">
        <v>204</v>
      </c>
      <c r="H22" s="32">
        <v>1492365.8244404171</v>
      </c>
      <c r="I22" s="33">
        <v>0.67836787448092661</v>
      </c>
      <c r="J22" s="34">
        <v>46036</v>
      </c>
      <c r="K22" s="20"/>
      <c r="L22"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FY26-Q3</v>
      </c>
      <c r="M22" s="1">
        <f>View[[#This Row],[Amount]]*View[[#This Row],[Prob]]</f>
        <v>1012373.0322736214</v>
      </c>
      <c r="N22" s="2">
        <f>View[[#This Row],[Amount]]</f>
        <v>1492365.8244404171</v>
      </c>
      <c r="O22" t="b">
        <f>View[[#This Row],[Prob]]&gt;=probabilityThreshold</f>
        <v>0</v>
      </c>
      <c r="P22">
        <f>SUBTOTAL(103, View[[#This Row],[S]])</f>
        <v>1</v>
      </c>
    </row>
    <row r="23" spans="4:16" x14ac:dyDescent="0.25">
      <c r="D23" s="28" t="s">
        <v>219</v>
      </c>
      <c r="E23" s="29" t="s">
        <v>87</v>
      </c>
      <c r="F23" s="30" t="s">
        <v>174</v>
      </c>
      <c r="G23" s="31" t="s">
        <v>207</v>
      </c>
      <c r="H23" s="32">
        <v>918400.85679999227</v>
      </c>
      <c r="I23" s="33">
        <v>0.64807003900124549</v>
      </c>
      <c r="J23" s="34">
        <v>46042</v>
      </c>
      <c r="K23" s="20"/>
      <c r="L23"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FY26-Q3</v>
      </c>
      <c r="M23" s="1">
        <f>View[[#This Row],[Amount]]*View[[#This Row],[Prob]]</f>
        <v>595188.07908514829</v>
      </c>
      <c r="N23" s="2">
        <f>View[[#This Row],[Amount]]</f>
        <v>918400.85679999227</v>
      </c>
      <c r="O23" t="b">
        <f>View[[#This Row],[Prob]]&gt;=probabilityThreshold</f>
        <v>0</v>
      </c>
      <c r="P23">
        <f>SUBTOTAL(103, View[[#This Row],[S]])</f>
        <v>1</v>
      </c>
    </row>
    <row r="24" spans="4:16" x14ac:dyDescent="0.25">
      <c r="D24" s="28" t="s">
        <v>219</v>
      </c>
      <c r="E24" s="29" t="s">
        <v>33</v>
      </c>
      <c r="F24" s="30" t="s">
        <v>162</v>
      </c>
      <c r="G24" s="31" t="s">
        <v>204</v>
      </c>
      <c r="H24" s="32">
        <v>1169952.3907781551</v>
      </c>
      <c r="I24" s="33">
        <v>0.56088787189664668</v>
      </c>
      <c r="J24" s="34">
        <v>46051</v>
      </c>
      <c r="K24" s="20"/>
      <c r="L24"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FY26-Q3</v>
      </c>
      <c r="M24" s="1">
        <f>View[[#This Row],[Amount]]*View[[#This Row],[Prob]]</f>
        <v>656212.10668395332</v>
      </c>
      <c r="N24" s="2">
        <f>View[[#This Row],[Amount]]</f>
        <v>1169952.3907781551</v>
      </c>
      <c r="O24" t="b">
        <f>View[[#This Row],[Prob]]&gt;=probabilityThreshold</f>
        <v>0</v>
      </c>
      <c r="P24">
        <f>SUBTOTAL(103, View[[#This Row],[S]])</f>
        <v>1</v>
      </c>
    </row>
    <row r="25" spans="4:16" x14ac:dyDescent="0.25">
      <c r="D25" s="28" t="s">
        <v>220</v>
      </c>
      <c r="E25" s="29" t="s">
        <v>112</v>
      </c>
      <c r="F25" s="30" t="s">
        <v>181</v>
      </c>
      <c r="G25" s="31" t="s">
        <v>204</v>
      </c>
      <c r="H25" s="32">
        <v>864896.80746494036</v>
      </c>
      <c r="I25" s="33">
        <v>0.3461051139338529</v>
      </c>
      <c r="J25" s="34">
        <v>46074</v>
      </c>
      <c r="K25" s="20"/>
      <c r="L25"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FY26-Q3</v>
      </c>
      <c r="M25" s="1">
        <f>View[[#This Row],[Amount]]*View[[#This Row],[Prob]]</f>
        <v>299345.20808867883</v>
      </c>
      <c r="N25" s="2">
        <f>View[[#This Row],[Amount]]</f>
        <v>864896.80746494036</v>
      </c>
      <c r="O25" t="b">
        <f>View[[#This Row],[Prob]]&gt;=probabilityThreshold</f>
        <v>0</v>
      </c>
      <c r="P25">
        <f>SUBTOTAL(103, View[[#This Row],[S]])</f>
        <v>1</v>
      </c>
    </row>
    <row r="26" spans="4:16" x14ac:dyDescent="0.25">
      <c r="D26" s="28" t="s">
        <v>220</v>
      </c>
      <c r="E26" s="29" t="s">
        <v>114</v>
      </c>
      <c r="F26" s="30" t="s">
        <v>182</v>
      </c>
      <c r="G26" s="31" t="s">
        <v>207</v>
      </c>
      <c r="H26" s="32">
        <v>1458568.8466161736</v>
      </c>
      <c r="I26" s="33">
        <v>0.86368266134150673</v>
      </c>
      <c r="J26" s="34">
        <v>46122</v>
      </c>
      <c r="K26" s="20"/>
      <c r="L26"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FY26-Q4</v>
      </c>
      <c r="M26" s="1">
        <f>View[[#This Row],[Amount]]*View[[#This Row],[Prob]]</f>
        <v>1259740.6231952687</v>
      </c>
      <c r="N26" s="2">
        <f>View[[#This Row],[Amount]]</f>
        <v>1458568.8466161736</v>
      </c>
      <c r="O26" t="b">
        <f>View[[#This Row],[Prob]]&gt;=probabilityThreshold</f>
        <v>1</v>
      </c>
      <c r="P26">
        <f>SUBTOTAL(103, View[[#This Row],[S]])</f>
        <v>1</v>
      </c>
    </row>
    <row r="27" spans="4:16" x14ac:dyDescent="0.25">
      <c r="D27" s="28" t="s">
        <v>219</v>
      </c>
      <c r="E27" s="29" t="s">
        <v>101</v>
      </c>
      <c r="F27" s="30" t="s">
        <v>177</v>
      </c>
      <c r="G27" s="31" t="s">
        <v>208</v>
      </c>
      <c r="H27" s="32">
        <v>803965.35716816538</v>
      </c>
      <c r="I27" s="33">
        <v>0.44776550524449876</v>
      </c>
      <c r="J27" s="34">
        <v>46128</v>
      </c>
      <c r="K27" s="20"/>
      <c r="L27"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FY26-Q4</v>
      </c>
      <c r="M27" s="1">
        <f>View[[#This Row],[Amount]]*View[[#This Row],[Prob]]</f>
        <v>359987.9543514775</v>
      </c>
      <c r="N27" s="2">
        <f>View[[#This Row],[Amount]]</f>
        <v>803965.35716816538</v>
      </c>
      <c r="O27" t="b">
        <f>View[[#This Row],[Prob]]&gt;=probabilityThreshold</f>
        <v>0</v>
      </c>
      <c r="P27">
        <f>SUBTOTAL(103, View[[#This Row],[S]])</f>
        <v>1</v>
      </c>
    </row>
    <row r="28" spans="4:16" x14ac:dyDescent="0.25">
      <c r="D28" s="28" t="s">
        <v>219</v>
      </c>
      <c r="E28" s="29" t="s">
        <v>12</v>
      </c>
      <c r="F28" s="30" t="s">
        <v>158</v>
      </c>
      <c r="G28" s="31" t="s">
        <v>204</v>
      </c>
      <c r="H28" s="32">
        <v>845875.25199169316</v>
      </c>
      <c r="I28" s="33">
        <v>0.73539586159218961</v>
      </c>
      <c r="J28" s="34">
        <v>46156</v>
      </c>
      <c r="K28" s="20"/>
      <c r="L28"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FY26-Q4</v>
      </c>
      <c r="M28" s="1">
        <f>View[[#This Row],[Amount]]*View[[#This Row],[Prob]]</f>
        <v>622053.15973794169</v>
      </c>
      <c r="N28" s="2">
        <f>View[[#This Row],[Amount]]</f>
        <v>845875.25199169316</v>
      </c>
      <c r="O28" t="b">
        <f>View[[#This Row],[Prob]]&gt;=probabilityThreshold</f>
        <v>0</v>
      </c>
      <c r="P28">
        <f>SUBTOTAL(103, View[[#This Row],[S]])</f>
        <v>1</v>
      </c>
    </row>
    <row r="29" spans="4:16" x14ac:dyDescent="0.25">
      <c r="D29" s="28" t="s">
        <v>219</v>
      </c>
      <c r="E29" s="29" t="s">
        <v>7</v>
      </c>
      <c r="F29" s="30" t="s">
        <v>157</v>
      </c>
      <c r="G29" s="31" t="s">
        <v>204</v>
      </c>
      <c r="H29" s="32">
        <v>283294.76357629395</v>
      </c>
      <c r="I29" s="33">
        <v>0.35124330873820664</v>
      </c>
      <c r="J29" s="34">
        <v>46160</v>
      </c>
      <c r="K29" s="20"/>
      <c r="L29"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FY26-Q4</v>
      </c>
      <c r="M29" s="1">
        <f>View[[#This Row],[Amount]]*View[[#This Row],[Prob]]</f>
        <v>99505.390106745472</v>
      </c>
      <c r="N29" s="2">
        <f>View[[#This Row],[Amount]]</f>
        <v>283294.76357629395</v>
      </c>
      <c r="O29" t="b">
        <f>View[[#This Row],[Prob]]&gt;=probabilityThreshold</f>
        <v>0</v>
      </c>
      <c r="P29">
        <f>SUBTOTAL(103, View[[#This Row],[S]])</f>
        <v>1</v>
      </c>
    </row>
    <row r="30" spans="4:16" x14ac:dyDescent="0.25">
      <c r="D30" s="28" t="s">
        <v>220</v>
      </c>
      <c r="E30" s="29" t="s">
        <v>75</v>
      </c>
      <c r="F30" s="30" t="s">
        <v>173</v>
      </c>
      <c r="G30" s="31" t="s">
        <v>206</v>
      </c>
      <c r="H30" s="32">
        <v>469308.25897959364</v>
      </c>
      <c r="I30" s="33">
        <v>0.31211763964854722</v>
      </c>
      <c r="J30" s="34">
        <v>46170</v>
      </c>
      <c r="K30" s="20"/>
      <c r="L30"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FY26-Q4</v>
      </c>
      <c r="M30" s="1">
        <f>View[[#This Row],[Amount]]*View[[#This Row],[Prob]]</f>
        <v>146479.38606027988</v>
      </c>
      <c r="N30" s="2">
        <f>View[[#This Row],[Amount]]</f>
        <v>469308.25897959364</v>
      </c>
      <c r="O30" t="b">
        <f>View[[#This Row],[Prob]]&gt;=probabilityThreshold</f>
        <v>0</v>
      </c>
      <c r="P30">
        <f>SUBTOTAL(103, View[[#This Row],[S]])</f>
        <v>1</v>
      </c>
    </row>
    <row r="31" spans="4:16" x14ac:dyDescent="0.25">
      <c r="D31" s="28" t="s">
        <v>220</v>
      </c>
      <c r="E31" s="29" t="s">
        <v>114</v>
      </c>
      <c r="F31" s="30" t="s">
        <v>183</v>
      </c>
      <c r="G31" s="31" t="s">
        <v>204</v>
      </c>
      <c r="H31" s="32">
        <v>930574.96785697236</v>
      </c>
      <c r="I31" s="33">
        <v>0.33429586025062907</v>
      </c>
      <c r="J31" s="34">
        <v>46172</v>
      </c>
      <c r="K31" s="20"/>
      <c r="L31"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FY26-Q4</v>
      </c>
      <c r="M31" s="1">
        <f>View[[#This Row],[Amount]]*View[[#This Row],[Prob]]</f>
        <v>311087.35940744809</v>
      </c>
      <c r="N31" s="2">
        <f>View[[#This Row],[Amount]]</f>
        <v>930574.96785697236</v>
      </c>
      <c r="O31" t="b">
        <f>View[[#This Row],[Prob]]&gt;=probabilityThreshold</f>
        <v>0</v>
      </c>
      <c r="P31">
        <f>SUBTOTAL(103, View[[#This Row],[S]])</f>
        <v>1</v>
      </c>
    </row>
    <row r="32" spans="4:16" x14ac:dyDescent="0.25">
      <c r="D32" s="28" t="s">
        <v>219</v>
      </c>
      <c r="E32" s="29" t="s">
        <v>55</v>
      </c>
      <c r="F32" s="30" t="s">
        <v>168</v>
      </c>
      <c r="G32" s="31" t="s">
        <v>204</v>
      </c>
      <c r="H32" s="32">
        <v>800887.78620236204</v>
      </c>
      <c r="I32" s="33">
        <v>0.36297245096642911</v>
      </c>
      <c r="J32" s="34">
        <v>46183</v>
      </c>
      <c r="K32" s="20"/>
      <c r="L32"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FY26-Q4</v>
      </c>
      <c r="M32" s="1">
        <f>View[[#This Row],[Amount]]*View[[#This Row],[Prob]]</f>
        <v>290700.2027069488</v>
      </c>
      <c r="N32" s="2">
        <f>View[[#This Row],[Amount]]</f>
        <v>800887.78620236204</v>
      </c>
      <c r="O32" t="b">
        <f>View[[#This Row],[Prob]]&gt;=probabilityThreshold</f>
        <v>0</v>
      </c>
      <c r="P32">
        <f>SUBTOTAL(103, View[[#This Row],[S]])</f>
        <v>1</v>
      </c>
    </row>
    <row r="33" spans="1:16" x14ac:dyDescent="0.25">
      <c r="D33" s="28" t="s">
        <v>219</v>
      </c>
      <c r="E33" s="29" t="s">
        <v>127</v>
      </c>
      <c r="F33" s="30" t="s">
        <v>185</v>
      </c>
      <c r="G33" s="31" t="s">
        <v>206</v>
      </c>
      <c r="H33" s="32">
        <v>1203065.4598069841</v>
      </c>
      <c r="I33" s="33">
        <v>0.57563116853246576</v>
      </c>
      <c r="J33" s="34">
        <v>46211</v>
      </c>
      <c r="K33" s="20"/>
      <c r="L33"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FY27-Q1</v>
      </c>
      <c r="M33" s="1">
        <f>View[[#This Row],[Amount]]*View[[#This Row],[Prob]]</f>
        <v>692521.97644974245</v>
      </c>
      <c r="N33" s="2">
        <f>View[[#This Row],[Amount]]</f>
        <v>1203065.4598069841</v>
      </c>
      <c r="O33" t="b">
        <f>View[[#This Row],[Prob]]&gt;=probabilityThreshold</f>
        <v>0</v>
      </c>
      <c r="P33">
        <f>SUBTOTAL(103, View[[#This Row],[S]])</f>
        <v>1</v>
      </c>
    </row>
    <row r="34" spans="1:16" x14ac:dyDescent="0.25">
      <c r="D34" s="28" t="s">
        <v>220</v>
      </c>
      <c r="E34" s="29" t="s">
        <v>118</v>
      </c>
      <c r="F34" s="30" t="s">
        <v>184</v>
      </c>
      <c r="G34" s="31" t="s">
        <v>205</v>
      </c>
      <c r="H34" s="32">
        <v>1069843.330862097</v>
      </c>
      <c r="I34" s="33">
        <v>0.74551220863102308</v>
      </c>
      <c r="J34" s="34">
        <v>46215</v>
      </c>
      <c r="K34" s="20"/>
      <c r="L34"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FY27-Q1</v>
      </c>
      <c r="M34" s="1">
        <f>View[[#This Row],[Amount]]*View[[#This Row],[Prob]]</f>
        <v>797581.26448017231</v>
      </c>
      <c r="N34" s="2">
        <f>View[[#This Row],[Amount]]</f>
        <v>1069843.330862097</v>
      </c>
      <c r="O34" t="b">
        <f>View[[#This Row],[Prob]]&gt;=probabilityThreshold</f>
        <v>0</v>
      </c>
      <c r="P34">
        <f>SUBTOTAL(103, View[[#This Row],[S]])</f>
        <v>1</v>
      </c>
    </row>
    <row r="35" spans="1:16" x14ac:dyDescent="0.25">
      <c r="D35" s="28" t="s">
        <v>219</v>
      </c>
      <c r="E35" s="29" t="s">
        <v>60</v>
      </c>
      <c r="F35" s="30" t="s">
        <v>169</v>
      </c>
      <c r="G35" s="31" t="s">
        <v>204</v>
      </c>
      <c r="H35" s="32">
        <v>881378.6165730377</v>
      </c>
      <c r="I35" s="33">
        <v>0.52213947241931347</v>
      </c>
      <c r="J35" s="34">
        <v>46232</v>
      </c>
      <c r="K35" s="20"/>
      <c r="L35"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FY27-Q1</v>
      </c>
      <c r="M35" s="1">
        <f>View[[#This Row],[Amount]]*View[[#This Row],[Prob]]</f>
        <v>460202.56585911027</v>
      </c>
      <c r="N35" s="2">
        <f>View[[#This Row],[Amount]]</f>
        <v>881378.6165730377</v>
      </c>
      <c r="O35" t="b">
        <f>View[[#This Row],[Prob]]&gt;=probabilityThreshold</f>
        <v>0</v>
      </c>
      <c r="P35">
        <f>SUBTOTAL(103, View[[#This Row],[S]])</f>
        <v>1</v>
      </c>
    </row>
    <row r="36" spans="1:16" x14ac:dyDescent="0.25">
      <c r="D36" s="28" t="s">
        <v>220</v>
      </c>
      <c r="E36" s="29" t="s">
        <v>40</v>
      </c>
      <c r="F36" s="30" t="s">
        <v>163</v>
      </c>
      <c r="G36" s="31" t="s">
        <v>207</v>
      </c>
      <c r="H36" s="32">
        <v>1244232.9771232349</v>
      </c>
      <c r="I36" s="33">
        <v>0.42211788721321142</v>
      </c>
      <c r="J36" s="34">
        <v>46250</v>
      </c>
      <c r="K36" s="20"/>
      <c r="L36"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FY27-Q1</v>
      </c>
      <c r="M36" s="1">
        <f>View[[#This Row],[Amount]]*View[[#This Row],[Prob]]</f>
        <v>525212.9955042639</v>
      </c>
      <c r="N36" s="2">
        <f>View[[#This Row],[Amount]]</f>
        <v>1244232.9771232349</v>
      </c>
      <c r="O36" t="b">
        <f>View[[#This Row],[Prob]]&gt;=probabilityThreshold</f>
        <v>0</v>
      </c>
      <c r="P36">
        <f>SUBTOTAL(103, View[[#This Row],[S]])</f>
        <v>1</v>
      </c>
    </row>
    <row r="37" spans="1:16" x14ac:dyDescent="0.25">
      <c r="D37" s="28" t="s">
        <v>220</v>
      </c>
      <c r="E37" s="29" t="s">
        <v>7</v>
      </c>
      <c r="F37" s="30" t="s">
        <v>151</v>
      </c>
      <c r="G37" s="31" t="s">
        <v>203</v>
      </c>
      <c r="H37" s="32">
        <v>1263177.4497572163</v>
      </c>
      <c r="I37" s="33">
        <v>0.43232126824061978</v>
      </c>
      <c r="J37" s="34">
        <v>46266</v>
      </c>
      <c r="K37" s="20"/>
      <c r="L37"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FY27-Q1</v>
      </c>
      <c r="M37" s="1">
        <f>View[[#This Row],[Amount]]*View[[#This Row],[Prob]]</f>
        <v>546098.47709199146</v>
      </c>
      <c r="N37" s="2">
        <f>View[[#This Row],[Amount]]</f>
        <v>1263177.4497572163</v>
      </c>
      <c r="O37" t="b">
        <f>View[[#This Row],[Prob]]&gt;=probabilityThreshold</f>
        <v>0</v>
      </c>
      <c r="P37">
        <f>SUBTOTAL(103, View[[#This Row],[S]])</f>
        <v>1</v>
      </c>
    </row>
    <row r="38" spans="1:16" x14ac:dyDescent="0.25">
      <c r="D38" s="28" t="s">
        <v>221</v>
      </c>
      <c r="E38" s="29" t="s">
        <v>130</v>
      </c>
      <c r="F38" s="30" t="s">
        <v>188</v>
      </c>
      <c r="G38" s="31" t="s">
        <v>206</v>
      </c>
      <c r="H38" s="32">
        <v>1106463.0999175219</v>
      </c>
      <c r="I38" s="33">
        <v>0.39845978878682703</v>
      </c>
      <c r="J38" s="34">
        <v>46287</v>
      </c>
      <c r="K38" s="20"/>
      <c r="L38"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FY27-Q1</v>
      </c>
      <c r="M38" s="1">
        <f>View[[#This Row],[Amount]]*View[[#This Row],[Prob]]</f>
        <v>440881.0530935537</v>
      </c>
      <c r="N38" s="2">
        <f>View[[#This Row],[Amount]]</f>
        <v>1106463.0999175219</v>
      </c>
      <c r="O38" t="b">
        <f>View[[#This Row],[Prob]]&gt;=probabilityThreshold</f>
        <v>0</v>
      </c>
      <c r="P38">
        <f>SUBTOTAL(103, View[[#This Row],[S]])</f>
        <v>1</v>
      </c>
    </row>
    <row r="39" spans="1:16" x14ac:dyDescent="0.25">
      <c r="D39" s="28" t="s">
        <v>219</v>
      </c>
      <c r="E39" s="29" t="s">
        <v>127</v>
      </c>
      <c r="F39" s="30" t="s">
        <v>187</v>
      </c>
      <c r="G39" s="31" t="s">
        <v>207</v>
      </c>
      <c r="H39" s="32">
        <v>939292.63843127852</v>
      </c>
      <c r="I39" s="33">
        <v>0.47582107534042301</v>
      </c>
      <c r="J39" s="34">
        <v>46299</v>
      </c>
      <c r="K39" s="20"/>
      <c r="L39"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FY27-Q2</v>
      </c>
      <c r="M39" s="1">
        <f>View[[#This Row],[Amount]]*View[[#This Row],[Prob]]</f>
        <v>446935.23327771405</v>
      </c>
      <c r="N39" s="2">
        <f>View[[#This Row],[Amount]]</f>
        <v>939292.63843127852</v>
      </c>
      <c r="O39" t="b">
        <f>View[[#This Row],[Prob]]&gt;=probabilityThreshold</f>
        <v>0</v>
      </c>
      <c r="P39">
        <f>SUBTOTAL(103, View[[#This Row],[S]])</f>
        <v>1</v>
      </c>
    </row>
    <row r="40" spans="1:16" x14ac:dyDescent="0.25">
      <c r="D40" s="28" t="s">
        <v>220</v>
      </c>
      <c r="E40" s="29" t="s">
        <v>137</v>
      </c>
      <c r="F40" s="30" t="s">
        <v>191</v>
      </c>
      <c r="G40" s="31" t="s">
        <v>206</v>
      </c>
      <c r="H40" s="32">
        <v>1203259.1858662737</v>
      </c>
      <c r="I40" s="33">
        <v>0.36897023214333502</v>
      </c>
      <c r="J40" s="34">
        <v>46319</v>
      </c>
      <c r="K40" s="20"/>
      <c r="L40"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FY27-Q2</v>
      </c>
      <c r="M40" s="1">
        <f>View[[#This Row],[Amount]]*View[[#This Row],[Prob]]</f>
        <v>443966.82113767933</v>
      </c>
      <c r="N40" s="2">
        <f>View[[#This Row],[Amount]]</f>
        <v>1203259.1858662737</v>
      </c>
      <c r="O40" t="b">
        <f>View[[#This Row],[Prob]]&gt;=probabilityThreshold</f>
        <v>0</v>
      </c>
      <c r="P40">
        <f>SUBTOTAL(103, View[[#This Row],[S]])</f>
        <v>1</v>
      </c>
    </row>
    <row r="41" spans="1:16" x14ac:dyDescent="0.25">
      <c r="D41" s="28" t="s">
        <v>220</v>
      </c>
      <c r="E41" s="29" t="s">
        <v>90</v>
      </c>
      <c r="F41" s="30" t="s">
        <v>175</v>
      </c>
      <c r="G41" s="31" t="s">
        <v>207</v>
      </c>
      <c r="H41" s="32">
        <v>845990.39767257101</v>
      </c>
      <c r="I41" s="33">
        <v>0.56232966198635881</v>
      </c>
      <c r="J41" s="34">
        <v>46341</v>
      </c>
      <c r="K41" s="20"/>
      <c r="L41"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FY27-Q2</v>
      </c>
      <c r="M41" s="1">
        <f>View[[#This Row],[Amount]]*View[[#This Row],[Prob]]</f>
        <v>475725.49436692212</v>
      </c>
      <c r="N41" s="2">
        <f>View[[#This Row],[Amount]]</f>
        <v>845990.39767257101</v>
      </c>
      <c r="O41" t="b">
        <f>View[[#This Row],[Prob]]&gt;=probabilityThreshold</f>
        <v>0</v>
      </c>
      <c r="P41">
        <f>SUBTOTAL(103, View[[#This Row],[S]])</f>
        <v>1</v>
      </c>
    </row>
    <row r="42" spans="1:16" x14ac:dyDescent="0.25">
      <c r="A42" s="2"/>
      <c r="D42" s="28" t="s">
        <v>219</v>
      </c>
      <c r="E42" s="29" t="s">
        <v>50</v>
      </c>
      <c r="F42" s="30" t="s">
        <v>166</v>
      </c>
      <c r="G42" s="31" t="s">
        <v>208</v>
      </c>
      <c r="H42" s="32">
        <v>1280771.761733053</v>
      </c>
      <c r="I42" s="33">
        <v>0.62115941347945047</v>
      </c>
      <c r="J42" s="34">
        <v>46357</v>
      </c>
      <c r="K42" s="20"/>
      <c r="L42"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FY27-Q2</v>
      </c>
      <c r="M42" s="1">
        <f>View[[#This Row],[Amount]]*View[[#This Row],[Prob]]</f>
        <v>795563.43631914572</v>
      </c>
      <c r="N42" s="2">
        <f>View[[#This Row],[Amount]]</f>
        <v>1280771.761733053</v>
      </c>
      <c r="O42" t="b">
        <f>View[[#This Row],[Prob]]&gt;=probabilityThreshold</f>
        <v>0</v>
      </c>
      <c r="P42">
        <f>SUBTOTAL(103, View[[#This Row],[S]])</f>
        <v>1</v>
      </c>
    </row>
    <row r="43" spans="1:16" x14ac:dyDescent="0.25">
      <c r="D43" s="28" t="s">
        <v>219</v>
      </c>
      <c r="E43" s="29" t="s">
        <v>137</v>
      </c>
      <c r="F43" s="30" t="s">
        <v>192</v>
      </c>
      <c r="G43" s="31" t="s">
        <v>203</v>
      </c>
      <c r="H43" s="32">
        <v>809292.9130435728</v>
      </c>
      <c r="I43" s="33">
        <v>0.50604704896587427</v>
      </c>
      <c r="J43" s="34">
        <v>46376</v>
      </c>
      <c r="K43" s="20"/>
      <c r="L43" s="19"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Date]])&lt;MONTH(fqStart),12,0))/3,0),"CY"&amp;RIGHT(YEAR(View[[#This Row],[Close Date]]),2)&amp;"-Q"&amp;ROUNDUP(MONTH(View[[#This Row],[Close Date]])/3, 0))</f>
        <v>FY27-Q2</v>
      </c>
      <c r="M43" s="1">
        <f>View[[#This Row],[Amount]]*View[[#This Row],[Prob]]</f>
        <v>409540.29039469588</v>
      </c>
      <c r="N43" s="2">
        <f>View[[#This Row],[Amount]]</f>
        <v>809292.9130435728</v>
      </c>
      <c r="O43" t="b">
        <f>View[[#This Row],[Prob]]&gt;=probabilityThreshold</f>
        <v>0</v>
      </c>
      <c r="P43">
        <f>SUBTOTAL(103, View[[#This Row],[S]])</f>
        <v>1</v>
      </c>
    </row>
    <row r="52" spans="1:2" x14ac:dyDescent="0.25">
      <c r="A52" s="39"/>
      <c r="B52" s="39"/>
    </row>
    <row r="53" spans="1:2" x14ac:dyDescent="0.25">
      <c r="A53" s="39"/>
      <c r="B53" s="39"/>
    </row>
    <row r="54" spans="1:2" x14ac:dyDescent="0.25">
      <c r="A54" s="39"/>
      <c r="B54" s="39"/>
    </row>
    <row r="55" spans="1:2" x14ac:dyDescent="0.25">
      <c r="A55" s="39"/>
      <c r="B55" s="39"/>
    </row>
    <row r="56" spans="1:2" x14ac:dyDescent="0.25">
      <c r="A56" s="39"/>
      <c r="B56" s="39"/>
    </row>
    <row r="57" spans="1:2" x14ac:dyDescent="0.25">
      <c r="A57" s="39"/>
      <c r="B57" s="39"/>
    </row>
    <row r="58" spans="1:2" x14ac:dyDescent="0.25">
      <c r="A58" s="39"/>
      <c r="B58" s="39"/>
    </row>
    <row r="59" spans="1:2" x14ac:dyDescent="0.25">
      <c r="A59" s="39"/>
      <c r="B59" s="39"/>
    </row>
    <row r="60" spans="1:2" x14ac:dyDescent="0.25">
      <c r="A60" s="39"/>
      <c r="B60" s="39"/>
    </row>
    <row r="61" spans="1:2" x14ac:dyDescent="0.25">
      <c r="A61" s="39"/>
      <c r="B61" s="39"/>
    </row>
    <row r="62" spans="1:2" x14ac:dyDescent="0.25">
      <c r="A62" s="39"/>
      <c r="B62" s="39"/>
    </row>
    <row r="63" spans="1:2" x14ac:dyDescent="0.25">
      <c r="A63" s="39"/>
      <c r="B63" s="39"/>
    </row>
    <row r="64" spans="1:2" x14ac:dyDescent="0.25">
      <c r="A64" s="39"/>
      <c r="B64" s="39"/>
    </row>
    <row r="65" spans="1:2" x14ac:dyDescent="0.25">
      <c r="A65" s="39"/>
      <c r="B65" s="39"/>
    </row>
    <row r="66" spans="1:2" x14ac:dyDescent="0.25">
      <c r="A66" s="39"/>
      <c r="B66" s="39"/>
    </row>
    <row r="67" spans="1:2" x14ac:dyDescent="0.25">
      <c r="A67" s="39"/>
      <c r="B67" s="39"/>
    </row>
    <row r="68" spans="1:2" x14ac:dyDescent="0.25">
      <c r="A68" s="39"/>
      <c r="B68" s="39"/>
    </row>
    <row r="69" spans="1:2" x14ac:dyDescent="0.25">
      <c r="A69" s="39"/>
      <c r="B69" s="39"/>
    </row>
    <row r="70" spans="1:2" x14ac:dyDescent="0.25">
      <c r="A70" s="39"/>
      <c r="B70" s="39"/>
    </row>
    <row r="71" spans="1:2" x14ac:dyDescent="0.25">
      <c r="A71" s="39"/>
      <c r="B71" s="39"/>
    </row>
    <row r="72" spans="1:2" x14ac:dyDescent="0.25">
      <c r="A72" s="39"/>
      <c r="B72" s="39"/>
    </row>
    <row r="73" spans="1:2" x14ac:dyDescent="0.25">
      <c r="A73" s="39"/>
      <c r="B73" s="39"/>
    </row>
    <row r="74" spans="1:2" x14ac:dyDescent="0.25">
      <c r="A74" s="39"/>
      <c r="B74" s="39"/>
    </row>
    <row r="75" spans="1:2" x14ac:dyDescent="0.25">
      <c r="A75" s="39"/>
      <c r="B75" s="39"/>
    </row>
    <row r="76" spans="1:2" x14ac:dyDescent="0.25">
      <c r="A76" s="39"/>
      <c r="B76" s="39"/>
    </row>
    <row r="77" spans="1:2" x14ac:dyDescent="0.25">
      <c r="A77" s="39"/>
      <c r="B77" s="39"/>
    </row>
    <row r="78" spans="1:2" x14ac:dyDescent="0.25">
      <c r="A78" s="39"/>
      <c r="B78" s="39"/>
    </row>
    <row r="79" spans="1:2" x14ac:dyDescent="0.25">
      <c r="A79" s="39"/>
      <c r="B79" s="39"/>
    </row>
    <row r="80" spans="1:2" x14ac:dyDescent="0.25">
      <c r="A80" s="39"/>
      <c r="B80" s="39"/>
    </row>
    <row r="81" spans="1:2" x14ac:dyDescent="0.25">
      <c r="A81" s="39"/>
      <c r="B81" s="39"/>
    </row>
    <row r="82" spans="1:2" x14ac:dyDescent="0.25">
      <c r="A82" s="39"/>
      <c r="B82" s="39"/>
    </row>
    <row r="83" spans="1:2" x14ac:dyDescent="0.25">
      <c r="A83" s="39"/>
      <c r="B83" s="39"/>
    </row>
    <row r="84" spans="1:2" x14ac:dyDescent="0.25">
      <c r="A84" s="39"/>
      <c r="B84" s="39"/>
    </row>
    <row r="85" spans="1:2" x14ac:dyDescent="0.25">
      <c r="A85" s="39"/>
      <c r="B85" s="39"/>
    </row>
    <row r="86" spans="1:2" x14ac:dyDescent="0.25">
      <c r="A86" s="39"/>
      <c r="B86" s="39"/>
    </row>
    <row r="87" spans="1:2" x14ac:dyDescent="0.25">
      <c r="A87" s="39"/>
      <c r="B87" s="39"/>
    </row>
  </sheetData>
  <phoneticPr fontId="5" type="noConversion"/>
  <conditionalFormatting sqref="D8:D43">
    <cfRule type="expression" dxfId="8" priority="19">
      <formula>D8="⚠"</formula>
    </cfRule>
    <cfRule type="expression" dxfId="7" priority="20">
      <formula>D8="⮾"</formula>
    </cfRule>
    <cfRule type="expression" dxfId="6" priority="21">
      <formula>D8="✓"</formula>
    </cfRule>
  </conditionalFormatting>
  <conditionalFormatting sqref="G8:G43">
    <cfRule type="expression" dxfId="5" priority="6">
      <formula>G8="3 - Proposal"</formula>
    </cfRule>
    <cfRule type="expression" dxfId="4" priority="7">
      <formula>G8="4 - Negotiation"</formula>
    </cfRule>
    <cfRule type="expression" dxfId="3" priority="8">
      <formula>G8="5 - Project Execution"</formula>
    </cfRule>
    <cfRule type="expression" dxfId="2" priority="9">
      <formula>G8="6 - Closeout"</formula>
    </cfRule>
    <cfRule type="expression" dxfId="1" priority="10">
      <formula>G8="1 - Lead Qualification"</formula>
    </cfRule>
    <cfRule type="expression" dxfId="0" priority="11">
      <formula>G8="2 - Nurturing"</formula>
    </cfRule>
  </conditionalFormatting>
  <conditionalFormatting sqref="I8:I43">
    <cfRule type="iconSet" priority="17">
      <iconSet iconSet="4Rating">
        <cfvo type="percent" val="0"/>
        <cfvo type="percent" val="25"/>
        <cfvo type="percent" val="50"/>
        <cfvo type="percent" val="75"/>
      </iconSet>
    </cfRule>
  </conditionalFormatting>
  <conditionalFormatting sqref="M8:M43">
    <cfRule type="dataBar" priority="5">
      <dataBar>
        <cfvo type="min"/>
        <cfvo type="max"/>
        <color rgb="FF638EC6"/>
      </dataBar>
      <extLst>
        <ext xmlns:x14="http://schemas.microsoft.com/office/spreadsheetml/2009/9/main" uri="{B025F937-C7B1-47D3-B67F-A62EFF666E3E}">
          <x14:id>{F92FD29D-C88D-410A-ACA9-27F3C313DEBC}</x14:id>
        </ext>
      </extLst>
    </cfRule>
  </conditionalFormatting>
  <conditionalFormatting sqref="N8">
    <cfRule type="dataBar" priority="4">
      <dataBar>
        <cfvo type="min"/>
        <cfvo type="max"/>
        <color rgb="FF638EC6"/>
      </dataBar>
      <extLst>
        <ext xmlns:x14="http://schemas.microsoft.com/office/spreadsheetml/2009/9/main" uri="{B025F937-C7B1-47D3-B67F-A62EFF666E3E}">
          <x14:id>{2422D1C5-79B1-490D-9A73-8B6B0ECAC5E0}</x14:id>
        </ext>
      </extLst>
    </cfRule>
  </conditionalFormatting>
  <conditionalFormatting sqref="N8:N43">
    <cfRule type="dataBar" priority="3">
      <dataBar>
        <cfvo type="min"/>
        <cfvo type="max"/>
        <color rgb="FF638EC6"/>
      </dataBar>
      <extLst>
        <ext xmlns:x14="http://schemas.microsoft.com/office/spreadsheetml/2009/9/main" uri="{B025F937-C7B1-47D3-B67F-A62EFF666E3E}">
          <x14:id>{6F3859E8-06BC-4889-A7F8-351765CFA609}</x14:id>
        </ext>
      </extLst>
    </cfRule>
  </conditionalFormatting>
  <dataValidations count="4">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 type="list" allowBlank="1" showInputMessage="1" showErrorMessage="1" sqref="D8:D43" xr:uid="{74285B01-3CB5-4572-9127-BBBDB1329B2A}">
      <formula1>"✓,⚠,⮾"</formula1>
    </dataValidation>
    <dataValidation type="list" allowBlank="1" showInputMessage="1" showErrorMessage="1" sqref="G8:G43" xr:uid="{22EA5CA3-8FD2-422B-936C-587BD50C0964}">
      <formula1>"1 - Lead Qualification,2 - Nurturing,3 - Proposal,4 - Negotiation,5 - Project Execution,6 - Closeout"</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M8:M43</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N8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N8:N43</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tabColor rgb="FF660000"/>
  </sheetPr>
  <dimension ref="A1:Q32"/>
  <sheetViews>
    <sheetView showGridLines="0" workbookViewId="0">
      <selection activeCell="F42" sqref="F42"/>
    </sheetView>
  </sheetViews>
  <sheetFormatPr defaultRowHeight="15" x14ac:dyDescent="0.25"/>
  <cols>
    <col min="1" max="1" width="26.85546875" bestFit="1" customWidth="1"/>
    <col min="2" max="2" width="20.42578125" bestFit="1" customWidth="1"/>
    <col min="3" max="3" width="22.5703125" bestFit="1" customWidth="1"/>
    <col min="4" max="4" width="18.85546875" bestFit="1" customWidth="1"/>
    <col min="5" max="5" width="26.28515625" bestFit="1" customWidth="1"/>
    <col min="6" max="6" width="20" bestFit="1" customWidth="1"/>
    <col min="7" max="7" width="29.7109375" bestFit="1" customWidth="1"/>
    <col min="8" max="8" width="25" bestFit="1" customWidth="1"/>
    <col min="9" max="9" width="14.7109375" bestFit="1" customWidth="1"/>
    <col min="10" max="10" width="19.28515625" bestFit="1" customWidth="1"/>
    <col min="11" max="11" width="19" bestFit="1" customWidth="1"/>
    <col min="12" max="12" width="18.7109375" bestFit="1" customWidth="1"/>
    <col min="13" max="13" width="18.42578125" bestFit="1" customWidth="1"/>
    <col min="14" max="14" width="81.140625" bestFit="1" customWidth="1"/>
    <col min="17" max="17" width="40.5703125" bestFit="1" customWidth="1"/>
  </cols>
  <sheetData>
    <row r="1" spans="1:8" x14ac:dyDescent="0.25">
      <c r="A1" t="s">
        <v>0</v>
      </c>
      <c r="B1" t="s">
        <v>1</v>
      </c>
      <c r="C1" t="s">
        <v>2</v>
      </c>
      <c r="D1" t="s">
        <v>3</v>
      </c>
      <c r="E1" t="s">
        <v>4</v>
      </c>
      <c r="F1" t="s">
        <v>5</v>
      </c>
      <c r="G1" t="s">
        <v>6</v>
      </c>
      <c r="H1" t="s">
        <v>233</v>
      </c>
    </row>
    <row r="2" spans="1:8" x14ac:dyDescent="0.25">
      <c r="A2" s="25" t="s">
        <v>7</v>
      </c>
      <c r="B2" s="25" t="s">
        <v>8</v>
      </c>
      <c r="C2" s="25" t="s">
        <v>9</v>
      </c>
      <c r="D2" s="25" t="s">
        <v>10</v>
      </c>
      <c r="E2" s="25" t="s">
        <v>11</v>
      </c>
      <c r="F2" s="25"/>
      <c r="G2" s="25"/>
      <c r="H2" s="23">
        <f>SUMIF(View[Customer],Customers[[#This Row],[Title]],View[Amount])/1000</f>
        <v>2924.7228650050361</v>
      </c>
    </row>
    <row r="3" spans="1:8" x14ac:dyDescent="0.25">
      <c r="A3" s="25" t="s">
        <v>12</v>
      </c>
      <c r="B3" s="25" t="s">
        <v>13</v>
      </c>
      <c r="C3" s="25" t="s">
        <v>14</v>
      </c>
      <c r="D3" s="25" t="s">
        <v>15</v>
      </c>
      <c r="E3" s="25" t="s">
        <v>16</v>
      </c>
      <c r="F3" s="25" t="s">
        <v>17</v>
      </c>
      <c r="G3" s="25" t="s">
        <v>18</v>
      </c>
      <c r="H3" s="23">
        <f>SUMIF(View[Customer],Customers[[#This Row],[Title]],View[Amount])/1000</f>
        <v>845.87525199169318</v>
      </c>
    </row>
    <row r="4" spans="1:8" x14ac:dyDescent="0.25">
      <c r="A4" s="25" t="s">
        <v>19</v>
      </c>
      <c r="B4" s="25" t="s">
        <v>20</v>
      </c>
      <c r="C4" s="25" t="s">
        <v>21</v>
      </c>
      <c r="D4" s="25" t="s">
        <v>22</v>
      </c>
      <c r="E4" s="25" t="s">
        <v>23</v>
      </c>
      <c r="F4" s="25" t="s">
        <v>24</v>
      </c>
      <c r="G4" s="25" t="s">
        <v>25</v>
      </c>
      <c r="H4" s="23">
        <f>SUMIF(View[Customer],Customers[[#This Row],[Title]],View[Amount])/1000</f>
        <v>1149.9468673766573</v>
      </c>
    </row>
    <row r="5" spans="1:8" x14ac:dyDescent="0.25">
      <c r="A5" s="25" t="s">
        <v>26</v>
      </c>
      <c r="B5" s="25" t="s">
        <v>27</v>
      </c>
      <c r="C5" s="25" t="s">
        <v>28</v>
      </c>
      <c r="D5" s="25" t="s">
        <v>29</v>
      </c>
      <c r="E5" s="25" t="s">
        <v>30</v>
      </c>
      <c r="F5" s="25" t="s">
        <v>31</v>
      </c>
      <c r="G5" s="25" t="s">
        <v>32</v>
      </c>
      <c r="H5" s="23">
        <f>SUMIF(View[Customer],Customers[[#This Row],[Title]],View[Amount])/1000</f>
        <v>801.7886826531867</v>
      </c>
    </row>
    <row r="6" spans="1:8" x14ac:dyDescent="0.25">
      <c r="A6" s="25" t="s">
        <v>33</v>
      </c>
      <c r="B6" s="25" t="s">
        <v>34</v>
      </c>
      <c r="C6" s="25" t="s">
        <v>35</v>
      </c>
      <c r="D6" s="25" t="s">
        <v>36</v>
      </c>
      <c r="E6" s="25" t="s">
        <v>37</v>
      </c>
      <c r="F6" s="25" t="s">
        <v>38</v>
      </c>
      <c r="G6" s="25" t="s">
        <v>39</v>
      </c>
      <c r="H6" s="23">
        <f>SUMIF(View[Customer],Customers[[#This Row],[Title]],View[Amount])/1000</f>
        <v>1169.9523907781552</v>
      </c>
    </row>
    <row r="7" spans="1:8" x14ac:dyDescent="0.25">
      <c r="A7" s="25" t="s">
        <v>40</v>
      </c>
      <c r="B7" s="25" t="s">
        <v>41</v>
      </c>
      <c r="C7" s="25" t="s">
        <v>42</v>
      </c>
      <c r="D7" s="25" t="s">
        <v>43</v>
      </c>
      <c r="E7" s="25" t="s">
        <v>44</v>
      </c>
      <c r="F7" s="25" t="s">
        <v>45</v>
      </c>
      <c r="G7" s="25" t="s">
        <v>46</v>
      </c>
      <c r="H7" s="23">
        <f>SUMIF(View[Customer],Customers[[#This Row],[Title]],View[Amount])/1000</f>
        <v>1244.2329771232348</v>
      </c>
    </row>
    <row r="8" spans="1:8" x14ac:dyDescent="0.25">
      <c r="A8" s="25" t="s">
        <v>47</v>
      </c>
      <c r="B8" s="25" t="s">
        <v>48</v>
      </c>
      <c r="C8" s="25" t="s">
        <v>49</v>
      </c>
      <c r="D8" s="25"/>
      <c r="E8" s="25"/>
      <c r="F8" s="25"/>
      <c r="G8" s="25"/>
      <c r="H8" s="23">
        <f>SUMIF(View[Customer],Customers[[#This Row],[Title]],View[Amount])/1000</f>
        <v>1221.0936364587055</v>
      </c>
    </row>
    <row r="9" spans="1:8" x14ac:dyDescent="0.25">
      <c r="A9" s="25" t="s">
        <v>50</v>
      </c>
      <c r="B9" s="25" t="s">
        <v>51</v>
      </c>
      <c r="C9" s="25" t="s">
        <v>52</v>
      </c>
      <c r="D9" s="25" t="s">
        <v>53</v>
      </c>
      <c r="E9" s="25" t="s">
        <v>54</v>
      </c>
      <c r="F9" s="25"/>
      <c r="G9" s="25"/>
      <c r="H9" s="23">
        <f>SUMIF(View[Customer],Customers[[#This Row],[Title]],View[Amount])/1000</f>
        <v>1280.7717617330529</v>
      </c>
    </row>
    <row r="10" spans="1:8" x14ac:dyDescent="0.25">
      <c r="A10" s="25" t="s">
        <v>55</v>
      </c>
      <c r="B10" s="25" t="s">
        <v>56</v>
      </c>
      <c r="C10" s="25" t="s">
        <v>57</v>
      </c>
      <c r="D10" s="25" t="s">
        <v>58</v>
      </c>
      <c r="E10" s="25" t="s">
        <v>59</v>
      </c>
      <c r="F10" s="25"/>
      <c r="G10" s="25"/>
      <c r="H10" s="23">
        <f>SUMIF(View[Customer],Customers[[#This Row],[Title]],View[Amount])/1000</f>
        <v>800.88778620236201</v>
      </c>
    </row>
    <row r="11" spans="1:8" x14ac:dyDescent="0.25">
      <c r="A11" s="25" t="s">
        <v>60</v>
      </c>
      <c r="B11" s="25" t="s">
        <v>61</v>
      </c>
      <c r="C11" s="25" t="s">
        <v>14</v>
      </c>
      <c r="D11" s="25" t="s">
        <v>62</v>
      </c>
      <c r="E11" s="25" t="s">
        <v>63</v>
      </c>
      <c r="F11" s="25" t="s">
        <v>64</v>
      </c>
      <c r="G11" s="25" t="s">
        <v>65</v>
      </c>
      <c r="H11" s="23">
        <f>SUMIF(View[Customer],Customers[[#This Row],[Title]],View[Amount])/1000</f>
        <v>2652.3611889399062</v>
      </c>
    </row>
    <row r="12" spans="1:8" x14ac:dyDescent="0.25">
      <c r="A12" s="25" t="s">
        <v>66</v>
      </c>
      <c r="B12" s="25" t="s">
        <v>67</v>
      </c>
      <c r="C12" s="25" t="s">
        <v>21</v>
      </c>
      <c r="D12" s="25" t="s">
        <v>68</v>
      </c>
      <c r="E12" s="25" t="s">
        <v>44</v>
      </c>
      <c r="F12" s="25" t="s">
        <v>69</v>
      </c>
      <c r="G12" s="25" t="s">
        <v>70</v>
      </c>
      <c r="H12" s="23">
        <f>SUMIF(View[Customer],Customers[[#This Row],[Title]],View[Amount])/1000</f>
        <v>0</v>
      </c>
    </row>
    <row r="13" spans="1:8" x14ac:dyDescent="0.25">
      <c r="A13" s="25" t="s">
        <v>71</v>
      </c>
      <c r="B13" s="25" t="s">
        <v>72</v>
      </c>
      <c r="C13" s="25" t="s">
        <v>73</v>
      </c>
      <c r="D13" s="25" t="s">
        <v>74</v>
      </c>
      <c r="E13" s="25" t="s">
        <v>16</v>
      </c>
      <c r="F13" s="25"/>
      <c r="G13" s="25"/>
      <c r="H13" s="23">
        <f>SUMIF(View[Customer],Customers[[#This Row],[Title]],View[Amount])/1000</f>
        <v>1765.4081350371068</v>
      </c>
    </row>
    <row r="14" spans="1:8" x14ac:dyDescent="0.25">
      <c r="A14" s="25" t="s">
        <v>75</v>
      </c>
      <c r="B14" s="25" t="s">
        <v>76</v>
      </c>
      <c r="C14" s="25" t="s">
        <v>9</v>
      </c>
      <c r="D14" s="25" t="s">
        <v>77</v>
      </c>
      <c r="E14" s="25" t="s">
        <v>78</v>
      </c>
      <c r="F14" s="25" t="s">
        <v>79</v>
      </c>
      <c r="G14" s="25" t="s">
        <v>80</v>
      </c>
      <c r="H14" s="23">
        <f>SUMIF(View[Customer],Customers[[#This Row],[Title]],View[Amount])/1000</f>
        <v>469.30825897959363</v>
      </c>
    </row>
    <row r="15" spans="1:8" x14ac:dyDescent="0.25">
      <c r="A15" s="25" t="s">
        <v>81</v>
      </c>
      <c r="B15" s="25" t="s">
        <v>82</v>
      </c>
      <c r="C15" s="25" t="s">
        <v>83</v>
      </c>
      <c r="D15" s="25" t="s">
        <v>84</v>
      </c>
      <c r="E15" s="25" t="s">
        <v>11</v>
      </c>
      <c r="F15" s="25" t="s">
        <v>85</v>
      </c>
      <c r="G15" s="25" t="s">
        <v>86</v>
      </c>
      <c r="H15" s="23">
        <f>SUMIF(View[Customer],Customers[[#This Row],[Title]],View[Amount])/1000</f>
        <v>0</v>
      </c>
    </row>
    <row r="16" spans="1:8" x14ac:dyDescent="0.25">
      <c r="A16" s="25" t="s">
        <v>87</v>
      </c>
      <c r="B16" s="25" t="s">
        <v>88</v>
      </c>
      <c r="C16" s="25" t="s">
        <v>14</v>
      </c>
      <c r="D16" s="25" t="s">
        <v>89</v>
      </c>
      <c r="E16" s="25" t="s">
        <v>16</v>
      </c>
      <c r="F16" s="25"/>
      <c r="G16" s="25"/>
      <c r="H16" s="23">
        <f>SUMIF(View[Customer],Customers[[#This Row],[Title]],View[Amount])/1000</f>
        <v>918.40085679999231</v>
      </c>
    </row>
    <row r="17" spans="1:17" x14ac:dyDescent="0.25">
      <c r="A17" s="25" t="s">
        <v>90</v>
      </c>
      <c r="B17" s="25" t="s">
        <v>91</v>
      </c>
      <c r="C17" s="25" t="s">
        <v>92</v>
      </c>
      <c r="D17" s="25" t="s">
        <v>93</v>
      </c>
      <c r="E17" s="25" t="s">
        <v>59</v>
      </c>
      <c r="F17" s="25"/>
      <c r="G17" s="25"/>
      <c r="H17" s="23">
        <f>SUMIF(View[Customer],Customers[[#This Row],[Title]],View[Amount])/1000</f>
        <v>845.99039767257102</v>
      </c>
    </row>
    <row r="18" spans="1:17" x14ac:dyDescent="0.25">
      <c r="A18" s="25" t="s">
        <v>94</v>
      </c>
      <c r="B18" s="25" t="s">
        <v>95</v>
      </c>
      <c r="C18" s="25" t="s">
        <v>52</v>
      </c>
      <c r="D18" s="25"/>
      <c r="E18" s="25"/>
      <c r="F18" s="25"/>
      <c r="G18" s="25"/>
      <c r="H18" s="23">
        <f>SUMIF(View[Customer],Customers[[#This Row],[Title]],View[Amount])/1000</f>
        <v>1492.3658244404171</v>
      </c>
    </row>
    <row r="19" spans="1:17" x14ac:dyDescent="0.25">
      <c r="A19" s="25" t="s">
        <v>96</v>
      </c>
      <c r="B19" s="25" t="s">
        <v>97</v>
      </c>
      <c r="C19" s="25" t="s">
        <v>98</v>
      </c>
      <c r="D19" s="25" t="s">
        <v>99</v>
      </c>
      <c r="E19" s="25" t="s">
        <v>100</v>
      </c>
      <c r="F19" s="25"/>
      <c r="G19" s="25"/>
      <c r="H19" s="23">
        <f>SUMIF(View[Customer],Customers[[#This Row],[Title]],View[Amount])/1000</f>
        <v>0</v>
      </c>
    </row>
    <row r="20" spans="1:17" x14ac:dyDescent="0.25">
      <c r="A20" s="25" t="s">
        <v>101</v>
      </c>
      <c r="B20" s="25" t="s">
        <v>102</v>
      </c>
      <c r="C20" s="25" t="s">
        <v>14</v>
      </c>
      <c r="D20" s="25" t="s">
        <v>103</v>
      </c>
      <c r="E20" s="25" t="s">
        <v>16</v>
      </c>
      <c r="F20" s="25"/>
      <c r="G20" s="25"/>
      <c r="H20" s="23">
        <f>SUMIF(View[Customer],Customers[[#This Row],[Title]],View[Amount])/1000</f>
        <v>803.96535716816538</v>
      </c>
    </row>
    <row r="21" spans="1:17" x14ac:dyDescent="0.25">
      <c r="A21" s="25" t="s">
        <v>104</v>
      </c>
      <c r="B21" s="25" t="s">
        <v>105</v>
      </c>
      <c r="C21" s="25" t="s">
        <v>106</v>
      </c>
      <c r="D21" s="25" t="s">
        <v>107</v>
      </c>
      <c r="E21" s="25" t="s">
        <v>108</v>
      </c>
      <c r="F21" s="25"/>
      <c r="G21" s="25"/>
      <c r="H21" s="23">
        <f>SUMIF(View[Customer],Customers[[#This Row],[Title]],View[Amount])/1000</f>
        <v>1722.9143685956049</v>
      </c>
    </row>
    <row r="22" spans="1:17" x14ac:dyDescent="0.25">
      <c r="A22" s="25" t="s">
        <v>109</v>
      </c>
      <c r="B22" s="25" t="s">
        <v>110</v>
      </c>
      <c r="C22" s="25" t="s">
        <v>111</v>
      </c>
      <c r="D22" s="25"/>
      <c r="E22" s="25"/>
      <c r="F22" s="25"/>
      <c r="G22" s="25"/>
      <c r="H22" s="23">
        <f>SUMIF(View[Customer],Customers[[#This Row],[Title]],View[Amount])/1000</f>
        <v>433.89434379011277</v>
      </c>
    </row>
    <row r="23" spans="1:17" x14ac:dyDescent="0.25">
      <c r="A23" s="25" t="s">
        <v>112</v>
      </c>
      <c r="B23" s="25" t="s">
        <v>113</v>
      </c>
      <c r="C23" s="25" t="s">
        <v>52</v>
      </c>
      <c r="D23" s="25"/>
      <c r="E23" s="25"/>
      <c r="F23" s="25"/>
      <c r="G23" s="25"/>
      <c r="H23" s="23">
        <f>SUMIF(View[Customer],Customers[[#This Row],[Title]],View[Amount])/1000</f>
        <v>864.89680746494037</v>
      </c>
    </row>
    <row r="24" spans="1:17" x14ac:dyDescent="0.25">
      <c r="A24" s="25" t="s">
        <v>114</v>
      </c>
      <c r="B24" s="25" t="s">
        <v>115</v>
      </c>
      <c r="C24" s="25" t="s">
        <v>14</v>
      </c>
      <c r="D24" s="25" t="s">
        <v>116</v>
      </c>
      <c r="E24" s="25" t="s">
        <v>117</v>
      </c>
      <c r="F24" s="25"/>
      <c r="G24" s="25"/>
      <c r="H24" s="23">
        <f>SUMIF(View[Customer],Customers[[#This Row],[Title]],View[Amount])/1000</f>
        <v>2389.143814473146</v>
      </c>
    </row>
    <row r="25" spans="1:17" x14ac:dyDescent="0.25">
      <c r="A25" s="25" t="s">
        <v>118</v>
      </c>
      <c r="B25" s="25" t="s">
        <v>119</v>
      </c>
      <c r="C25" s="25" t="s">
        <v>120</v>
      </c>
      <c r="D25" s="25" t="s">
        <v>121</v>
      </c>
      <c r="E25" s="25" t="s">
        <v>16</v>
      </c>
      <c r="F25" s="25"/>
      <c r="G25" s="25"/>
      <c r="H25" s="23">
        <f>SUMIF(View[Customer],Customers[[#This Row],[Title]],View[Amount])/1000</f>
        <v>1069.843330862097</v>
      </c>
    </row>
    <row r="26" spans="1:17" x14ac:dyDescent="0.25">
      <c r="A26" s="25" t="s">
        <v>122</v>
      </c>
      <c r="B26" s="25" t="s">
        <v>123</v>
      </c>
      <c r="C26" s="25" t="s">
        <v>9</v>
      </c>
      <c r="D26" s="25" t="s">
        <v>124</v>
      </c>
      <c r="E26" s="25" t="s">
        <v>59</v>
      </c>
      <c r="F26" s="25" t="s">
        <v>125</v>
      </c>
      <c r="G26" s="25" t="s">
        <v>126</v>
      </c>
      <c r="H26" s="23">
        <f>SUMIF(View[Customer],Customers[[#This Row],[Title]],View[Amount])/1000</f>
        <v>1675.5002111045035</v>
      </c>
    </row>
    <row r="27" spans="1:17" x14ac:dyDescent="0.25">
      <c r="A27" s="25" t="s">
        <v>127</v>
      </c>
      <c r="B27" s="25" t="s">
        <v>128</v>
      </c>
      <c r="C27" s="25" t="s">
        <v>21</v>
      </c>
      <c r="D27" s="25" t="s">
        <v>129</v>
      </c>
      <c r="E27" s="25" t="s">
        <v>30</v>
      </c>
      <c r="F27" s="25"/>
      <c r="G27" s="25"/>
      <c r="H27" s="23">
        <f>SUMIF(View[Customer],Customers[[#This Row],[Title]],View[Amount])/1000</f>
        <v>2142.3580982382623</v>
      </c>
    </row>
    <row r="28" spans="1:17" x14ac:dyDescent="0.25">
      <c r="A28" s="25" t="s">
        <v>130</v>
      </c>
      <c r="B28" s="25" t="s">
        <v>131</v>
      </c>
      <c r="C28" s="25" t="s">
        <v>132</v>
      </c>
      <c r="D28" s="25" t="s">
        <v>133</v>
      </c>
      <c r="E28" s="25" t="s">
        <v>16</v>
      </c>
      <c r="F28" s="25"/>
      <c r="G28" s="25"/>
      <c r="H28" s="23">
        <f>SUMIF(View[Customer],Customers[[#This Row],[Title]],View[Amount])/1000</f>
        <v>1106.463099917522</v>
      </c>
    </row>
    <row r="29" spans="1:17" x14ac:dyDescent="0.25">
      <c r="A29" s="25" t="s">
        <v>134</v>
      </c>
      <c r="B29" s="25" t="s">
        <v>135</v>
      </c>
      <c r="C29" s="25" t="s">
        <v>14</v>
      </c>
      <c r="D29" s="25" t="s">
        <v>136</v>
      </c>
      <c r="E29" s="25" t="s">
        <v>108</v>
      </c>
      <c r="F29" s="25"/>
      <c r="G29" s="25"/>
      <c r="H29" s="23">
        <f>SUMIF(View[Customer],Customers[[#This Row],[Title]],View[Amount])/1000</f>
        <v>1392.3770427948311</v>
      </c>
    </row>
    <row r="30" spans="1:17" x14ac:dyDescent="0.25">
      <c r="A30" s="25" t="s">
        <v>137</v>
      </c>
      <c r="B30" s="25" t="s">
        <v>138</v>
      </c>
      <c r="C30" s="25" t="s">
        <v>139</v>
      </c>
      <c r="D30" s="25" t="s">
        <v>140</v>
      </c>
      <c r="E30" s="25" t="s">
        <v>16</v>
      </c>
      <c r="F30" s="25"/>
      <c r="G30" s="25"/>
      <c r="H30" s="23">
        <f>SUMIF(View[Customer],Customers[[#This Row],[Title]],View[Amount])/1000</f>
        <v>2012.5520989098466</v>
      </c>
    </row>
    <row r="31" spans="1:17" x14ac:dyDescent="0.25">
      <c r="A31" s="25" t="s">
        <v>141</v>
      </c>
      <c r="B31" s="25" t="s">
        <v>142</v>
      </c>
      <c r="C31" s="25" t="s">
        <v>143</v>
      </c>
      <c r="D31" s="25" t="s">
        <v>144</v>
      </c>
      <c r="E31" s="25" t="s">
        <v>145</v>
      </c>
      <c r="F31" s="25" t="s">
        <v>146</v>
      </c>
      <c r="G31" s="25" t="s">
        <v>147</v>
      </c>
      <c r="H31" s="23">
        <f>SUMIF(View[Customer],Customers[[#This Row],[Title]],View[Amount])/1000</f>
        <v>1961.2436643593815</v>
      </c>
    </row>
    <row r="32" spans="1:17" x14ac:dyDescent="0.25">
      <c r="Q32" t="s">
        <v>218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F7"/>
  <sheetViews>
    <sheetView showGridLines="0" workbookViewId="0">
      <selection activeCell="B3" sqref="B3"/>
    </sheetView>
  </sheetViews>
  <sheetFormatPr defaultRowHeight="15" x14ac:dyDescent="0.25"/>
  <cols>
    <col min="1" max="1" width="20.7109375" customWidth="1"/>
    <col min="2" max="2" width="17.42578125" bestFit="1" customWidth="1"/>
    <col min="4" max="4" width="17.42578125" bestFit="1" customWidth="1"/>
    <col min="6" max="6" width="19.5703125" bestFit="1" customWidth="1"/>
  </cols>
  <sheetData>
    <row r="1" spans="1:6" x14ac:dyDescent="0.25">
      <c r="A1" s="17" t="s">
        <v>216</v>
      </c>
      <c r="B1" s="26">
        <v>45839</v>
      </c>
      <c r="D1" s="24" t="s">
        <v>148</v>
      </c>
      <c r="E1" s="24" t="s">
        <v>235</v>
      </c>
      <c r="F1" s="24" t="s">
        <v>236</v>
      </c>
    </row>
    <row r="2" spans="1:6" x14ac:dyDescent="0.25">
      <c r="A2" s="17" t="s">
        <v>213</v>
      </c>
      <c r="B2" s="27">
        <v>0.75</v>
      </c>
      <c r="D2" s="25" t="s">
        <v>156</v>
      </c>
      <c r="E2" s="25">
        <v>1</v>
      </c>
      <c r="F2" t="str">
        <f>Table8[[#This Row],[Order]]&amp; "- " &amp;Table8[[#This Row],[Stage]]</f>
        <v>1- Lead Qualification</v>
      </c>
    </row>
    <row r="3" spans="1:6" x14ac:dyDescent="0.25">
      <c r="A3" s="17" t="s">
        <v>237</v>
      </c>
      <c r="B3" s="37"/>
      <c r="D3" s="25" t="s">
        <v>164</v>
      </c>
      <c r="E3" s="25">
        <v>2</v>
      </c>
      <c r="F3" t="str">
        <f>Table8[[#This Row],[Order]]&amp; "- " &amp;Table8[[#This Row],[Stage]]</f>
        <v>2- Nurturing</v>
      </c>
    </row>
    <row r="4" spans="1:6" x14ac:dyDescent="0.25">
      <c r="D4" s="25" t="s">
        <v>161</v>
      </c>
      <c r="E4" s="25">
        <v>3</v>
      </c>
      <c r="F4" t="str">
        <f>Table8[[#This Row],[Order]]&amp; "- " &amp;Table8[[#This Row],[Stage]]</f>
        <v>3- Proposal</v>
      </c>
    </row>
    <row r="5" spans="1:6" x14ac:dyDescent="0.25">
      <c r="D5" s="25" t="s">
        <v>153</v>
      </c>
      <c r="E5" s="25">
        <v>4</v>
      </c>
      <c r="F5" t="str">
        <f>Table8[[#This Row],[Order]]&amp; "- " &amp;Table8[[#This Row],[Stage]]</f>
        <v>4- Negotiation</v>
      </c>
    </row>
    <row r="6" spans="1:6" x14ac:dyDescent="0.25">
      <c r="D6" s="25" t="s">
        <v>229</v>
      </c>
      <c r="E6" s="25">
        <v>5</v>
      </c>
      <c r="F6" t="str">
        <f>Table8[[#This Row],[Order]]&amp; "- " &amp;Table8[[#This Row],[Stage]]</f>
        <v>5- Proect Execution</v>
      </c>
    </row>
    <row r="7" spans="1:6" x14ac:dyDescent="0.25">
      <c r="D7" s="25" t="s">
        <v>167</v>
      </c>
      <c r="E7" s="25">
        <v>6</v>
      </c>
      <c r="F7" t="str">
        <f>Table8[[#This Row],[Order]]&amp; "- " &amp;Table8[[#This Row],[Stage]]</f>
        <v>6- Closeout</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AM16"/>
  <sheetViews>
    <sheetView showGridLines="0" topLeftCell="W1" workbookViewId="0">
      <selection activeCell="AH2" sqref="AH2"/>
    </sheetView>
  </sheetViews>
  <sheetFormatPr defaultRowHeight="15" x14ac:dyDescent="0.25"/>
  <cols>
    <col min="1" max="1" width="26.85546875" bestFit="1" customWidth="1"/>
    <col min="2" max="5" width="26.28515625" customWidth="1"/>
    <col min="8" max="8" width="13.28515625" bestFit="1" customWidth="1"/>
    <col min="9" max="9" width="11.42578125" bestFit="1" customWidth="1"/>
    <col min="10" max="13" width="12.42578125" bestFit="1" customWidth="1"/>
    <col min="14" max="14" width="10.28515625" bestFit="1" customWidth="1"/>
    <col min="17" max="17" width="20" bestFit="1" customWidth="1"/>
    <col min="18" max="23" width="9.7109375" bestFit="1" customWidth="1"/>
    <col min="24" max="30" width="9.7109375" customWidth="1"/>
    <col min="34" max="34" width="20" bestFit="1" customWidth="1"/>
    <col min="35" max="35" width="12" bestFit="1" customWidth="1"/>
    <col min="36" max="36" width="11.5703125" bestFit="1" customWidth="1"/>
    <col min="37" max="37" width="14" bestFit="1" customWidth="1"/>
    <col min="38" max="38" width="18.85546875" bestFit="1" customWidth="1"/>
    <col min="39" max="39" width="11.28515625" bestFit="1" customWidth="1"/>
  </cols>
  <sheetData>
    <row r="1" spans="1:39" x14ac:dyDescent="0.25">
      <c r="I1" t="str" cm="1">
        <f t="array" ref="I1:N1">TRANSPOSE(_xlfn.UNIQUE(_xlfn._xlws.FILTER(_xlfn.SORTBY(View[Close Quarter],View[Close Date],1),View[Visible]=1)))</f>
        <v>FY26-Q1</v>
      </c>
      <c r="J1" t="str">
        <v>FY26-Q2</v>
      </c>
      <c r="K1" t="str">
        <v>FY26-Q3</v>
      </c>
      <c r="L1" t="str">
        <v>FY26-Q4</v>
      </c>
      <c r="M1" t="str">
        <v>FY27-Q1</v>
      </c>
      <c r="N1" t="str">
        <v>FY27-Q2</v>
      </c>
      <c r="R1" t="str" cm="1">
        <f t="array" ref="R1:W1">TRANSPOSE(_xlfn.UNIQUE(_xlfn.SORTBY(View[Close Quarter],(View[Close Date]),-1)))</f>
        <v>FY27-Q2</v>
      </c>
      <c r="S1" t="str">
        <v>FY27-Q1</v>
      </c>
      <c r="T1" t="str">
        <v>FY26-Q4</v>
      </c>
      <c r="U1" t="str">
        <v>FY26-Q3</v>
      </c>
      <c r="V1" t="str">
        <v>FY26-Q2</v>
      </c>
      <c r="W1" t="str">
        <v>FY26-Q1</v>
      </c>
      <c r="AH1" t="str" cm="1">
        <f t="array" ref="AH1:AM1">TRANSPOSE(_xlfn.UNIQUE(_xlfn.SORTBY(View[Close Quarter],(View[Close Date]),-1)))</f>
        <v>FY27-Q2</v>
      </c>
      <c r="AI1" t="str">
        <v>FY27-Q1</v>
      </c>
      <c r="AJ1" t="str">
        <v>FY26-Q4</v>
      </c>
      <c r="AK1" t="str">
        <v>FY26-Q3</v>
      </c>
      <c r="AL1" t="str">
        <v>FY26-Q2</v>
      </c>
      <c r="AM1" t="str">
        <v>FY26-Q1</v>
      </c>
    </row>
    <row r="2" spans="1:39" x14ac:dyDescent="0.25">
      <c r="B2" s="11">
        <f>SUBTOTAL(9, View[Unweighted])/1000</f>
        <v>37158.25911887009</v>
      </c>
      <c r="C2" s="12">
        <f>SUBTOTAL(3,View[Customer])</f>
        <v>36</v>
      </c>
      <c r="D2" s="13">
        <f>(B2-(SUBTOTAL(9,View[Weighted])/1000))/B2</f>
        <v>0.51669191049504104</v>
      </c>
      <c r="E2" s="15">
        <f>SUMIFS(View[Unweighted],View[High Probability],TRUE,View[Visible],1)/1000</f>
        <v>1458.5688466161737</v>
      </c>
      <c r="H2" t="s">
        <v>217</v>
      </c>
      <c r="I2">
        <f>IF(I1="","",COUNTIFS(View[Visible],1,View[Close Quarter],graphics!I1))</f>
        <v>5</v>
      </c>
      <c r="J2">
        <f>IF(J1="","",COUNTIFS(View[Visible],1,View[Close Quarter],graphics!J1))</f>
        <v>6</v>
      </c>
      <c r="K2">
        <f>IF(K1="","",COUNTIFS(View[Visible],1,View[Close Quarter],graphics!K1))</f>
        <v>7</v>
      </c>
      <c r="L2">
        <f>IF(L1="","",COUNTIFS(View[Visible],1,View[Close Quarter],graphics!L1))</f>
        <v>7</v>
      </c>
      <c r="M2">
        <f>IF(M1="","",COUNTIFS(View[Visible],1,View[Close Quarter],graphics!M1))</f>
        <v>6</v>
      </c>
      <c r="N2">
        <f>IF(N1="","",COUNTIFS(View[Visible],1,View[Close Quarter],graphics!N1))</f>
        <v>5</v>
      </c>
      <c r="Q2" t="str" cm="1">
        <f t="array" ref="Q2:Q7">(_xlfn._xlws.SORT(_xlfn.UNIQUE(View[Stage])))</f>
        <v>1 - Lead Qualification</v>
      </c>
      <c r="R2" s="2">
        <f>IF(R$1="","",SUMIFS(View[Unweighted],View[Close Quarter],R$1,View[Stage],$Q2,View[Visible],1)/1000)</f>
        <v>0</v>
      </c>
      <c r="S2" s="2">
        <f>IF(S$1="","",SUMIFS(View[Unweighted],View[Close Quarter],S$1,View[Stage],$Q2,View[Visible],1)/1000)</f>
        <v>881.37861657303768</v>
      </c>
      <c r="T2" s="2">
        <f>IF(T$1="","",SUMIFS(View[Unweighted],View[Close Quarter],T$1,View[Stage],$Q2,View[Visible],1)/1000)</f>
        <v>2860.6327696273215</v>
      </c>
      <c r="U2" s="2">
        <f>IF(U$1="","",SUMIFS(View[Unweighted],View[Close Quarter],U$1,View[Stage],$Q2,View[Visible],1)/1000)</f>
        <v>4905.4656743550386</v>
      </c>
      <c r="V2" s="2">
        <f>IF(V$1="","",SUMIFS(View[Unweighted],View[Close Quarter],V$1,View[Stage],$Q2,View[Visible],1)/1000)</f>
        <v>945.90309503520859</v>
      </c>
      <c r="W2" s="2">
        <f>IF(W$1="","",SUMIFS(View[Unweighted],View[Close Quarter],W$1,View[Stage],$Q2,View[Visible],1)/1000)</f>
        <v>0</v>
      </c>
      <c r="X2" s="2"/>
      <c r="AA2" s="2"/>
      <c r="AB2" s="2"/>
      <c r="AC2" s="2"/>
      <c r="AD2" s="2"/>
      <c r="AF2" t="s">
        <v>221</v>
      </c>
      <c r="AG2" t="s">
        <v>189</v>
      </c>
      <c r="AH2" s="2">
        <f>IF(AH$1="","",SUMIFS(View[Unweighted],View[Close Quarter],AH$1,View[S],$AF2,View[Visible],1)/1000)</f>
        <v>0</v>
      </c>
      <c r="AI2" s="2">
        <f>IF(AI$1="","",SUMIFS(View[Unweighted],View[Close Quarter],AI$1,View[S],$AF2,View[Visible],1)/1000)</f>
        <v>1106.463099917522</v>
      </c>
      <c r="AJ2" s="2">
        <f>IF(AJ$1="","",SUMIFS(View[Unweighted],View[Close Quarter],AJ$1,View[S],$AF2,View[Visible],1)/1000)</f>
        <v>0</v>
      </c>
      <c r="AK2" s="2">
        <f>IF(AK$1="","",SUMIFS(View[Unweighted],View[Close Quarter],AK$1,View[S],$AF2,View[Visible],1)/1000)</f>
        <v>0</v>
      </c>
      <c r="AL2" s="2">
        <f>IF(AL$1="","",SUMIFS(View[Unweighted],View[Close Quarter],AL$1,View[S],$AF2,View[Visible],1)/1000)</f>
        <v>1392.3770427948311</v>
      </c>
      <c r="AM2" s="2">
        <f>IF(AM$1="","",SUMIFS(View[Unweighted],View[Close Quarter],AM$1,View[S],$AF2,View[Visible],1)/1000)</f>
        <v>0</v>
      </c>
    </row>
    <row r="3" spans="1:39" x14ac:dyDescent="0.25">
      <c r="B3" s="10" t="s">
        <v>195</v>
      </c>
      <c r="C3" s="10" t="s">
        <v>212</v>
      </c>
      <c r="D3" s="10" t="s">
        <v>196</v>
      </c>
      <c r="E3" s="3" t="s">
        <v>197</v>
      </c>
      <c r="H3" t="s">
        <v>211</v>
      </c>
      <c r="I3" s="2">
        <f>IF(I1="","",SUMIFS(View[Unweighted],View[Visible],1,View[Close Quarter],graphics!I$1)/1000)</f>
        <v>5264.0249939004998</v>
      </c>
      <c r="J3" s="2">
        <f>IF(J1="","",SUMIFS(View[Unweighted],View[Visible],1,View[Close Quarter],graphics!J$1)/1000)</f>
        <v>5644.622759140645</v>
      </c>
      <c r="K3" s="2">
        <f>IF(K1="","",SUMIFS(View[Unweighted],View[Visible],1,View[Close Quarter],graphics!K$1)/1000)</f>
        <v>8810.3683026508425</v>
      </c>
      <c r="L3" s="2">
        <f>IF(L1="","",SUMIFS(View[Unweighted],View[Visible],1,View[Close Quarter],graphics!L$1)/1000)</f>
        <v>5592.4752323912544</v>
      </c>
      <c r="M3" s="2">
        <f>IF(M1="","",SUMIFS(View[Unweighted],View[Visible],1,View[Close Quarter],graphics!M$1)/1000)</f>
        <v>6768.1609340400919</v>
      </c>
      <c r="N3" s="2">
        <f>IF(N1="","",SUMIFS(View[Unweighted],View[Visible],1,View[Close Quarter],graphics!N$1)/1000)</f>
        <v>5078.606896746749</v>
      </c>
      <c r="Q3" t="str">
        <v>2 - Nurturing</v>
      </c>
      <c r="R3" s="2">
        <f>IF(R$1="","",SUMIFS(View[Unweighted],View[Close Quarter],R$1,View[Stage],$Q3,View[Visible],1)/1000)</f>
        <v>1785.2830361038496</v>
      </c>
      <c r="S3" s="2">
        <f>IF(S$1="","",SUMIFS(View[Unweighted],View[Close Quarter],S$1,View[Stage],$Q3,View[Visible],1)/1000)</f>
        <v>1244.2329771232348</v>
      </c>
      <c r="T3" s="2">
        <f>IF(T$1="","",SUMIFS(View[Unweighted],View[Close Quarter],T$1,View[Stage],$Q3,View[Visible],1)/1000)</f>
        <v>1458.5688466161737</v>
      </c>
      <c r="U3" s="2">
        <f>IF(U$1="","",SUMIFS(View[Unweighted],View[Close Quarter],U$1,View[Stage],$Q3,View[Visible],1)/1000)</f>
        <v>2683.8089918370993</v>
      </c>
      <c r="V3" s="2">
        <f>IF(V$1="","",SUMIFS(View[Unweighted],View[Close Quarter],V$1,View[Stage],$Q3,View[Visible],1)/1000)</f>
        <v>433.89434379011277</v>
      </c>
      <c r="W3" s="2">
        <f>IF(W$1="","",SUMIFS(View[Unweighted],View[Close Quarter],W$1,View[Stage],$Q3,View[Visible],1)/1000)</f>
        <v>1675.5002111045035</v>
      </c>
      <c r="X3" s="2"/>
      <c r="AA3" s="2"/>
      <c r="AB3" s="2"/>
      <c r="AC3" s="2"/>
      <c r="AD3" s="2"/>
      <c r="AF3" t="s">
        <v>220</v>
      </c>
      <c r="AG3" t="s">
        <v>152</v>
      </c>
      <c r="AH3" s="2">
        <f>IF(AH$1="","",SUMIFS(View[Unweighted],View[Close Quarter],AH$1,View[S],$AF3,View[Visible],1)/1000)</f>
        <v>2049.2495835388445</v>
      </c>
      <c r="AI3" s="2">
        <f>IF(AI$1="","",SUMIFS(View[Unweighted],View[Close Quarter],AI$1,View[S],$AF3,View[Visible],1)/1000)</f>
        <v>3577.2537577425483</v>
      </c>
      <c r="AJ3" s="2">
        <f>IF(AJ$1="","",SUMIFS(View[Unweighted],View[Close Quarter],AJ$1,View[S],$AF3,View[Visible],1)/1000)</f>
        <v>2858.4520734527396</v>
      </c>
      <c r="AK3" s="2">
        <f>IF(AK$1="","",SUMIFS(View[Unweighted],View[Close Quarter],AK$1,View[S],$AF3,View[Visible],1)/1000)</f>
        <v>864.89680746494037</v>
      </c>
      <c r="AL3" s="2">
        <f>IF(AL$1="","",SUMIFS(View[Unweighted],View[Close Quarter],AL$1,View[S],$AF3,View[Visible],1)/1000)</f>
        <v>920.71272749064838</v>
      </c>
      <c r="AM3" s="2">
        <f>IF(AM$1="","",SUMIFS(View[Unweighted],View[Close Quarter],AM$1,View[S],$AF3,View[Visible],1)/1000)</f>
        <v>967.05295501806222</v>
      </c>
    </row>
    <row r="4" spans="1:39" x14ac:dyDescent="0.25">
      <c r="H4" t="s">
        <v>209</v>
      </c>
      <c r="I4" s="2">
        <f>IF(I1="","",SUMIFS(View[Weighted],View[Visible],1,View[Close Quarter],graphics!I$1)/1000)</f>
        <v>2081.2925975944308</v>
      </c>
      <c r="J4" s="2">
        <f>IF(J1="","",SUMIFS(View[Weighted],View[Visible],1,View[Close Quarter],graphics!J$1)/1000)</f>
        <v>2667.5838801820482</v>
      </c>
      <c r="K4" s="2">
        <f>IF(K1="","",SUMIFS(View[Weighted],View[Visible],1,View[Close Quarter],graphics!K$1)/1000)</f>
        <v>4086.2270627537446</v>
      </c>
      <c r="L4" s="2">
        <f>IF(L1="","",SUMIFS(View[Weighted],View[Visible],1,View[Close Quarter],graphics!L$1)/1000)</f>
        <v>3089.55407556611</v>
      </c>
      <c r="M4" s="2">
        <f>IF(M1="","",SUMIFS(View[Weighted],View[Visible],1,View[Close Quarter],graphics!M$1)/1000)</f>
        <v>3462.4983324788341</v>
      </c>
      <c r="N4" s="2">
        <f>IF(N1="","",SUMIFS(View[Weighted],View[Visible],1,View[Close Quarter],graphics!N$1)/1000)</f>
        <v>2571.7312754961572</v>
      </c>
      <c r="Q4" t="str">
        <v>3 - Proposal</v>
      </c>
      <c r="R4" s="2">
        <f>IF(R$1="","",SUMIFS(View[Unweighted],View[Close Quarter],R$1,View[Stage],$Q4,View[Visible],1)/1000)</f>
        <v>1203.2591858662738</v>
      </c>
      <c r="S4" s="2">
        <f>IF(S$1="","",SUMIFS(View[Unweighted],View[Close Quarter],S$1,View[Stage],$Q4,View[Visible],1)/1000)</f>
        <v>2309.5285597245061</v>
      </c>
      <c r="T4" s="2">
        <f>IF(T$1="","",SUMIFS(View[Unweighted],View[Close Quarter],T$1,View[Stage],$Q4,View[Visible],1)/1000)</f>
        <v>469.30825897959363</v>
      </c>
      <c r="U4" s="2">
        <f>IF(U$1="","",SUMIFS(View[Unweighted],View[Close Quarter],U$1,View[Stage],$Q4,View[Visible],1)/1000)</f>
        <v>0</v>
      </c>
      <c r="V4" s="2">
        <f>IF(V$1="","",SUMIFS(View[Unweighted],View[Close Quarter],V$1,View[Stage],$Q4,View[Visible],1)/1000)</f>
        <v>801.7886826531867</v>
      </c>
      <c r="W4" s="2">
        <f>IF(W$1="","",SUMIFS(View[Unweighted],View[Close Quarter],W$1,View[Stage],$Q4,View[Visible],1)/1000)</f>
        <v>755.86141357754241</v>
      </c>
      <c r="X4" s="2"/>
      <c r="AA4" s="2"/>
      <c r="AB4" s="2"/>
      <c r="AC4" s="2"/>
      <c r="AD4" s="2"/>
      <c r="AF4" t="s">
        <v>219</v>
      </c>
      <c r="AG4" t="s">
        <v>155</v>
      </c>
      <c r="AH4" s="2">
        <f>IF(AH$1="","",SUMIFS(View[Unweighted],View[Close Quarter],AH$1,View[S],$AF4,View[Visible],1)/1000)</f>
        <v>3029.3573132079041</v>
      </c>
      <c r="AI4" s="2">
        <f>IF(AI$1="","",SUMIFS(View[Unweighted],View[Close Quarter],AI$1,View[S],$AF4,View[Visible],1)/1000)</f>
        <v>2084.4440763800217</v>
      </c>
      <c r="AJ4" s="2">
        <f>IF(AJ$1="","",SUMIFS(View[Unweighted],View[Close Quarter],AJ$1,View[S],$AF4,View[Visible],1)/1000)</f>
        <v>2734.0231589385139</v>
      </c>
      <c r="AK4" s="2">
        <f>IF(AK$1="","",SUMIFS(View[Unweighted],View[Close Quarter],AK$1,View[S],$AF4,View[Visible],1)/1000)</f>
        <v>7945.4714951859032</v>
      </c>
      <c r="AL4" s="2">
        <f>IF(AL$1="","",SUMIFS(View[Unweighted],View[Close Quarter],AL$1,View[S],$AF4,View[Visible],1)/1000)</f>
        <v>3331.5329888551655</v>
      </c>
      <c r="AM4" s="2">
        <f>IF(AM$1="","",SUMIFS(View[Unweighted],View[Close Quarter],AM$1,View[S],$AF4,View[Visible],1)/1000)</f>
        <v>4296.972038882438</v>
      </c>
    </row>
    <row r="5" spans="1:39" x14ac:dyDescent="0.25">
      <c r="Q5" t="str">
        <v>4 - Negotiation</v>
      </c>
      <c r="R5" s="2">
        <f>IF(R$1="","",SUMIFS(View[Unweighted],View[Close Quarter],R$1,View[Stage],$Q5,View[Visible],1)/1000)</f>
        <v>809.29291304357275</v>
      </c>
      <c r="S5" s="2">
        <f>IF(S$1="","",SUMIFS(View[Unweighted],View[Close Quarter],S$1,View[Stage],$Q5,View[Visible],1)/1000)</f>
        <v>1263.1774497572162</v>
      </c>
      <c r="T5" s="2">
        <f>IF(T$1="","",SUMIFS(View[Unweighted],View[Close Quarter],T$1,View[Stage],$Q5,View[Visible],1)/1000)</f>
        <v>0</v>
      </c>
      <c r="U5" s="2">
        <f>IF(U$1="","",SUMIFS(View[Unweighted],View[Close Quarter],U$1,View[Stage],$Q5,View[Visible],1)/1000)</f>
        <v>1221.0936364587055</v>
      </c>
      <c r="V5" s="2">
        <f>IF(V$1="","",SUMIFS(View[Unweighted],View[Close Quarter],V$1,View[Stage],$Q5,View[Visible],1)/1000)</f>
        <v>0</v>
      </c>
      <c r="W5" s="2">
        <f>IF(W$1="","",SUMIFS(View[Unweighted],View[Close Quarter],W$1,View[Stage],$Q5,View[Visible],1)/1000)</f>
        <v>1015.3405693241727</v>
      </c>
      <c r="X5" s="2"/>
      <c r="AA5" s="2"/>
      <c r="AB5" s="2"/>
      <c r="AC5" s="2"/>
      <c r="AD5" s="2"/>
      <c r="AH5" s="2"/>
      <c r="AI5" s="2"/>
      <c r="AJ5" s="2"/>
      <c r="AK5" s="2"/>
      <c r="AL5" s="2"/>
      <c r="AM5" s="2"/>
    </row>
    <row r="6" spans="1:39" x14ac:dyDescent="0.25">
      <c r="Q6" t="str">
        <v>5 - Project Execution</v>
      </c>
      <c r="R6" s="2">
        <f>IF(R$1="","",SUMIFS(View[Unweighted],View[Close Quarter],R$1,View[Stage],$Q6,View[Visible],1)/1000)</f>
        <v>0</v>
      </c>
      <c r="S6" s="2">
        <f>IF(S$1="","",SUMIFS(View[Unweighted],View[Close Quarter],S$1,View[Stage],$Q6,View[Visible],1)/1000)</f>
        <v>1069.843330862097</v>
      </c>
      <c r="T6" s="2">
        <f>IF(T$1="","",SUMIFS(View[Unweighted],View[Close Quarter],T$1,View[Stage],$Q6,View[Visible],1)/1000)</f>
        <v>0</v>
      </c>
      <c r="U6" s="2">
        <f>IF(U$1="","",SUMIFS(View[Unweighted],View[Close Quarter],U$1,View[Stage],$Q6,View[Visible],1)/1000)</f>
        <v>0</v>
      </c>
      <c r="V6" s="2">
        <f>IF(V$1="","",SUMIFS(View[Unweighted],View[Close Quarter],V$1,View[Stage],$Q6,View[Visible],1)/1000)</f>
        <v>3463.0366376621369</v>
      </c>
      <c r="W6" s="2">
        <f>IF(W$1="","",SUMIFS(View[Unweighted],View[Close Quarter],W$1,View[Stage],$Q6,View[Visible],1)/1000)</f>
        <v>1817.3227998942823</v>
      </c>
      <c r="X6" s="2"/>
      <c r="AA6" s="2"/>
      <c r="AB6" s="2"/>
      <c r="AC6" s="2"/>
      <c r="AD6" s="2"/>
      <c r="AH6" s="2"/>
      <c r="AI6" s="2"/>
      <c r="AJ6" s="2"/>
      <c r="AK6" s="2"/>
      <c r="AL6" s="2"/>
      <c r="AM6" s="2"/>
    </row>
    <row r="7" spans="1:39" x14ac:dyDescent="0.25">
      <c r="Q7" t="str">
        <v>6 - Closeout</v>
      </c>
      <c r="R7" s="2">
        <f>IF(R$1="","",SUMIFS(View[Unweighted],View[Close Quarter],R$1,View[Stage],$Q7,View[Visible],1)/1000)</f>
        <v>1280.7717617330529</v>
      </c>
      <c r="S7" s="2">
        <f>IF(S$1="","",SUMIFS(View[Unweighted],View[Close Quarter],S$1,View[Stage],$Q7,View[Visible],1)/1000)</f>
        <v>0</v>
      </c>
      <c r="T7" s="2">
        <f>IF(T$1="","",SUMIFS(View[Unweighted],View[Close Quarter],T$1,View[Stage],$Q7,View[Visible],1)/1000)</f>
        <v>803.96535716816538</v>
      </c>
      <c r="U7" s="2">
        <f>IF(U$1="","",SUMIFS(View[Unweighted],View[Close Quarter],U$1,View[Stage],$Q7,View[Visible],1)/1000)</f>
        <v>0</v>
      </c>
      <c r="V7" s="2">
        <f>IF(V$1="","",SUMIFS(View[Unweighted],View[Close Quarter],V$1,View[Stage],$Q7,View[Visible],1)/1000)</f>
        <v>0</v>
      </c>
      <c r="W7" s="2">
        <f>IF(W$1="","",SUMIFS(View[Unweighted],View[Close Quarter],W$1,View[Stage],$Q7,View[Visible],1)/1000)</f>
        <v>0</v>
      </c>
      <c r="X7" s="2"/>
      <c r="AA7" s="2"/>
      <c r="AB7" s="2"/>
      <c r="AC7" s="2"/>
      <c r="AD7" s="2"/>
      <c r="AH7" s="2"/>
      <c r="AI7" s="2"/>
      <c r="AJ7" s="2"/>
      <c r="AK7" s="2"/>
      <c r="AL7" s="2"/>
      <c r="AM7" s="2"/>
    </row>
    <row r="10" spans="1:39" x14ac:dyDescent="0.25">
      <c r="B10" t="s">
        <v>148</v>
      </c>
      <c r="C10" t="s">
        <v>217</v>
      </c>
      <c r="D10" t="s">
        <v>149</v>
      </c>
    </row>
    <row r="11" spans="1:39" x14ac:dyDescent="0.25">
      <c r="A11" t="s">
        <v>156</v>
      </c>
      <c r="B11" t="str" cm="1">
        <f t="array" ref="B11:B16">_xlfn._xlws.SORT(_xlfn.UNIQUE(View[Stage]))</f>
        <v>1 - Lead Qualification</v>
      </c>
      <c r="C11">
        <f>COUNTIFS(View[Stage],B11,View[Visible],1)</f>
        <v>10</v>
      </c>
      <c r="D11" s="38">
        <f>SUMIFS(View[Amount],View[Stage],B11,View[Visible],1)</f>
        <v>9593380.1555906069</v>
      </c>
    </row>
    <row r="12" spans="1:39" x14ac:dyDescent="0.25">
      <c r="A12" t="s">
        <v>164</v>
      </c>
      <c r="B12" t="str">
        <v>2 - Nurturing</v>
      </c>
      <c r="C12">
        <f>COUNTIF(View[Stage],B12)</f>
        <v>8</v>
      </c>
      <c r="D12" s="38">
        <f>SUMIFS(View[Amount],View[Stage],B12,View[Visible],1)</f>
        <v>9281288.4065749738</v>
      </c>
    </row>
    <row r="13" spans="1:39" x14ac:dyDescent="0.25">
      <c r="A13" t="s">
        <v>161</v>
      </c>
      <c r="B13" t="str">
        <v>3 - Proposal</v>
      </c>
      <c r="C13">
        <f>COUNTIF(View[Stage],B13)</f>
        <v>6</v>
      </c>
      <c r="D13" s="38">
        <f>SUMIFS(View[Amount],View[Stage],B13,View[Visible],1)</f>
        <v>5539746.1008011028</v>
      </c>
    </row>
    <row r="14" spans="1:39" x14ac:dyDescent="0.25">
      <c r="A14" t="s">
        <v>153</v>
      </c>
      <c r="B14" t="str">
        <v>4 - Negotiation</v>
      </c>
      <c r="C14">
        <f>COUNTIF(View[Stage],B14)</f>
        <v>4</v>
      </c>
      <c r="D14" s="38">
        <f>SUMIFS(View[Amount],View[Stage],B14,View[Visible],1)</f>
        <v>4308904.5685836673</v>
      </c>
    </row>
    <row r="15" spans="1:39" x14ac:dyDescent="0.25">
      <c r="A15" t="s">
        <v>229</v>
      </c>
      <c r="B15" t="str">
        <v>5 - Project Execution</v>
      </c>
      <c r="C15">
        <f>COUNTIF(View[Stage],B15)</f>
        <v>6</v>
      </c>
      <c r="D15" s="38">
        <f>SUMIFS(View[Amount],View[Stage],B15,View[Visible],1)</f>
        <v>6350202.768418517</v>
      </c>
    </row>
    <row r="16" spans="1:39" x14ac:dyDescent="0.25">
      <c r="A16" t="s">
        <v>167</v>
      </c>
      <c r="B16" t="str">
        <v>6 - Closeout</v>
      </c>
      <c r="C16">
        <f>COUNTIF(View[Stage],B16)</f>
        <v>2</v>
      </c>
      <c r="D16" s="38">
        <f>SUMIFS(View[Amount],View[Stage],B16,View[Visible],1)</f>
        <v>2084737.1189012183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8B3702-08DC-4EEE-9013-532D926E3411}">
  <ds:schemaRefs>
    <ds:schemaRef ds:uri="http://schemas.microsoft.com/sharepoint/v3/contenttype/forms"/>
  </ds:schemaRefs>
</ds:datastoreItem>
</file>

<file path=customXml/itemProps2.xml><?xml version="1.0" encoding="utf-8"?>
<ds:datastoreItem xmlns:ds="http://schemas.openxmlformats.org/officeDocument/2006/customXml" ds:itemID="{3AFAE8D8-7002-497D-9A35-7DB54F28AA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66FF32-919E-4A08-BABC-1CC4568DAC00}">
  <ds:schemaRefs>
    <ds:schemaRef ds:uri="http://schemas.microsoft.com/DataMashup"/>
  </ds:schemaRefs>
</ds:datastoreItem>
</file>

<file path=customXml/itemProps4.xml><?xml version="1.0" encoding="utf-8"?>
<ds:datastoreItem xmlns:ds="http://schemas.openxmlformats.org/officeDocument/2006/customXml" ds:itemID="{3E5A9205-AA8A-456D-8D3E-C6912072F91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Pipeline</vt:lpstr>
      <vt:lpstr>Customers</vt:lpstr>
      <vt:lpstr>Settings</vt:lpstr>
      <vt:lpstr>graphics</vt:lpstr>
      <vt:lpstr>calendarType</vt:lpstr>
      <vt:lpstr>dateRange</vt:lpstr>
      <vt:lpstr>fqStart</vt:lpstr>
      <vt:lpstr>pipelineName</vt:lpstr>
      <vt:lpstr>pipelineType</vt:lpstr>
      <vt:lpstr>probabilityThreshold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2025-08-07T20:43:30Z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