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C91907E4-7871-4EC9-BD1D-345311C52EC1}"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Contacts" sheetId="11" state="hidden" r:id="rId3"/>
    <sheet name="Milestones" sheetId="10" state="hidden" r:id="rId4"/>
    <sheet name="Settings" sheetId="6" r:id="rId5"/>
    <sheet name="Opportunities" sheetId="3" state="hidden" r:id="rId6"/>
    <sheet name="Customers" sheetId="2" state="hidden" r:id="rId7"/>
    <sheet name="graphics" sheetId="5" state="hidden" r:id="rId8"/>
    <sheet name="tables" sheetId="9" state="hidden" r:id="rId9"/>
  </sheets>
  <definedNames>
    <definedName name="_xlchart.v2.0" hidden="1">graphics!$A$11:$A$16</definedName>
    <definedName name="_xlchart.v2.1" hidden="1">graphics!$C$11:$C$16</definedName>
    <definedName name="calendarType">Pipeline!$F$2</definedName>
    <definedName name="clientId">Settings!$D$16</definedName>
    <definedName name="contactList">Settings!$D$14</definedName>
    <definedName name="contactListAppend">Settings!$C$14</definedName>
    <definedName name="custList">Settings!$D$12</definedName>
    <definedName name="custListAppend">Settings!$C$12</definedName>
    <definedName name="dateRange">Pipeline!$H$2</definedName>
    <definedName name="ExternalData_1" localSheetId="6" hidden="1">'Customers'!$A$1:$K$31</definedName>
    <definedName name="ExternalData_1" localSheetId="3" hidden="1">Milestones!$A$1:$I$101</definedName>
    <definedName name="ExternalData_2" localSheetId="2" hidden="1">'Contacts'!$A$1:$J$76</definedName>
    <definedName name="ExternalData_2" localSheetId="5" hidden="1">Opportunities!$A$1:$O$41</definedName>
    <definedName name="ExternalData_3" localSheetId="0" hidden="1">Pipeline!$Q$7:$Q$47</definedName>
    <definedName name="fqStart">Settings!$D$1</definedName>
    <definedName name="listPrefix">Settings!$D$11</definedName>
    <definedName name="milestoneList">Settings!$D$15</definedName>
    <definedName name="milestoneListAppend">Settings!$C$15</definedName>
    <definedName name="oppList">Settings!$D$13</definedName>
    <definedName name="oppListAppend">Settings!$C$13</definedName>
    <definedName name="pipelineType">Pipeline!$F$3</definedName>
    <definedName name="probabilityThreshold">Settings!#REF!</definedName>
    <definedName name="psAftermetter">" -SiteUrl "&amp;""""&amp;siteUrl&amp;""""&amp;" -ListPrefix "&amp;""""&amp;listPrefix&amp;"""" &amp; " -ClientId "&amp;""""&amp;IF(clientId="","31359c7f-bd7e-475c-86db-fdb8c937548e",clientId)&amp;""""</definedName>
    <definedName name="siteUrl">Settings!$D$10</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3" l="1"/>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V2" i="3" a="1"/>
  <c r="V2" i="3" s="1"/>
  <c r="V3" i="3" a="1"/>
  <c r="V3" i="3" s="1"/>
  <c r="V4" i="3" a="1"/>
  <c r="V4" i="3" s="1"/>
  <c r="V5" i="3" a="1"/>
  <c r="V5" i="3" s="1"/>
  <c r="V6" i="3" a="1"/>
  <c r="V6" i="3" s="1"/>
  <c r="V7" i="3" a="1"/>
  <c r="V7" i="3" s="1"/>
  <c r="V8" i="3" a="1"/>
  <c r="V8" i="3" s="1"/>
  <c r="V9" i="3" a="1"/>
  <c r="V9" i="3" s="1"/>
  <c r="V10" i="3" a="1"/>
  <c r="V10" i="3" s="1"/>
  <c r="V11" i="3" a="1"/>
  <c r="V11" i="3" s="1"/>
  <c r="V12" i="3" a="1"/>
  <c r="V12" i="3" s="1"/>
  <c r="V13" i="3" a="1"/>
  <c r="V13" i="3" s="1"/>
  <c r="V14" i="3" a="1"/>
  <c r="V14" i="3" s="1"/>
  <c r="V15" i="3" a="1"/>
  <c r="V15" i="3" s="1"/>
  <c r="V16" i="3" a="1"/>
  <c r="V16" i="3" s="1"/>
  <c r="V17" i="3" a="1"/>
  <c r="V17" i="3" s="1"/>
  <c r="V18" i="3" a="1"/>
  <c r="V18" i="3" s="1"/>
  <c r="Z18" i="3" s="1"/>
  <c r="V19" i="3" a="1"/>
  <c r="V19" i="3" s="1"/>
  <c r="V20" i="3" a="1"/>
  <c r="V20" i="3" s="1"/>
  <c r="V21" i="3" a="1"/>
  <c r="V21" i="3" s="1"/>
  <c r="V22" i="3" a="1"/>
  <c r="V22" i="3" s="1"/>
  <c r="V23" i="3" a="1"/>
  <c r="V23" i="3" s="1"/>
  <c r="V24" i="3" a="1"/>
  <c r="V24" i="3" s="1"/>
  <c r="V25" i="3" a="1"/>
  <c r="V25" i="3" s="1"/>
  <c r="V26" i="3" a="1"/>
  <c r="V26" i="3" s="1"/>
  <c r="V27" i="3" a="1"/>
  <c r="V27" i="3" s="1"/>
  <c r="V28" i="3" a="1"/>
  <c r="V28" i="3" s="1"/>
  <c r="V29" i="3" a="1"/>
  <c r="V29" i="3" s="1"/>
  <c r="V30" i="3" a="1"/>
  <c r="V30" i="3" s="1"/>
  <c r="V31" i="3" a="1"/>
  <c r="V31" i="3" s="1"/>
  <c r="V32" i="3" a="1"/>
  <c r="V32" i="3" s="1"/>
  <c r="V33" i="3" a="1"/>
  <c r="V33" i="3" s="1"/>
  <c r="V34" i="3" a="1"/>
  <c r="V34" i="3" s="1"/>
  <c r="Z34" i="3" s="1"/>
  <c r="V35" i="3" a="1"/>
  <c r="V35" i="3" s="1"/>
  <c r="V36" i="3" a="1"/>
  <c r="V36" i="3" s="1"/>
  <c r="V37" i="3" a="1"/>
  <c r="V37" i="3" s="1"/>
  <c r="V38" i="3" a="1"/>
  <c r="V38" i="3" s="1"/>
  <c r="V39" i="3" a="1"/>
  <c r="V39" i="3" s="1"/>
  <c r="V40" i="3" a="1"/>
  <c r="V40" i="3" s="1"/>
  <c r="V41" i="3" a="1"/>
  <c r="V41" i="3" s="1"/>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Z2"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s="1"/>
  <c r="AD3" i="3" s="1"/>
  <c r="AC4" i="3" a="1"/>
  <c r="AC4" i="3" s="1"/>
  <c r="AD4" i="3" s="1"/>
  <c r="AC5" i="3" a="1"/>
  <c r="AC5" i="3" s="1"/>
  <c r="AD5" i="3" s="1"/>
  <c r="AC6" i="3" a="1"/>
  <c r="AC6" i="3" s="1"/>
  <c r="AD6" i="3" s="1"/>
  <c r="AC7" i="3" a="1"/>
  <c r="AC7" i="3" s="1"/>
  <c r="AD7" i="3" s="1"/>
  <c r="AC8" i="3" a="1"/>
  <c r="AC8" i="3" s="1"/>
  <c r="AD8" i="3" s="1"/>
  <c r="AC9" i="3" a="1"/>
  <c r="AC9" i="3" s="1"/>
  <c r="AD9" i="3" s="1"/>
  <c r="AC10" i="3" a="1"/>
  <c r="AC10" i="3" s="1"/>
  <c r="AD10" i="3" s="1"/>
  <c r="AC11" i="3" a="1"/>
  <c r="AC11" i="3" s="1"/>
  <c r="AD11" i="3" s="1"/>
  <c r="AC12" i="3" a="1"/>
  <c r="AC12" i="3" s="1"/>
  <c r="AD12" i="3" s="1"/>
  <c r="AC13" i="3" a="1"/>
  <c r="AC13" i="3" s="1"/>
  <c r="AD13" i="3" s="1"/>
  <c r="AC14" i="3" a="1"/>
  <c r="AC14" i="3" s="1"/>
  <c r="AD14" i="3" s="1"/>
  <c r="AC15" i="3" a="1"/>
  <c r="AC15" i="3" s="1"/>
  <c r="AD15" i="3" s="1"/>
  <c r="AC16" i="3" a="1"/>
  <c r="AC16" i="3" s="1"/>
  <c r="AD16" i="3" s="1"/>
  <c r="AC17" i="3" a="1"/>
  <c r="AC17" i="3" s="1"/>
  <c r="AD17" i="3" s="1"/>
  <c r="AC18" i="3" a="1"/>
  <c r="AC18" i="3" s="1"/>
  <c r="AC19" i="3" a="1"/>
  <c r="AC19" i="3" s="1"/>
  <c r="AD19" i="3" s="1"/>
  <c r="AC20" i="3" a="1"/>
  <c r="AC20" i="3" s="1"/>
  <c r="AD20" i="3" s="1"/>
  <c r="AC21" i="3" a="1"/>
  <c r="AC21" i="3" s="1"/>
  <c r="AD21" i="3" s="1"/>
  <c r="AC22" i="3" a="1"/>
  <c r="AC22" i="3" s="1"/>
  <c r="AD22" i="3" s="1"/>
  <c r="AC23" i="3" a="1"/>
  <c r="AC23" i="3" s="1"/>
  <c r="AD23" i="3" s="1"/>
  <c r="AC24" i="3" a="1"/>
  <c r="AC24" i="3" s="1"/>
  <c r="AD24" i="3" s="1"/>
  <c r="AC25" i="3" a="1"/>
  <c r="AC25" i="3" s="1"/>
  <c r="AD25" i="3" s="1"/>
  <c r="AC26" i="3" a="1"/>
  <c r="AC26" i="3" s="1"/>
  <c r="AD26" i="3" s="1"/>
  <c r="AC27" i="3" a="1"/>
  <c r="AC27" i="3" s="1"/>
  <c r="AD27" i="3" s="1"/>
  <c r="AC28" i="3" a="1"/>
  <c r="AC28" i="3" s="1"/>
  <c r="AD28" i="3" s="1"/>
  <c r="AC29" i="3" a="1"/>
  <c r="AC29" i="3" s="1"/>
  <c r="AD29" i="3" s="1"/>
  <c r="AC30" i="3" a="1"/>
  <c r="AC30" i="3" s="1"/>
  <c r="AD30" i="3" s="1"/>
  <c r="AC31" i="3" a="1"/>
  <c r="AC31" i="3" s="1"/>
  <c r="AD31" i="3" s="1"/>
  <c r="AC32" i="3" a="1"/>
  <c r="AC32" i="3" s="1"/>
  <c r="AD32" i="3" s="1"/>
  <c r="AC33" i="3" a="1"/>
  <c r="AC33" i="3" s="1"/>
  <c r="AD33" i="3" s="1"/>
  <c r="AC34" i="3" a="1"/>
  <c r="AC34" i="3" s="1"/>
  <c r="AD34" i="3" s="1"/>
  <c r="AC35" i="3" a="1"/>
  <c r="AC35" i="3" s="1"/>
  <c r="AD35" i="3" s="1"/>
  <c r="AC36" i="3" a="1"/>
  <c r="AC36" i="3" s="1"/>
  <c r="AD36" i="3" s="1"/>
  <c r="AC37" i="3" a="1"/>
  <c r="AC37" i="3" s="1"/>
  <c r="AD37" i="3" s="1"/>
  <c r="AC38" i="3" a="1"/>
  <c r="AC38" i="3" s="1"/>
  <c r="AD38" i="3" s="1"/>
  <c r="AC39" i="3" a="1"/>
  <c r="AC39" i="3" s="1"/>
  <c r="AD39" i="3" s="1"/>
  <c r="AC40" i="3" a="1"/>
  <c r="AC40" i="3" s="1"/>
  <c r="AD40" i="3" s="1"/>
  <c r="AC41" i="3" a="1"/>
  <c r="AC41" i="3" s="1"/>
  <c r="AD41" i="3" s="1"/>
  <c r="AD2" i="3"/>
  <c r="AD18" i="3"/>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Z38" i="3" l="1"/>
  <c r="Z30" i="3"/>
  <c r="Z26" i="3"/>
  <c r="Z22" i="3"/>
  <c r="Z14" i="3"/>
  <c r="Z10" i="3"/>
  <c r="Z6" i="3"/>
  <c r="Z41" i="3"/>
  <c r="Z37" i="3"/>
  <c r="Z33" i="3"/>
  <c r="Z29" i="3"/>
  <c r="Z25" i="3"/>
  <c r="Z21" i="3"/>
  <c r="Z17" i="3"/>
  <c r="Z13" i="3"/>
  <c r="Z9" i="3"/>
  <c r="Z5" i="3"/>
  <c r="Z40" i="3"/>
  <c r="Z36" i="3"/>
  <c r="Z32" i="3"/>
  <c r="Z28" i="3"/>
  <c r="Z24" i="3"/>
  <c r="Z20" i="3"/>
  <c r="Z16" i="3"/>
  <c r="Z12" i="3"/>
  <c r="Z8" i="3"/>
  <c r="Z4" i="3"/>
  <c r="Z39" i="3"/>
  <c r="Z35" i="3"/>
  <c r="Z31" i="3"/>
  <c r="Z27" i="3"/>
  <c r="Z23" i="3"/>
  <c r="Z19" i="3"/>
  <c r="Z15" i="3"/>
  <c r="Z11" i="3"/>
  <c r="Z7" i="3"/>
  <c r="Z3" i="3"/>
  <c r="H1" i="4" l="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W8" i="4"/>
  <c r="Y3" i="3" s="1"/>
  <c r="W22" i="4"/>
  <c r="Y5" i="3" s="1"/>
  <c r="W38" i="4"/>
  <c r="Y15" i="3" s="1"/>
  <c r="W41" i="4"/>
  <c r="Y27" i="3" s="1"/>
  <c r="W36" i="4"/>
  <c r="Y37" i="3" s="1"/>
  <c r="M18" i="4"/>
  <c r="V18" i="4" s="1"/>
  <c r="M26" i="4"/>
  <c r="V26" i="4" s="1"/>
  <c r="M16" i="4"/>
  <c r="W19" i="4"/>
  <c r="Y34" i="3" s="1"/>
  <c r="W31" i="4"/>
  <c r="Y32" i="3" s="1"/>
  <c r="W12" i="4"/>
  <c r="Y14" i="3" s="1"/>
  <c r="W26" i="4"/>
  <c r="Y29" i="3" s="1"/>
  <c r="W25" i="4"/>
  <c r="Y36" i="3" s="1"/>
  <c r="L41" i="4"/>
  <c r="L16" i="4"/>
  <c r="L35" i="4"/>
  <c r="L32" i="4"/>
  <c r="L18" i="4"/>
  <c r="L39" i="4"/>
  <c r="L23" i="4"/>
  <c r="L19" i="4"/>
  <c r="L8" i="4"/>
  <c r="L22" i="4"/>
  <c r="L10" i="4"/>
  <c r="L11" i="4"/>
  <c r="L28" i="4"/>
  <c r="L37" i="4"/>
  <c r="L17" i="4"/>
  <c r="L31" i="4"/>
  <c r="L13" i="4"/>
  <c r="L27" i="4"/>
  <c r="L29" i="4"/>
  <c r="L42" i="4"/>
  <c r="L40" i="4"/>
  <c r="L33" i="4"/>
  <c r="L46" i="4"/>
  <c r="L24" i="4"/>
  <c r="L38" i="4"/>
  <c r="L43" i="4"/>
  <c r="L21" i="4"/>
  <c r="L12" i="4"/>
  <c r="L47" i="4"/>
  <c r="L15" i="4"/>
  <c r="L30" i="4"/>
  <c r="L26" i="4"/>
  <c r="L34" i="4"/>
  <c r="L14" i="4"/>
  <c r="L9" i="4"/>
  <c r="L45" i="4"/>
  <c r="L36" i="4"/>
  <c r="L44" i="4"/>
  <c r="L20" i="4"/>
  <c r="L25" i="4"/>
  <c r="M32" i="4"/>
  <c r="V32" i="4" s="1"/>
  <c r="M39" i="4"/>
  <c r="V39" i="4" s="1"/>
  <c r="M23" i="4"/>
  <c r="V23" i="4" s="1"/>
  <c r="M19" i="4"/>
  <c r="M22" i="4"/>
  <c r="V22" i="4" s="1"/>
  <c r="M10" i="4"/>
  <c r="V10" i="4" s="1"/>
  <c r="M28" i="4"/>
  <c r="V28" i="4" s="1"/>
  <c r="M37" i="4"/>
  <c r="V37" i="4" s="1"/>
  <c r="M13" i="4"/>
  <c r="V13" i="4" s="1"/>
  <c r="M27" i="4"/>
  <c r="V27" i="4" s="1"/>
  <c r="M40" i="4"/>
  <c r="V40" i="4" s="1"/>
  <c r="M46" i="4"/>
  <c r="M43" i="4"/>
  <c r="V43" i="4" s="1"/>
  <c r="M12" i="4"/>
  <c r="V12" i="4" s="1"/>
  <c r="M15" i="4"/>
  <c r="V15" i="4" s="1"/>
  <c r="M30" i="4"/>
  <c r="M34" i="4"/>
  <c r="V34" i="4" s="1"/>
  <c r="M14" i="4"/>
  <c r="V14" i="4" s="1"/>
  <c r="M45" i="4"/>
  <c r="V45" i="4" s="1"/>
  <c r="M44" i="4"/>
  <c r="M20" i="4"/>
  <c r="V20" i="4" s="1"/>
  <c r="M25" i="4"/>
  <c r="V25" i="4" s="1"/>
  <c r="O41" i="4"/>
  <c r="O16" i="4"/>
  <c r="O35" i="4"/>
  <c r="O32" i="4"/>
  <c r="O18" i="4"/>
  <c r="O39" i="4"/>
  <c r="O23" i="4"/>
  <c r="S23" i="4" s="1"/>
  <c r="O19" i="4"/>
  <c r="S19" i="4" s="1"/>
  <c r="O8" i="4"/>
  <c r="S8" i="4" s="1"/>
  <c r="O22" i="4"/>
  <c r="O10" i="4"/>
  <c r="S10" i="4" s="1"/>
  <c r="O11" i="4"/>
  <c r="S11" i="4" s="1"/>
  <c r="O28" i="4"/>
  <c r="S28" i="4" s="1"/>
  <c r="O37" i="4"/>
  <c r="S37" i="4" s="1"/>
  <c r="O17" i="4"/>
  <c r="S17" i="4" s="1"/>
  <c r="O31" i="4"/>
  <c r="O13" i="4"/>
  <c r="S13" i="4" s="1"/>
  <c r="O27" i="4"/>
  <c r="S27" i="4" s="1"/>
  <c r="O29" i="4"/>
  <c r="S29" i="4" s="1"/>
  <c r="O42" i="4"/>
  <c r="O40" i="4"/>
  <c r="S40" i="4" s="1"/>
  <c r="O33" i="4"/>
  <c r="O46" i="4"/>
  <c r="S46" i="4" s="1"/>
  <c r="O24" i="4"/>
  <c r="S24" i="4" s="1"/>
  <c r="O38" i="4"/>
  <c r="S38" i="4" s="1"/>
  <c r="O43" i="4"/>
  <c r="S43" i="4" s="1"/>
  <c r="O21" i="4"/>
  <c r="S21" i="4" s="1"/>
  <c r="O12" i="4"/>
  <c r="S12" i="4" s="1"/>
  <c r="O47" i="4"/>
  <c r="S47" i="4" s="1"/>
  <c r="O15" i="4"/>
  <c r="O30" i="4"/>
  <c r="S30" i="4" s="1"/>
  <c r="O26" i="4"/>
  <c r="O34" i="4"/>
  <c r="S34" i="4" s="1"/>
  <c r="O14" i="4"/>
  <c r="O9" i="4"/>
  <c r="O45" i="4"/>
  <c r="O36" i="4"/>
  <c r="S36" i="4" s="1"/>
  <c r="O44" i="4"/>
  <c r="S44" i="4" s="1"/>
  <c r="O20" i="4"/>
  <c r="S20" i="4" s="1"/>
  <c r="O25" i="4"/>
  <c r="S25" i="4" s="1"/>
  <c r="P41" i="4"/>
  <c r="P16" i="4"/>
  <c r="P35" i="4"/>
  <c r="P32" i="4"/>
  <c r="P18" i="4"/>
  <c r="P39" i="4"/>
  <c r="P23" i="4"/>
  <c r="P19" i="4"/>
  <c r="P8" i="4"/>
  <c r="P22" i="4"/>
  <c r="P10" i="4"/>
  <c r="P11" i="4"/>
  <c r="P28" i="4"/>
  <c r="P37" i="4"/>
  <c r="P17" i="4"/>
  <c r="P31" i="4"/>
  <c r="P13" i="4"/>
  <c r="P27" i="4"/>
  <c r="P29" i="4"/>
  <c r="P42" i="4"/>
  <c r="P40" i="4"/>
  <c r="P33" i="4"/>
  <c r="P46" i="4"/>
  <c r="P24" i="4"/>
  <c r="P38" i="4"/>
  <c r="P43" i="4"/>
  <c r="P21" i="4"/>
  <c r="P12" i="4"/>
  <c r="P47" i="4"/>
  <c r="P15" i="4"/>
  <c r="P30" i="4"/>
  <c r="P26" i="4"/>
  <c r="P34" i="4"/>
  <c r="P14" i="4"/>
  <c r="P9" i="4"/>
  <c r="P45" i="4"/>
  <c r="P36" i="4"/>
  <c r="P44" i="4"/>
  <c r="P20" i="4"/>
  <c r="P25" i="4"/>
  <c r="R41" i="4"/>
  <c r="R16" i="4"/>
  <c r="R35" i="4"/>
  <c r="R32" i="4"/>
  <c r="R18" i="4"/>
  <c r="R39" i="4"/>
  <c r="R23" i="4"/>
  <c r="R19" i="4"/>
  <c r="R8" i="4"/>
  <c r="R22" i="4"/>
  <c r="R10" i="4"/>
  <c r="R11" i="4"/>
  <c r="R28" i="4"/>
  <c r="R37" i="4"/>
  <c r="R17" i="4"/>
  <c r="R31" i="4"/>
  <c r="R13" i="4"/>
  <c r="R27" i="4"/>
  <c r="R29" i="4"/>
  <c r="R42" i="4"/>
  <c r="R40" i="4"/>
  <c r="R33" i="4"/>
  <c r="R46" i="4"/>
  <c r="R24" i="4"/>
  <c r="R38" i="4"/>
  <c r="R43" i="4"/>
  <c r="R21" i="4"/>
  <c r="R12" i="4"/>
  <c r="R47" i="4"/>
  <c r="R15" i="4"/>
  <c r="R30" i="4"/>
  <c r="R26" i="4"/>
  <c r="R34" i="4"/>
  <c r="R14" i="4"/>
  <c r="R9" i="4"/>
  <c r="R45" i="4"/>
  <c r="R36" i="4"/>
  <c r="R44" i="4"/>
  <c r="R20" i="4"/>
  <c r="R25" i="4"/>
  <c r="S41" i="4"/>
  <c r="S16" i="4"/>
  <c r="S35" i="4"/>
  <c r="S32" i="4"/>
  <c r="S18" i="4"/>
  <c r="S39" i="4"/>
  <c r="S22" i="4"/>
  <c r="S31" i="4"/>
  <c r="S42" i="4"/>
  <c r="S33" i="4"/>
  <c r="S15" i="4"/>
  <c r="S26" i="4"/>
  <c r="S14" i="4"/>
  <c r="S9" i="4"/>
  <c r="S45" i="4"/>
  <c r="T41" i="4"/>
  <c r="N41" i="4" s="1"/>
  <c r="T16" i="4"/>
  <c r="N16" i="4" s="1"/>
  <c r="T35" i="4"/>
  <c r="N35" i="4" s="1"/>
  <c r="T32" i="4"/>
  <c r="N32" i="4" s="1"/>
  <c r="T18" i="4"/>
  <c r="N18" i="4" s="1"/>
  <c r="T39" i="4"/>
  <c r="N39" i="4" s="1"/>
  <c r="T23" i="4"/>
  <c r="N23" i="4" s="1"/>
  <c r="T19" i="4"/>
  <c r="N19" i="4" s="1"/>
  <c r="T8" i="4"/>
  <c r="N8" i="4" s="1"/>
  <c r="T22" i="4"/>
  <c r="N22" i="4" s="1"/>
  <c r="T10" i="4"/>
  <c r="N10" i="4" s="1"/>
  <c r="T11" i="4"/>
  <c r="N11" i="4" s="1"/>
  <c r="T28" i="4"/>
  <c r="N28" i="4" s="1"/>
  <c r="T37" i="4"/>
  <c r="N37" i="4" s="1"/>
  <c r="T17" i="4"/>
  <c r="N17" i="4" s="1"/>
  <c r="T31" i="4"/>
  <c r="N31" i="4" s="1"/>
  <c r="T13" i="4"/>
  <c r="N13" i="4" s="1"/>
  <c r="T27" i="4"/>
  <c r="N27" i="4" s="1"/>
  <c r="T29" i="4"/>
  <c r="N29" i="4" s="1"/>
  <c r="T42" i="4"/>
  <c r="N42" i="4" s="1"/>
  <c r="T40" i="4"/>
  <c r="N40" i="4" s="1"/>
  <c r="T33" i="4"/>
  <c r="N33" i="4" s="1"/>
  <c r="T46" i="4"/>
  <c r="N46" i="4" s="1"/>
  <c r="T24" i="4"/>
  <c r="N24" i="4" s="1"/>
  <c r="T38" i="4"/>
  <c r="N38" i="4" s="1"/>
  <c r="T43" i="4"/>
  <c r="N43" i="4" s="1"/>
  <c r="T21" i="4"/>
  <c r="N21" i="4" s="1"/>
  <c r="T12" i="4"/>
  <c r="N12" i="4" s="1"/>
  <c r="T47" i="4"/>
  <c r="N47" i="4" s="1"/>
  <c r="T15" i="4"/>
  <c r="N15" i="4" s="1"/>
  <c r="T30" i="4"/>
  <c r="N30" i="4" s="1"/>
  <c r="T26" i="4"/>
  <c r="N26" i="4" s="1"/>
  <c r="T34" i="4"/>
  <c r="N34" i="4" s="1"/>
  <c r="T14" i="4"/>
  <c r="N14" i="4" s="1"/>
  <c r="T9" i="4"/>
  <c r="N9" i="4" s="1"/>
  <c r="T45" i="4"/>
  <c r="N45" i="4" s="1"/>
  <c r="T36" i="4"/>
  <c r="N36" i="4" s="1"/>
  <c r="T44" i="4"/>
  <c r="N44" i="4" s="1"/>
  <c r="T20" i="4"/>
  <c r="N20" i="4" s="1"/>
  <c r="T25" i="4"/>
  <c r="N25" i="4" s="1"/>
  <c r="U41" i="4"/>
  <c r="U16" i="4"/>
  <c r="U35" i="4"/>
  <c r="U32" i="4"/>
  <c r="U18" i="4"/>
  <c r="U39" i="4"/>
  <c r="U23" i="4"/>
  <c r="U19" i="4"/>
  <c r="U8" i="4"/>
  <c r="U22" i="4"/>
  <c r="U10" i="4"/>
  <c r="U11" i="4"/>
  <c r="U28" i="4"/>
  <c r="U37" i="4"/>
  <c r="U17" i="4"/>
  <c r="U31" i="4"/>
  <c r="U13" i="4"/>
  <c r="U27" i="4"/>
  <c r="U29" i="4"/>
  <c r="U42" i="4"/>
  <c r="U40" i="4"/>
  <c r="U33" i="4"/>
  <c r="U46" i="4"/>
  <c r="U24" i="4"/>
  <c r="U38" i="4"/>
  <c r="U43" i="4"/>
  <c r="U21" i="4"/>
  <c r="U12" i="4"/>
  <c r="U47" i="4"/>
  <c r="U15" i="4"/>
  <c r="U30" i="4"/>
  <c r="U26" i="4"/>
  <c r="U34" i="4"/>
  <c r="U14" i="4"/>
  <c r="U9" i="4"/>
  <c r="U45" i="4"/>
  <c r="U36" i="4"/>
  <c r="U44" i="4"/>
  <c r="U20" i="4"/>
  <c r="U25" i="4"/>
  <c r="V16" i="4"/>
  <c r="V19" i="4"/>
  <c r="V46" i="4"/>
  <c r="V30" i="4"/>
  <c r="V44" i="4"/>
  <c r="W16" i="4"/>
  <c r="Y33" i="3" s="1"/>
  <c r="W32" i="4"/>
  <c r="Y4" i="3" s="1"/>
  <c r="W18" i="4"/>
  <c r="Y9" i="3" s="1"/>
  <c r="W11" i="4"/>
  <c r="Y21" i="3" s="1"/>
  <c r="W28" i="4"/>
  <c r="Y25" i="3" s="1"/>
  <c r="W37" i="4"/>
  <c r="Y17" i="3" s="1"/>
  <c r="W43" i="4"/>
  <c r="Y13" i="3" s="1"/>
  <c r="W14" i="4"/>
  <c r="Y41" i="3" s="1"/>
  <c r="W45" i="4"/>
  <c r="Y6" i="3" s="1"/>
  <c r="D14" i="6"/>
  <c r="D15" i="6"/>
  <c r="B15" i="6" l="1"/>
  <c r="C4" i="4"/>
  <c r="B4" i="4"/>
  <c r="B14" i="6"/>
  <c r="C5" i="4"/>
  <c r="B5" i="4"/>
  <c r="M24" i="4"/>
  <c r="V24" i="4" s="1"/>
  <c r="M21" i="4"/>
  <c r="V21" i="4" s="1"/>
  <c r="M38" i="4"/>
  <c r="V38" i="4" s="1"/>
  <c r="W24" i="4"/>
  <c r="Y35" i="3" s="1"/>
  <c r="W42" i="4"/>
  <c r="Y19" i="3" s="1"/>
  <c r="M9" i="4"/>
  <c r="V9" i="4" s="1"/>
  <c r="M33" i="4"/>
  <c r="V33" i="4" s="1"/>
  <c r="M42" i="4"/>
  <c r="V42" i="4" s="1"/>
  <c r="M41" i="4"/>
  <c r="V41" i="4" s="1"/>
  <c r="W46" i="4"/>
  <c r="Y28" i="3" s="1"/>
  <c r="W23" i="4"/>
  <c r="Y20" i="3" s="1"/>
  <c r="W30" i="4"/>
  <c r="Y12" i="3" s="1"/>
  <c r="M36" i="4"/>
  <c r="V36" i="4" s="1"/>
  <c r="M47" i="4"/>
  <c r="V47" i="4" s="1"/>
  <c r="M8" i="4"/>
  <c r="V8" i="4" s="1"/>
  <c r="W39" i="4"/>
  <c r="Y38" i="3" s="1"/>
  <c r="W13" i="4"/>
  <c r="Y30" i="3" s="1"/>
  <c r="W10" i="4"/>
  <c r="Y22" i="3" s="1"/>
  <c r="M31" i="4"/>
  <c r="V31" i="4" s="1"/>
  <c r="M11" i="4"/>
  <c r="V11" i="4" s="1"/>
  <c r="W47" i="4"/>
  <c r="Y40" i="3" s="1"/>
  <c r="W35" i="4"/>
  <c r="Y24" i="3" s="1"/>
  <c r="W44" i="4"/>
  <c r="Y16" i="3" s="1"/>
  <c r="W34" i="4"/>
  <c r="Y8" i="3" s="1"/>
  <c r="M29" i="4"/>
  <c r="V29" i="4" s="1"/>
  <c r="M17" i="4"/>
  <c r="V17" i="4" s="1"/>
  <c r="M35" i="4"/>
  <c r="V35" i="4" s="1"/>
  <c r="W20" i="4"/>
  <c r="Y26" i="3" s="1"/>
  <c r="W15" i="4"/>
  <c r="Y18" i="3" s="1"/>
  <c r="W27" i="4"/>
  <c r="Y10" i="3" s="1"/>
  <c r="W40" i="4"/>
  <c r="Y2" i="3" s="1"/>
  <c r="W9" i="4"/>
  <c r="Y39" i="3" s="1"/>
  <c r="W21" i="4"/>
  <c r="Y31" i="3" s="1"/>
  <c r="W29" i="4"/>
  <c r="Y7" i="3" s="1"/>
  <c r="W17" i="4"/>
  <c r="Y11" i="3" s="1"/>
  <c r="W33" i="4"/>
  <c r="Y23" i="3" s="1"/>
  <c r="P13" i="6"/>
  <c r="P14" i="6"/>
  <c r="P15" i="6"/>
  <c r="P16" i="6"/>
  <c r="P17" i="6"/>
  <c r="P18" i="6"/>
  <c r="A6" i="6"/>
  <c r="A5" i="6"/>
  <c r="A4" i="6"/>
  <c r="A3" i="6"/>
  <c r="A2" i="6"/>
  <c r="H9" i="6" a="1"/>
  <c r="H9" i="6" s="1"/>
  <c r="H8" i="6" a="1"/>
  <c r="H8" i="6" s="1"/>
  <c r="H3" i="6" a="1"/>
  <c r="H3" i="6" s="1"/>
  <c r="H6" i="6" a="1"/>
  <c r="H6" i="6" s="1"/>
  <c r="H5" i="6" a="1"/>
  <c r="H5" i="6" s="1"/>
  <c r="H4" i="6" a="1"/>
  <c r="H4" i="6" s="1"/>
  <c r="D12" i="6"/>
  <c r="D13" i="6"/>
  <c r="T3" i="3" l="1"/>
  <c r="K8" i="4" s="1"/>
  <c r="T25" i="3"/>
  <c r="K28" i="4" s="1"/>
  <c r="T4" i="3"/>
  <c r="K32" i="4" s="1"/>
  <c r="T33" i="3"/>
  <c r="K16" i="4" s="1"/>
  <c r="T31" i="3"/>
  <c r="K21" i="4" s="1"/>
  <c r="T36" i="3"/>
  <c r="K25" i="4" s="1"/>
  <c r="T35" i="3"/>
  <c r="K24" i="4" s="1"/>
  <c r="T40" i="3"/>
  <c r="K47" i="4" s="1"/>
  <c r="T7" i="3"/>
  <c r="K29" i="4" s="1"/>
  <c r="T13" i="3"/>
  <c r="K43" i="4" s="1"/>
  <c r="T8" i="3"/>
  <c r="K34" i="4" s="1"/>
  <c r="T16" i="3"/>
  <c r="K44" i="4" s="1"/>
  <c r="T37" i="3"/>
  <c r="K36" i="4" s="1"/>
  <c r="T2" i="3"/>
  <c r="K40" i="4" s="1"/>
  <c r="T10" i="3"/>
  <c r="K27" i="4" s="1"/>
  <c r="T15" i="3"/>
  <c r="K38" i="4" s="1"/>
  <c r="T19" i="3"/>
  <c r="K42" i="4" s="1"/>
  <c r="T27" i="3"/>
  <c r="K41" i="4" s="1"/>
  <c r="T29" i="3"/>
  <c r="K26" i="4" s="1"/>
  <c r="T28" i="3"/>
  <c r="K46" i="4" s="1"/>
  <c r="T22" i="3"/>
  <c r="K10" i="4" s="1"/>
  <c r="T30" i="3"/>
  <c r="K13" i="4" s="1"/>
  <c r="T9" i="3"/>
  <c r="K18" i="4" s="1"/>
  <c r="T5" i="3"/>
  <c r="K22" i="4" s="1"/>
  <c r="T38" i="3"/>
  <c r="K39" i="4" s="1"/>
  <c r="T26" i="3"/>
  <c r="K20" i="4" s="1"/>
  <c r="T14" i="3"/>
  <c r="K12" i="4" s="1"/>
  <c r="T18" i="3"/>
  <c r="K15" i="4" s="1"/>
  <c r="T11" i="3"/>
  <c r="K17" i="4" s="1"/>
  <c r="T32" i="3"/>
  <c r="K31" i="4" s="1"/>
  <c r="T12" i="3"/>
  <c r="K30" i="4" s="1"/>
  <c r="T20" i="3"/>
  <c r="K23" i="4" s="1"/>
  <c r="T24" i="3"/>
  <c r="K35" i="4" s="1"/>
  <c r="T6" i="3"/>
  <c r="K45" i="4" s="1"/>
  <c r="T21" i="3"/>
  <c r="K11" i="4" s="1"/>
  <c r="T23" i="3"/>
  <c r="K33" i="4" s="1"/>
  <c r="T34" i="3"/>
  <c r="K19" i="4" s="1"/>
  <c r="T17" i="3"/>
  <c r="K37" i="4" s="1"/>
  <c r="T41" i="3"/>
  <c r="K14" i="4" s="1"/>
  <c r="T39" i="3"/>
  <c r="K9" i="4" s="1"/>
  <c r="R2" i="3"/>
  <c r="R6" i="3"/>
  <c r="R10" i="3"/>
  <c r="R14" i="3"/>
  <c r="R18" i="3"/>
  <c r="R22" i="3"/>
  <c r="R26" i="3"/>
  <c r="R30" i="3"/>
  <c r="R34" i="3"/>
  <c r="R38" i="3"/>
  <c r="R13" i="3"/>
  <c r="R37" i="3"/>
  <c r="R3" i="3"/>
  <c r="R7" i="3"/>
  <c r="R11" i="3"/>
  <c r="R15" i="3"/>
  <c r="R19" i="3"/>
  <c r="R23" i="3"/>
  <c r="R27" i="3"/>
  <c r="R31" i="3"/>
  <c r="R35" i="3"/>
  <c r="R39" i="3"/>
  <c r="R9" i="3"/>
  <c r="R21" i="3"/>
  <c r="R29" i="3"/>
  <c r="R41" i="3"/>
  <c r="B3" i="4"/>
  <c r="R4" i="3"/>
  <c r="R8" i="3"/>
  <c r="R12" i="3"/>
  <c r="R16" i="3"/>
  <c r="R20" i="3"/>
  <c r="R24" i="3"/>
  <c r="R28" i="3"/>
  <c r="R32" i="3"/>
  <c r="R36" i="3"/>
  <c r="R40" i="3"/>
  <c r="R5" i="3"/>
  <c r="R17" i="3"/>
  <c r="R25" i="3"/>
  <c r="R33" i="3"/>
  <c r="C3" i="4"/>
  <c r="I35" i="4"/>
  <c r="I23" i="4"/>
  <c r="I10" i="4"/>
  <c r="I17" i="4"/>
  <c r="I29" i="4"/>
  <c r="I46" i="4"/>
  <c r="I21" i="4"/>
  <c r="I30" i="4"/>
  <c r="I9" i="4"/>
  <c r="I20" i="4"/>
  <c r="I43" i="4"/>
  <c r="I32" i="4"/>
  <c r="I19" i="4"/>
  <c r="I11" i="4"/>
  <c r="I31" i="4"/>
  <c r="I42" i="4"/>
  <c r="I24" i="4"/>
  <c r="I12" i="4"/>
  <c r="I26" i="4"/>
  <c r="I45" i="4"/>
  <c r="I25" i="4"/>
  <c r="I16" i="4"/>
  <c r="I39" i="4"/>
  <c r="I37" i="4"/>
  <c r="I27" i="4"/>
  <c r="I15" i="4"/>
  <c r="I44" i="4"/>
  <c r="I41" i="4"/>
  <c r="I18" i="4"/>
  <c r="I8" i="4"/>
  <c r="I28" i="4"/>
  <c r="I13" i="4"/>
  <c r="I40" i="4"/>
  <c r="I38" i="4"/>
  <c r="I47" i="4"/>
  <c r="I34" i="4"/>
  <c r="I36" i="4"/>
  <c r="I22" i="4"/>
  <c r="I33" i="4"/>
  <c r="I14" i="4"/>
  <c r="C2" i="4"/>
  <c r="B2" i="4"/>
  <c r="L5" i="2"/>
  <c r="N5" i="2" s="1"/>
  <c r="L9" i="2"/>
  <c r="N9" i="2" s="1"/>
  <c r="L13" i="2"/>
  <c r="N13" i="2" s="1"/>
  <c r="L17" i="2"/>
  <c r="N17" i="2" s="1"/>
  <c r="L21" i="2"/>
  <c r="N21" i="2" s="1"/>
  <c r="L25" i="2"/>
  <c r="N25" i="2" s="1"/>
  <c r="L29" i="2"/>
  <c r="N29" i="2" s="1"/>
  <c r="X21" i="3" s="1"/>
  <c r="J11" i="4" s="1"/>
  <c r="L12" i="2"/>
  <c r="N12" i="2" s="1"/>
  <c r="L2" i="2"/>
  <c r="N2" i="2" s="1"/>
  <c r="L6" i="2"/>
  <c r="N6" i="2" s="1"/>
  <c r="L10" i="2"/>
  <c r="N10" i="2" s="1"/>
  <c r="L14" i="2"/>
  <c r="N14" i="2" s="1"/>
  <c r="L18" i="2"/>
  <c r="N18" i="2" s="1"/>
  <c r="X13" i="3" s="1"/>
  <c r="J43" i="4" s="1"/>
  <c r="L22" i="2"/>
  <c r="N22" i="2" s="1"/>
  <c r="X39" i="3" s="1"/>
  <c r="J9" i="4" s="1"/>
  <c r="L26" i="2"/>
  <c r="N26" i="2" s="1"/>
  <c r="X35" i="3" s="1"/>
  <c r="J24" i="4" s="1"/>
  <c r="L30" i="2"/>
  <c r="N30" i="2" s="1"/>
  <c r="X33" i="3" s="1"/>
  <c r="J16" i="4" s="1"/>
  <c r="L4" i="2"/>
  <c r="N4" i="2" s="1"/>
  <c r="L16" i="2"/>
  <c r="N16" i="2" s="1"/>
  <c r="L20" i="2"/>
  <c r="N20" i="2" s="1"/>
  <c r="X18" i="3" s="1"/>
  <c r="J15" i="4" s="1"/>
  <c r="L24" i="2"/>
  <c r="N24" i="2" s="1"/>
  <c r="X20" i="3" s="1"/>
  <c r="J23" i="4" s="1"/>
  <c r="L28" i="2"/>
  <c r="N28" i="2" s="1"/>
  <c r="X25" i="3" s="1"/>
  <c r="J28" i="4" s="1"/>
  <c r="L3" i="2"/>
  <c r="N3" i="2" s="1"/>
  <c r="L7" i="2"/>
  <c r="N7" i="2" s="1"/>
  <c r="L11" i="2"/>
  <c r="N11" i="2" s="1"/>
  <c r="L15" i="2"/>
  <c r="N15" i="2" s="1"/>
  <c r="L19" i="2"/>
  <c r="N19" i="2" s="1"/>
  <c r="X2" i="3" s="1"/>
  <c r="J40" i="4" s="1"/>
  <c r="L23" i="2"/>
  <c r="N23" i="2" s="1"/>
  <c r="X17" i="3" s="1"/>
  <c r="J37" i="4" s="1"/>
  <c r="L27" i="2"/>
  <c r="N27" i="2" s="1"/>
  <c r="X10" i="3" s="1"/>
  <c r="J27" i="4" s="1"/>
  <c r="L31" i="2"/>
  <c r="N31" i="2" s="1"/>
  <c r="X11" i="3" s="1"/>
  <c r="J17" i="4" s="1"/>
  <c r="L8" i="2"/>
  <c r="N8" i="2" s="1"/>
  <c r="B12" i="6"/>
  <c r="F1" i="9" a="1"/>
  <c r="A16" i="5"/>
  <c r="A13" i="5"/>
  <c r="A14" i="5"/>
  <c r="A11" i="5"/>
  <c r="A15" i="5"/>
  <c r="A12" i="5"/>
  <c r="B13" i="6"/>
  <c r="X30" i="3" l="1"/>
  <c r="J13" i="4" s="1"/>
  <c r="X3" i="3"/>
  <c r="J8" i="4" s="1"/>
  <c r="X9" i="3"/>
  <c r="J18" i="4" s="1"/>
  <c r="X7" i="3"/>
  <c r="J29" i="4" s="1"/>
  <c r="X19" i="3"/>
  <c r="J42" i="4" s="1"/>
  <c r="X36" i="3"/>
  <c r="J25" i="4" s="1"/>
  <c r="X5" i="3"/>
  <c r="J22" i="4" s="1"/>
  <c r="X6" i="3"/>
  <c r="J45" i="4" s="1"/>
  <c r="X4" i="3"/>
  <c r="J32" i="4" s="1"/>
  <c r="X14" i="3"/>
  <c r="J12" i="4" s="1"/>
  <c r="X28" i="3"/>
  <c r="J46" i="4" s="1"/>
  <c r="X15" i="3"/>
  <c r="J38" i="4" s="1"/>
  <c r="X41" i="3"/>
  <c r="J14" i="4" s="1"/>
  <c r="X32" i="3"/>
  <c r="J31" i="4" s="1"/>
  <c r="X16" i="3"/>
  <c r="J44" i="4" s="1"/>
  <c r="X24" i="3"/>
  <c r="J35" i="4" s="1"/>
  <c r="X23" i="3"/>
  <c r="J33" i="4" s="1"/>
  <c r="X8" i="3"/>
  <c r="J34" i="4" s="1"/>
  <c r="X26" i="3"/>
  <c r="J20" i="4" s="1"/>
  <c r="X34" i="3"/>
  <c r="J19" i="4" s="1"/>
  <c r="X12" i="3"/>
  <c r="J30" i="4" s="1"/>
  <c r="X40" i="3"/>
  <c r="J47" i="4" s="1"/>
  <c r="X29" i="3"/>
  <c r="J26" i="4" s="1"/>
  <c r="X37" i="3"/>
  <c r="J36" i="4" s="1"/>
  <c r="X22" i="3"/>
  <c r="J10" i="4" s="1"/>
  <c r="X27" i="3"/>
  <c r="J41" i="4" s="1"/>
  <c r="X31" i="3"/>
  <c r="J21" i="4" s="1"/>
  <c r="X38" i="3"/>
  <c r="J39" i="4" s="1"/>
  <c r="E2" i="5"/>
  <c r="Q2" i="5" a="1"/>
  <c r="Q2" i="5" s="1"/>
  <c r="J2" i="9" a="1"/>
  <c r="J2" i="9" s="1"/>
  <c r="A1" i="9" a="1"/>
  <c r="A1" i="9" s="1"/>
  <c r="K2" i="9" a="1"/>
  <c r="K2" i="9" s="1"/>
  <c r="H2" i="9" a="1"/>
  <c r="H2" i="9" s="1"/>
  <c r="F1" i="9"/>
  <c r="F2" i="9" s="1" a="1"/>
  <c r="F2" i="9" s="1"/>
  <c r="I2" i="9" a="1"/>
  <c r="I2" i="9" s="1"/>
  <c r="G2" i="9" a="1"/>
  <c r="G2" i="9" s="1"/>
  <c r="L2" i="9" a="1"/>
  <c r="L2" i="9" s="1"/>
  <c r="AH1" i="5" a="1"/>
  <c r="R1" i="5" a="1"/>
  <c r="I1" i="5" a="1"/>
  <c r="L4" i="5" s="1"/>
  <c r="AH1" i="5" l="1"/>
  <c r="AL4" i="5"/>
  <c r="AJ3" i="5"/>
  <c r="AL2" i="5"/>
  <c r="AM3" i="5"/>
  <c r="AI3" i="5"/>
  <c r="AK2" i="5"/>
  <c r="AK4" i="5"/>
  <c r="AJ4" i="5"/>
  <c r="AL3" i="5"/>
  <c r="AJ2" i="5"/>
  <c r="AI4" i="5"/>
  <c r="AM2" i="5"/>
  <c r="AM4" i="5"/>
  <c r="AI2" i="5"/>
  <c r="AK3" i="5"/>
  <c r="S7" i="5"/>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l="1"/>
  <c r="AH4" i="5"/>
  <c r="AH2" i="5"/>
  <c r="AH3"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<sst xmlns="http://schemas.openxmlformats.org/spreadsheetml/2006/main" count="1610" uniqueCount="809">
  <si>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</si>
  <si>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</si>
  <si>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</si>
  <si>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</si>
  <si>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</si>
  <si>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</si>
  <si>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</si>
  <si>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</si>
  <si>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</si>
  <si>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</si>
  <si>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</si>
  <si>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</si>
  <si>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</si>
  <si>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</si>
  <si>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</si>
  <si>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</si>
  <si>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</si>
  <si>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</si>
  <si>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</si>
  <si>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</si>
  <si>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</si>
  <si>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</si>
  <si>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</si>
  <si>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</si>
  <si>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</si>
  <si>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</si>
  <si>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</si>
  <si>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</si>
  <si>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</si>
  <si>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</si>
  <si>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</si>
  <si>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</si>
  <si>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</si>
  <si>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</si>
  <si>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</si>
  <si>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</si>
  <si>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</si>
  <si>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</si>
  <si>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</si>
  <si>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</si>
  <si>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</si>
  <si>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</si>
  <si>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</si>
  <si>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</si>
  <si>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</si>
  <si>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</si>
  <si>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</si>
  <si>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</si>
  <si>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</si>
  <si>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</si>
  <si>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</si>
  <si>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</si>
  <si>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</si>
  <si>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</si>
  <si>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</si>
  <si>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</si>
  <si>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</si>
  <si>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</si>
  <si>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</si>
  <si>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</si>
  <si>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</si>
  <si>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</si>
  <si>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</si>
  <si>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</si>
  <si>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</si>
  <si>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</si>
  <si>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</si>
  <si>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</si>
  <si>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</si>
  <si>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</si>
  <si>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</si>
  <si>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</si>
  <si>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</si>
  <si>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</si>
  <si>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</si>
  <si>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</si>
  <si>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</si>
  <si>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</si>
  <si>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</si>
  <si>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</si>
  <si>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</si>
  <si>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</si>
  <si>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</si>
  <si>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</si>
  <si>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</si>
  <si>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</si>
  <si>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</si>
  <si>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</si>
  <si>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</si>
  <si>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</si>
  <si>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</si>
  <si>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</si>
  <si>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</si>
  <si>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</si>
  <si>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</si>
  <si>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</si>
  <si>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</si>
  <si>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</si>
  <si>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</si>
  <si>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</si>
  <si>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</si>
  <si>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</si>
  <si>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</si>
  <si>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</si>
  <si>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</si>
  <si>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</si>
  <si>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</si>
  <si>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</si>
  <si>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</si>
  <si>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</si>
  <si>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</si>
  <si>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</si>
  <si>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</si>
  <si>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</si>
  <si>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</si>
  <si>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</si>
  <si>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</si>
  <si>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</si>
  <si>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</si>
  <si>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</si>
  <si>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</si>
  <si>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</si>
  <si>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</si>
  <si>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</si>
  <si>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</si>
  <si>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</si>
  <si>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</si>
  <si>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</si>
  <si>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</si>
  <si>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</si>
  <si>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</si>
  <si>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</si>
  <si>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</si>
  <si>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</si>
  <si>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</si>
  <si>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</si>
  <si>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</si>
  <si>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</si>
  <si>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</si>
  <si>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</si>
  <si>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</si>
  <si>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</si>
  <si>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</si>
  <si>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</si>
  <si>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</si>
  <si>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</si>
  <si>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</si>
  <si>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</si>
  <si>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</si>
  <si>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</si>
  <si>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</si>
  <si>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</si>
  <si>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</si>
  <si>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</si>
  <si>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</si>
  <si>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</si>
  <si>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</si>
  <si>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</si>
  <si>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</si>
  <si>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</si>
  <si>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</si>
  <si>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</si>
  <si>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</si>
  <si>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</si>
  <si>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</si>
  <si>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</si>
  <si>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</si>
  <si>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</si>
  <si>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</si>
  <si>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</si>
  <si>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</si>
  <si>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</si>
  <si>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</si>
  <si>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</si>
  <si>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</si>
  <si>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</si>
  <si>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</si>
  <si>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</si>
  <si>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</si>
  <si>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</si>
  <si>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</si>
  <si>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</si>
  <si>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</si>
  <si>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</si>
  <si>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</si>
  <si>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</si>
  <si>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</si>
  <si>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</si>
  <si>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</si>
  <si>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</si>
  <si>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</si>
  <si>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</si>
  <si>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</si>
  <si>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</si>
  <si>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</si>
  <si>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</si>
  <si>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</si>
  <si>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</si>
  <si>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</si>
  <si>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</si>
  <si>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</si>
  <si>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</si>
  <si>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</si>
  <si>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</si>
  <si>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</si>
  <si>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</si>
  <si>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</si>
  <si>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</si>
  <si>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</si>
  <si>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</si>
  <si>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</si>
  <si>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</si>
  <si>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</si>
  <si>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</si>
  <si>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</si>
  <si>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</si>
  <si>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</si>
  <si>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</si>
  <si>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</si>
  <si>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</si>
  <si>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</si>
  <si>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</si>
  <si>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</si>
  <si>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</si>
  <si>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</si>
  <si>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</si>
  <si>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</si>
  <si>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</si>
  <si>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</si>
  <si>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</si>
  <si>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</si>
  <si>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</si>
  <si>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</si>
  <si>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</si>
  <si>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</si>
  <si>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</si>
  <si>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</si>
  <si>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</si>
  <si>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</si>
  <si>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</si>
  <si>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</si>
  <si>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</si>
  <si>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</si>
  <si>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</si>
  <si>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</si>
  <si>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</si>
  <si>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</si>
  <si>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</si>
  <si>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</si>
  <si>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</si>
  <si>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</si>
  <si>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</si>
  <si>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</si>
  <si>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</si>
  <si>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</si>
  <si>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</si>
  <si>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</si>
  <si>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</si>
  <si>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</si>
  <si>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</si>
  <si>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</si>
  <si>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</si>
  <si>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</si>
  <si>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</si>
  <si>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</si>
  <si>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</si>
  <si>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</si>
  <si>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</si>
  <si>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</si>
  <si>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</si>
  <si>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</si>
  <si>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</si>
  <si>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</si>
  <si>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</si>
  <si>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</si>
  <si>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</si>
  <si>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</si>
  <si>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</si>
  <si>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</si>
  <si>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</si>
  <si>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</si>
  <si>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</si>
  <si>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</si>
  <si>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</si>
  <si>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</si>
  <si>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</si>
  <si>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</si>
  <si>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</si>
  <si>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</si>
  <si>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</si>
  <si>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</si>
  <si>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</si>
  <si>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</si>
  <si>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</si>
  <si>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</si>
  <si>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</si>
  <si>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</si>
  <si>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</si>
  <si>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</si>
  <si>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</si>
  <si>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</si>
  <si>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</si>
  <si>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</si>
  <si>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</si>
  <si>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</si>
  <si>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</si>
  <si>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</si>
  <si>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</si>
  <si>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</si>
  <si>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</si>
  <si>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</si>
  <si>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</si>
  <si>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</si>
  <si>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</si>
  <si>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</si>
  <si>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</si>
  <si>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</si>
  <si>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</si>
  <si>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</si>
  <si>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</si>
  <si>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</si>
  <si>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</si>
  <si>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</si>
  <si>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</si>
  <si>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</si>
  <si>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</si>
  <si>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</si>
  <si>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</si>
  <si>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</si>
  <si>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</si>
  <si>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</si>
  <si>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</si>
  <si>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</si>
  <si>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</si>
  <si>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</si>
  <si>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</si>
  <si>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</si>
  <si>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</si>
  <si>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</si>
  <si>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</si>
  <si>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</si>
  <si>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</si>
  <si>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</si>
  <si>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</si>
  <si>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</si>
  <si>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</si>
  <si>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</si>
  <si>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</si>
  <si>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</si>
  <si>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</si>
  <si>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</si>
  <si>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</si>
  <si>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</si>
  <si>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</si>
  <si>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</si>
  <si>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</si>
  <si>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</si>
  <si>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</si>
  <si>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</si>
  <si>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</si>
  <si>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</si>
  <si>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</si>
  <si>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</si>
  <si>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</si>
  <si>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</si>
  <si>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</si>
  <si>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</si>
  <si>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</si>
  <si>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</si>
  <si>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</si>
  <si>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</si>
  <si>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</si>
  <si>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</si>
  <si>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</si>
  <si>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</si>
  <si>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</si>
  <si>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</si>
  <si>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</si>
  <si>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</si>
  <si>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</si>
  <si>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</si>
  <si>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</si>
  <si>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</si>
  <si>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</si>
  <si>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</si>
  <si>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</si>
  <si>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</si>
  <si>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</si>
  <si>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</si>
  <si>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</si>
  <si>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</si>
  <si>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</si>
  <si>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</si>
  <si>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</si>
  <si>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</si>
  <si>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</si>
  <si>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</si>
  <si>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</si>
  <si>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</si>
  <si>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</si>
  <si>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</si>
  <si>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</si>
  <si>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</si>
  <si>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</si>
  <si>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</si>
  <si>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</si>
  <si>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</si>
  <si>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</si>
  <si>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</si>
  <si>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</si>
  <si>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</si>
  <si>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</si>
  <si>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</si>
  <si>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</si>
  <si>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</si>
  <si>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</si>
  <si>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</si>
  <si>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</si>
  <si>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</si>
  <si>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</si>
  <si>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</si>
  <si>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</si>
  <si>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</si>
  <si>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</si>
  <si>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</si>
  <si>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</si>
  <si>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</si>
  <si>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</si>
  <si>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</si>
  <si>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</si>
  <si>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</si>
  <si>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</si>
  <si>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</si>
  <si>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</si>
  <si>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</si>
  <si>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</si>
  <si>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</si>
  <si>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</si>
  <si>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</si>
  <si>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</si>
  <si>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</si>
  <si>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</si>
  <si>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</si>
  <si>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</si>
  <si>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</si>
  <si>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</si>
  <si>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</si>
  <si>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</si>
  <si>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</si>
  <si>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</si>
  <si>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</si>
  <si>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</si>
  <si>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</si>
  <si>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</si>
  <si>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</si>
  <si>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</si>
  <si>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</si>
  <si>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</si>
  <si>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</si>
  <si>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</si>
  <si>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</si>
  <si>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</si>
  <si>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</si>
  <si>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</si>
  <si>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</si>
  <si>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</si>
  <si>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</si>
  <si>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</si>
  <si>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</si>
  <si>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</si>
  <si>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</si>
  <si>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</si>
  <si>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</si>
  <si>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</si>
  <si>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</si>
  <si>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</si>
  <si>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</si>
  <si>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</si>
  <si>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</si>
  <si>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</si>
  <si>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</si>
  <si>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</si>
  <si>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</si>
  <si>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</si>
  <si>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</si>
  <si>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</si>
  <si>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</si>
  <si>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</si>
  <si>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</si>
  <si>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</si>
  <si>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</si>
  <si>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</si>
  <si>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</si>
  <si>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</si>
  <si>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</si>
  <si>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</si>
  <si>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</si>
  <si>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</si>
  <si>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</si>
  <si>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</si>
  <si>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</si>
  <si>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</si>
  <si>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</si>
  <si>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</si>
  <si>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</si>
  <si>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</si>
  <si>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</si>
  <si>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</si>
  <si>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</si>
  <si>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</si>
  <si>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</si>
  <si>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</si>
  <si>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</si>
  <si>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</si>
  <si>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</si>
  <si>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</si>
  <si>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</si>
  <si>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</si>
  <si>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</si>
  <si>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</si>
  <si>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</si>
  <si>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</si>
  <si>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</si>
  <si>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</si>
  <si>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</si>
  <si>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</si>
  <si>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</si>
  <si>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</si>
  <si>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</si>
  <si>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</si>
  <si>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</si>
  <si>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</si>
  <si>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</si>
  <si>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</si>
  <si>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</si>
  <si>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</si>
  <si>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</si>
  <si>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</si>
  <si>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</si>
  <si>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</si>
  <si>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</si>
  <si>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</si>
  <si>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</si>
  <si>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</si>
  <si>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</si>
  <si>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</si>
  <si>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</si>
  <si>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</si>
  <si>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</si>
  <si>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</si>
  <si>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</si>
  <si>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</si>
  <si>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</si>
  <si>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</si>
  <si>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</si>
  <si>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</si>
  <si>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</si>
  <si>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</si>
  <si>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</si>
  <si>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</si>
  <si>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</si>
  <si>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</si>
  <si>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</si>
  <si>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</si>
  <si>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</si>
  <si>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</si>
  <si>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</si>
  <si>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</si>
  <si>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</si>
  <si>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</si>
  <si>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</si>
  <si>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</si>
  <si>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</si>
  <si>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</si>
  <si>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</si>
  <si>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</si>
  <si>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</si>
  <si>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</si>
  <si>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</si>
  <si>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</si>
  <si>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</si>
  <si>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</si>
  <si>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</si>
  <si>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</si>
  <si>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</si>
  <si>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</si>
  <si>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</si>
  <si>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</si>
  <si>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</si>
  <si>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</si>
  <si>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</si>
  <si>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</si>
  <si>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</si>
  <si>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</si>
  <si>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</si>
  <si>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</si>
  <si>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</si>
  <si>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</si>
  <si>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</si>
  <si>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</si>
  <si>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</si>
  <si>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</si>
  <si>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</si>
  <si>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</si>
  <si>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</si>
  <si>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</si>
  <si>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</si>
  <si>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</si>
  <si>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</si>
  <si>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</si>
  <si>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</si>
  <si>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</si>
  <si>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</si>
  <si>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</si>
  <si>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</si>
  <si>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</si>
  <si>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</si>
  <si>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</si>
  <si>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</si>
  <si>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</si>
  <si>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</si>
  <si>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</si>
  <si>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</si>
  <si>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</si>
  <si>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</si>
  <si>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</si>
  <si>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</si>
  <si>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</si>
  <si>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</si>
  <si>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</si>
  <si>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</si>
  <si>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</si>
  <si>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</si>
  <si>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</si>
  <si>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</si>
  <si>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</si>
  <si>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</si>
  <si>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</si>
  <si>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</si>
  <si>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</si>
  <si>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</si>
  <si>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</si>
  <si>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</si>
  <si>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</si>
  <si>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</si>
  <si>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</si>
  <si>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</si>
  <si>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</si>
  <si>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</si>
  <si>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</si>
  <si>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</si>
  <si>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</si>
  <si>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</si>
  <si>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</si>
  <si>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</si>
  <si>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</si>
  <si>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</si>
  <si>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</si>
  <si>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</si>
  <si>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</si>
  <si>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</si>
  <si>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</si>
  <si>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</si>
  <si>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</si>
  <si>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</si>
  <si>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</si>
  <si>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</si>
  <si>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</si>
  <si>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</si>
  <si>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</si>
  <si>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</si>
  <si>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</si>
  <si>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</si>
  <si>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</si>
  <si>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</si>
  <si>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</si>
  <si>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</si>
  <si>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</si>
  <si>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</si>
  <si>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</si>
  <si>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</si>
  <si>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</si>
  <si>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</si>
  <si>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</si>
  <si>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</si>
  <si>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</si>
  <si>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</si>
  <si>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</si>
  <si>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</si>
  <si>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</si>
  <si>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</si>
  <si>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</si>
  <si>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</si>
  <si>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</si>
  <si>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</si>
  <si>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</si>
  <si>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</si>
  <si>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</si>
  <si>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</si>
  <si>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</si>
  <si>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</si>
  <si>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</si>
  <si>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</si>
  <si>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</si>
  <si>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</si>
  <si>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</si>
  <si>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</si>
  <si>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</si>
  <si>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</si>
  <si>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</si>
  <si>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</si>
  <si>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</si>
  <si>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</si>
  <si>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</si>
  <si>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</si>
  <si>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</si>
  <si>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</si>
  <si>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</si>
  <si>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</si>
  <si>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</si>
  <si>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</si>
  <si>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</si>
  <si>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</si>
  <si>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</si>
  <si>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</si>
  <si>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</si>
  <si>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</si>
  <si>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</si>
  <si>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</si>
  <si>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</si>
  <si>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</si>
  <si>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</si>
  <si>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</si>
  <si>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</si>
  <si>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</si>
  <si>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</si>
  <si>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</si>
  <si>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</si>
  <si>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</si>
  <si>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</si>
  <si>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</si>
  <si>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</si>
  <si>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</si>
  <si>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</si>
  <si>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</si>
  <si>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</si>
  <si>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</si>
  <si>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</si>
  <si>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</si>
  <si>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</si>
  <si>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</si>
  <si>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</si>
  <si>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</si>
  <si>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</si>
  <si>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</si>
  <si>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</si>
  <si>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</si>
  <si>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</si>
  <si>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</si>
  <si>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</si>
  <si>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</si>
  <si>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</si>
  <si>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</si>
  <si>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</si>
  <si>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</si>
  <si>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</si>
  <si>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</si>
  <si>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</si>
  <si>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</si>
  <si>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</si>
  <si>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</si>
  <si>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</si>
  <si>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</si>
  <si>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</si>
  <si>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</si>
  <si>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</si>
  <si>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</si>
  <si>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</si>
  <si>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</si>
  <si>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</si>
  <si>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</si>
  <si>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</si>
  <si>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</si>
  <si>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</si>
  <si>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</si>
  <si>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</si>
  <si>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</si>
  <si>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</si>
  <si>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</si>
  <si>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</si>
  <si>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</si>
  <si>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</si>
  <si>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</si>
  <si>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</si>
  <si>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</si>
  <si>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</si>
  <si>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</si>
  <si>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</si>
  <si>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</si>
  <si>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</si>
  <si>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</si>
  <si>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</si>
  <si>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</si>
  <si>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</si>
  <si>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</si>
  <si>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</si>
  <si>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</si>
  <si>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</si>
  <si>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Usage-based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</si>
</sst>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7">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0" fillId="2" borderId="0" xfId="0" applyFill="1" applyAlignment="1">
      <alignment horizontal="left"/>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cellXfs>
  <cellStyles count="5">
    <cellStyle name="Comma" xfId="1" builtinId="3"/>
    <cellStyle name="Currency" xfId="2" builtinId="4"/>
    <cellStyle name="Hyperlink" xfId="4" builtinId="8"/>
    <cellStyle name="Normal" xfId="0" builtinId="0"/>
    <cellStyle name="Percent" xfId="3" builtinId="5"/>
  </cellStyles>
  <dxfs count="66">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19" formatCode="m/d/yyyy"/>
    </dxf>
    <dxf>
      <numFmt numFmtId="19" formatCode="m/d/yyyy"/>
    </dxf>
    <dxf>
      <numFmt numFmtId="19" formatCode="m/d/yyyy"/>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27" formatCode="m/d/yyyy\ h:mm"/>
    </dxf>
    <dxf>
      <numFmt numFmtId="27" formatCode="m/d/yyyy\ h:mm"/>
    </dxf>
    <dxf>
      <numFmt numFmtId="27" formatCode="m/d/yyyy\ h:mm"/>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3.8018620000000003</c:v>
                </c:pt>
                <c:pt idx="1">
                  <c:v>9.7790689999999998</c:v>
                </c:pt>
                <c:pt idx="2">
                  <c:v>5.5999679999999996</c:v>
                </c:pt>
                <c:pt idx="3">
                  <c:v>9.8344160000000009</c:v>
                </c:pt>
                <c:pt idx="4">
                  <c:v>8.4019849999999998</c:v>
                </c:pt>
                <c:pt idx="5">
                  <c:v>10.655579000000001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3.5330436000000005</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8.5237429999999978</c:v>
                </c:pt>
                <c:pt idx="4">
                  <c:v>3.8858190000000001</c:v>
                </c:pt>
                <c:pt idx="5">
                  <c:v>8.6176429999999993</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3.8018620000000003</c:v>
                </c:pt>
                <c:pt idx="1">
                  <c:v>9.7790689999999998</c:v>
                </c:pt>
                <c:pt idx="2">
                  <c:v>5.5999679999999996</c:v>
                </c:pt>
                <c:pt idx="3">
                  <c:v>9.8344160000000009</c:v>
                </c:pt>
                <c:pt idx="4">
                  <c:v>8.4019849999999998</c:v>
                </c:pt>
                <c:pt idx="5">
                  <c:v>10.655579000000001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3.5330436000000005</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8.5237429999999978</c:v>
                </c:pt>
                <c:pt idx="4">
                  <c:v>3.8858190000000001</c:v>
                </c:pt>
                <c:pt idx="5">
                  <c:v>8.6176429999999993</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528918</xdr:colOff>
      <xdr:row>6</xdr:row>
      <xdr:rowOff>22225</xdr:rowOff>
    </xdr:from>
    <xdr:to>
      <xdr:col>5</xdr:col>
      <xdr:colOff>557119</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1252265</xdr:colOff>
          <xdr:row>2</xdr:row>
          <xdr:rowOff>137171</xdr:rowOff>
        </xdr:from>
        <xdr:to>
          <xdr:col>14</xdr:col>
          <xdr:colOff>630972</xdr:colOff>
          <xdr:row>5</xdr:row>
          <xdr:rowOff>1443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18"/>
                </a:ext>
              </a:extLst>
            </xdr:cNvPicPr>
          </xdr:nvPicPr>
          <xdr:blipFill>
            <a:blip xmlns:r="http://schemas.openxmlformats.org/officeDocument/2006/relationships" r:embed="rId1"/>
            <a:srcRect/>
            <a:stretch>
              <a:fillRect/>
            </a:stretch>
          </xdr:blipFill>
          <xdr:spPr bwMode="auto">
            <a:xfrm>
              <a:off x="7632147" y="600347"/>
              <a:ext cx="802217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538069</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5</xdr:col>
      <xdr:colOff>557119</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5</xdr:col>
      <xdr:colOff>557119</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86"/>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5"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5"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18">
      <calculatedColumnFormula>_xlfn.XLOOKUP(View[[#This Row],[ID]],Opportunities[ID],Opportunities[Status])</calculatedColumnFormula>
    </tableColumn>
    <tableColumn id="4" xr3:uid="{D0C93997-AE18-4F2C-9498-E378F0368CD3}" uniqueName="4" name=" 🔗Opportunity" queryTableFieldId="4" dataDxfId="33"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32"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31" dataCellStyle="Normal">
      <calculatedColumnFormula>_xlfn.XLOOKUP(View[[#This Row],[ID]],Opportunities[ID],Opportunities[DisplayStage])</calculatedColumnFormula>
    </tableColumn>
    <tableColumn id="7" xr3:uid="{36D3885A-765B-43F4-B223-18E0110E7BAC}" uniqueName="7" name="Opp Value" queryTableFieldId="7" dataDxfId="30"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29" dataCellStyle="Percent">
      <calculatedColumnFormula>_xlfn.XLOOKUP(View[[#This Row],[ID]],Opportunities[ID],Opportunities[WinProbDisplay])</calculatedColumnFormula>
    </tableColumn>
    <tableColumn id="2" xr3:uid="{CEE680CE-7B28-4425-8EF9-E8A1C22CD40F}" uniqueName="2" name="Expected Rev" queryTableFieldId="31" dataDxfId="28" dataCellStyle="Percent">
      <calculatedColumnFormula>View[[#This Row],[Estmated Revenue]]</calculatedColumnFormula>
    </tableColumn>
    <tableColumn id="10" xr3:uid="{B7055589-582D-4A7C-ACCD-633272C194D8}" uniqueName="10" name="Close" queryTableFieldId="10" dataDxfId="27" dataCellStyle="Percent">
      <calculatedColumnFormula>_xlfn.XLOOKUP(View[[#This Row],[ID]],Opportunities[ID],Opportunities[Close])</calculatedColumnFormula>
    </tableColumn>
    <tableColumn id="20" xr3:uid="{59C0ACCC-1D82-45A6-AFAA-3712BAC86C84}" uniqueName="20" name="Last Comment" queryTableFieldId="30" dataDxfId="26"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25" dataCellStyle="Percent">
      <calculatedColumnFormula>_xlfn.XLOOKUP(View[[#This Row],[ID]],Opportunities[ID],Opportunities[NextMilestoneDate])-TODAY()</calculatedColumnFormula>
    </tableColumn>
    <tableColumn id="9" xr3:uid="{52FF3CBA-17BB-47F5-85A3-2DEE8B12587C}" uniqueName="9" name="Close Quarter" queryTableFieldId="9" dataDxfId="24">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23" dataCellStyle="Comma">
      <calculatedColumnFormula>_xlfn.XLOOKUP(View[[#This Row],[ID]],Opportunities[ID],Opportunities[Weighted])/1000</calculatedColumnFormula>
    </tableColumn>
    <tableColumn id="15" xr3:uid="{FBDC7969-7E8D-49D4-8066-6E0E6F1203F0}" uniqueName="15" name="Unweighted" queryTableFieldId="25" dataDxfId="22">
      <calculatedColumnFormula>_xlfn.XLOOKUP(View[[#This Row],[ID]],Opportunities[ID],Opportunities[Amount])/1000</calculatedColumnFormula>
    </tableColumn>
    <tableColumn id="16" xr3:uid="{EF89BB7F-252B-45F9-8123-82BF9FB66AF0}" uniqueName="16" name="High Probability" queryTableFieldId="26" dataDxfId="65">
      <calculatedColumnFormula>View[[#This Row],[Win Probability]]="High"</calculatedColumnFormula>
    </tableColumn>
    <tableColumn id="17" xr3:uid="{4BD52F12-45D4-4BCC-83AA-14BDE7142C90}" uniqueName="17" name="Visible" queryTableFieldId="27" dataDxfId="64">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35"/>
    <tableColumn id="10" xr3:uid="{3BB3C350-8491-477B-8833-319F40B83FE6}" uniqueName="10" name="Created" queryTableFieldId="10" dataDxfId="3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21"/>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20"/>
    <tableColumn id="9" xr3:uid="{94AF8B76-9265-4C4C-B50D-EDEFBFAAB27E}" uniqueName="9" name="Created" queryTableFieldId="9"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M12:P18" totalsRowShown="0" headerRowDxfId="63" dataDxfId="62">
  <autoFilter ref="M12:P18" xr:uid="{798014A7-9B70-4B09-AE44-5A5C555476EA}"/>
  <tableColumns count="4">
    <tableColumn id="2" xr3:uid="{AE651EA8-D54C-41D9-9B8B-F22570081D8A}" name="Index" dataDxfId="61"/>
    <tableColumn id="4" xr3:uid="{C19B61BA-D78B-49C2-A0CB-958A7968F4C6}" name="Symbol" dataDxfId="60"/>
    <tableColumn id="1" xr3:uid="{4A0C0D5E-C576-4851-BAD7-E1720F55F59A}" name="Stage Name" dataDxfId="59"/>
    <tableColumn id="3" xr3:uid="{38808F5D-2627-4FC4-9878-8AC61142049B}" name="Display" dataDxfId="58">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57" dataDxfId="56">
  <autoFilter ref="C3:D6" xr:uid="{7A50DF75-ED41-40F4-8782-A0EFFD2E6988}"/>
  <tableColumns count="2">
    <tableColumn id="1" xr3:uid="{3B8690D0-B449-4F2C-BFA1-0D9AAF577107}" name="Win Probability" dataDxfId="55"/>
    <tableColumn id="2" xr3:uid="{E4A73AC8-36BB-4D8D-934C-54FE86976EC9}" name="Value" dataDxfId="54"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17"/>
    <tableColumn id="11" xr3:uid="{0D6E2E89-0B8C-4024-A956-046F884205B4}" uniqueName="11" name="NextMilestoneDate" queryTableFieldId="91" dataDxfId="16"/>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10" xr3:uid="{D5700731-1F94-4787-9C82-65434A6BCF47}" uniqueName="10" name="Recurrences" queryTableFieldId="123"/>
    <tableColumn id="14" xr3:uid="{554AB4FD-1633-4E19-88E1-E54734E24D4C}" uniqueName="14" name="StartDate" queryTableFieldId="124" dataDxfId="15"/>
    <tableColumn id="34" xr3:uid="{A794F34A-F2E4-4230-B129-BE7EF53921FE}" uniqueName="34" name="FQ" queryTableFieldId="43" dataDxfId="53">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52">
      <calculatedColumnFormula>"CY"&amp;RIGHT(YEAR(Opportunities[[#This Row],[Close]]),2)&amp;"-Q"&amp;ROUNDUP(MONTH(Opportunities[[#This Row],[Close]])/3, 0)</calculatedColumnFormula>
    </tableColumn>
    <tableColumn id="31" xr3:uid="{AFAB2CEE-41EC-476B-8EF4-F01AEE459A32}" uniqueName="31" name="url" queryTableFieldId="40" dataDxfId="51">
      <calculatedColumnFormula>siteUrl&amp;"/Lists/"&amp;oppList&amp;"/DispForm.aspx?ID="&amp;Opportunities[[#This Row],[ID]]</calculatedColumnFormula>
    </tableColumn>
    <tableColumn id="40" xr3:uid="{8BD6C9BB-E6FD-4E8E-A509-12D471DAA77F}" uniqueName="40" name="StageNumber" queryTableFieldId="54" dataDxfId="50">
      <calculatedColumnFormula>_xlfn.XLOOKUP(Opportunities[[#This Row],[Stage]],stage[Stage Name],stage[Index],"")</calculatedColumnFormula>
    </tableColumn>
    <tableColumn id="41" xr3:uid="{EDB4C612-1CC1-4B3C-B38D-DFE04A906351}" uniqueName="41" name="DisplayStage" queryTableFieldId="55" dataDxfId="49">
      <calculatedColumnFormula>_xlfn.XLOOKUP(Opportunities[[#This Row],[StageNumber]],stage[Index],stage[Display])</calculatedColumnFormula>
    </tableColumn>
    <tableColumn id="52" xr3:uid="{29FD805D-0C67-486B-AABC-E086612B3426}" uniqueName="52" name="Weighted" queryTableFieldId="70" dataDxfId="48">
      <calculatedColumnFormula>Opportunities[[#This Row],[Amount]]*_xlfn.XLOOKUP(Opportunities[[#This Row],[Probability]],prob[Win Probability],prob[Value])</calculatedColumnFormula>
    </tableColumn>
    <tableColumn id="56" xr3:uid="{9E365C66-70DC-4C5C-893A-3785B1B9D44C}" uniqueName="56" name="status symbol" queryTableFieldId="76" dataDxfId="47">
      <calculatedColumnFormula array="1">_xlfn.SWITCH(Opportunities[[#This Row],[Status]],"At Risk","⚠","Active","✓","⮾")</calculatedColumnFormula>
    </tableColumn>
    <tableColumn id="15" xr3:uid="{952135CC-0409-4FA2-BB0A-34668B61689B}" uniqueName="15" name="Customer Name" queryTableFieldId="104" dataDxfId="46">
      <calculatedColumnFormula>_xlfn.XLOOKUP(Opportunities[[#This Row],[CustomerId]],Customers[Id],Customers[Customer Name])</calculatedColumnFormula>
    </tableColumn>
    <tableColumn id="16" xr3:uid="{812C7365-FD2B-4EFB-8119-BF4F00253961}" uniqueName="16" name="CustomerRecordURL" queryTableFieldId="105" dataDxfId="36">
      <calculatedColumnFormula>_xlfn.XLOOKUP(Opportunities[[#This Row],[CustomerId]],Customers[Id],Customers[CustomerRecordUrl])</calculatedColumnFormula>
    </tableColumn>
    <tableColumn id="17" xr3:uid="{39447595-3500-4B90-9B69-594F9ED985D4}" uniqueName="17" name="Visible" queryTableFieldId="106" dataDxfId="45">
      <calculatedColumnFormula>_xlfn.XLOOKUP(Opportunities[[#This Row],[ID]],View[ID],View[Visible])</calculatedColumnFormula>
    </tableColumn>
    <tableColumn id="3" xr3:uid="{11F9B80B-B6B4-4FB8-ACD8-AAAC59768B2A}" uniqueName="3" name="Display" queryTableFieldId="116" dataDxfId="4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4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42"/>
    <tableColumn id="6" xr3:uid="{181A8E3E-DBF5-4AEA-99B6-D8CAED362658}" uniqueName="6" name="WinProbDisplay" queryTableFieldId="119" dataDxfId="41">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40">
      <calculatedColumnFormula>Opportunities[[#This Row],[WinProbDisplay]]="↖ High"</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39">
      <calculatedColumnFormula>siteUrl&amp;"/Lists/"&amp;custList&amp;"/DispForm.aspx?ID="&amp;Customers[[#This Row],[Id]]</calculatedColumnFormula>
    </tableColumn>
    <tableColumn id="23" xr3:uid="{F1BC9043-195B-408B-8596-3FE166B5CF78}" uniqueName="23" name="Customer Name2" queryTableFieldId="60" dataDxfId="38">
      <calculatedColumnFormula>_xlfn.XLOOKUP(Customers[[#This Row],[Id]],Customers[Id],#REF!)</calculatedColumnFormula>
    </tableColumn>
    <tableColumn id="24" xr3:uid="{388F5F30-FCA2-45B0-938D-A8DFAA1EFCA9}" uniqueName="24" name="CustomerRecordUrl" queryTableFieldId="61" dataDxfId="37">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Z47"/>
  <sheetViews>
    <sheetView showGridLines="0" tabSelected="1" zoomScale="85" zoomScaleNormal="85" workbookViewId="0">
      <selection activeCell="C3" sqref="C3"/>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15.7109375" customWidth="1"/>
    <col min="15" max="15" width="17" customWidth="1"/>
    <col min="16" max="16" width="16.5703125" bestFit="1"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s>
  <sheetData>
    <row r="1" spans="1:26" ht="21" x14ac:dyDescent="0.35">
      <c r="E1" s="25"/>
      <c r="H1" s="7" t="str">
        <f>listPrefix&amp;" Sales Pipeline Dashboard"</f>
        <v>auto12 Sales Pipeline Dashboard</v>
      </c>
      <c r="I1" s="7"/>
      <c r="J1" s="7"/>
      <c r="K1" s="8"/>
      <c r="L1" s="9"/>
      <c r="M1" s="7"/>
      <c r="N1" s="7"/>
      <c r="O1" s="7"/>
      <c r="P1" s="7"/>
      <c r="Q1" s="7"/>
      <c r="R1" s="7"/>
      <c r="S1" s="7"/>
      <c r="T1" s="7"/>
      <c r="U1" s="7"/>
      <c r="V1" s="17"/>
      <c r="W1" s="41"/>
      <c r="Z1" s="20"/>
    </row>
    <row r="2" spans="1:26" x14ac:dyDescent="0.25">
      <c r="A2" s="19" t="s">
        <v>144</v>
      </c>
      <c r="B2" s="46" t="str">
        <f>HYPERLINK(siteUrl&amp;"Lists/"&amp;custList&amp;"/NewForm.aspx?","New")</f>
        <v>New</v>
      </c>
      <c r="C2" s="46" t="str">
        <f>HYPERLINK(siteUrl&amp;"/Lists/"&amp;custList,"List")</f>
        <v>List</v>
      </c>
      <c r="E2" s="19" t="s">
        <v>37</v>
      </c>
      <c r="F2" s="6" t="s">
        <v>31</v>
      </c>
      <c r="H2" s="10" t="str">
        <f>_xlfn.XLOOKUP(SUBTOTAL(5,View[Close]),View[Close],View[Close Quarter]) &amp;" to " &amp; _xlfn.XLOOKUP(SUBTOTAL(4,View[Close]),View[Close],View[Close Quarter])</f>
        <v>FY26-Q1 to FY27-Q3</v>
      </c>
      <c r="I2" s="10"/>
      <c r="J2" s="10"/>
      <c r="K2" s="10"/>
      <c r="L2" s="10"/>
      <c r="M2" s="10"/>
      <c r="N2" s="10"/>
      <c r="O2" s="10"/>
      <c r="P2" s="10"/>
      <c r="Q2" s="10"/>
      <c r="R2" s="10"/>
      <c r="S2" s="10"/>
      <c r="T2" s="10"/>
      <c r="U2" s="10"/>
      <c r="V2" s="17"/>
      <c r="W2" s="41"/>
    </row>
    <row r="3" spans="1:26" x14ac:dyDescent="0.25">
      <c r="A3" s="19" t="s">
        <v>48</v>
      </c>
      <c r="B3" s="46" t="str">
        <f>HYPERLINK(siteUrl&amp;"Lists/"&amp;oppList&amp;"/NewForm.aspx?","New")</f>
        <v>New</v>
      </c>
      <c r="C3" s="46" t="str">
        <f>HYPERLINK(siteUrl&amp;"/Lists/"&amp;oppList,"List")</f>
        <v>List</v>
      </c>
      <c r="E3" s="19" t="s">
        <v>42</v>
      </c>
      <c r="F3" s="6" t="s">
        <v>43</v>
      </c>
    </row>
    <row r="4" spans="1:26" x14ac:dyDescent="0.25">
      <c r="A4" s="19" t="s">
        <v>409</v>
      </c>
      <c r="B4" s="46" t="str">
        <f>HYPERLINK(siteUrl&amp;"Lists/"&amp;milestoneList&amp;"/NewForm.aspx?","New")</f>
        <v>New</v>
      </c>
      <c r="C4" s="46" t="str">
        <f>HYPERLINK(siteUrl&amp;"/Lists/"&amp;milestoneList,"List")</f>
        <v>List</v>
      </c>
      <c r="E4" s="22"/>
    </row>
    <row r="5" spans="1:26" x14ac:dyDescent="0.25">
      <c r="A5" s="19" t="s">
        <v>408</v>
      </c>
      <c r="B5" s="46" t="str">
        <f>HYPERLINK(siteUrl&amp;"Lists/"&amp;contactList&amp;"/NewForm.aspx?","New")</f>
        <v>New</v>
      </c>
      <c r="C5" s="46" t="str">
        <f>HYPERLINK(siteUrl&amp;"/Lists/"&amp;contactList,"List")</f>
        <v>List</v>
      </c>
      <c r="E5" s="23"/>
    </row>
    <row r="7" spans="1:26" x14ac:dyDescent="0.25">
      <c r="H7" s="11" t="s">
        <v>13</v>
      </c>
      <c r="I7" s="12" t="s">
        <v>81</v>
      </c>
      <c r="J7" s="12" t="s">
        <v>46</v>
      </c>
      <c r="K7" s="12" t="s">
        <v>14</v>
      </c>
      <c r="L7" s="12" t="s">
        <v>388</v>
      </c>
      <c r="M7" s="12" t="s">
        <v>79</v>
      </c>
      <c r="N7" s="12" t="s">
        <v>389</v>
      </c>
      <c r="O7" s="12" t="s">
        <v>34</v>
      </c>
      <c r="P7" s="12" t="s">
        <v>75</v>
      </c>
      <c r="Q7" s="12" t="s">
        <v>384</v>
      </c>
      <c r="R7" s="12" t="s">
        <v>40</v>
      </c>
      <c r="S7" s="12" t="s">
        <v>30</v>
      </c>
      <c r="T7" s="12" t="s">
        <v>80</v>
      </c>
      <c r="U7" s="12" t="s">
        <v>43</v>
      </c>
      <c r="V7" s="12" t="s">
        <v>28</v>
      </c>
      <c r="W7" s="12" t="s">
        <v>44</v>
      </c>
    </row>
    <row r="8" spans="1:26" x14ac:dyDescent="0.25">
      <c r="H8" s="51" t="str">
        <f>_xlfn.XLOOKUP(View[[#This Row],[ID]],Opportunities[ID],Opportunities[Status])</f>
        <v>Active</v>
      </c>
      <c r="I8" s="33" t="str">
        <f>HYPERLINK(siteUrl&amp;"Lists/"&amp;oppList&amp;"/DispForm.aspx?ID="&amp;View[[#This Row],[ID]],_xlfn.XLOOKUP(View[[#This Row],[ID]],Opportunities[ID],Opportunities[OpportunityName]))</f>
        <v>Cloud Migration Initiative</v>
      </c>
      <c r="J8" s="45" t="str">
        <f>HYPERLINK(_xlfn.XLOOKUP(View[[#This Row],[ID]],Opportunities[ID],Opportunities[CustomerRecordURL]),_xlfn.XLOOKUP(View[[#This Row],[ID]],Opportunities[ID],Opportunities[Customer Name]))</f>
        <v>Education First</v>
      </c>
      <c r="K8" s="34" t="str">
        <f>_xlfn.XLOOKUP(View[[#This Row],[ID]],Opportunities[ID],Opportunities[DisplayStage])</f>
        <v>➁ - Nurturing</v>
      </c>
      <c r="L8" s="1">
        <f>IF(pipelineType="Unweighted",_xlfn.XLOOKUP(View[[#This Row],[ID]],Opportunities[ID],Opportunities[Amount])/1000,_xlfn.XLOOKUP(View[[#This Row],[ID]],Opportunities[ID],Opportunities[Weighted])/1000)</f>
        <v>1781.9380000000001</v>
      </c>
      <c r="M8" s="27" t="str">
        <f>_xlfn.XLOOKUP(View[[#This Row],[ID]],Opportunities[ID],Opportunities[WinProbDisplay])</f>
        <v>← Medium</v>
      </c>
      <c r="N8" s="28">
        <f>View[[#This Row],[Estmated Revenue]]</f>
        <v>712.77520000000004</v>
      </c>
      <c r="O8" s="2">
        <f>_xlfn.XLOOKUP(View[[#This Row],[ID]],Opportunities[ID],Opportunities[Close])</f>
        <v>45975</v>
      </c>
      <c r="P8" s="24" t="str">
        <f>IF(_xlfn.XLOOKUP(View[[#This Row],[ID]],Opportunities[ID],Opportunities[Comment Log])=0,"",_xlfn.XLOOKUP(View[[#This Row],[ID]],Opportunities[ID],Opportunities[Comment Log]))</f>
        <v/>
      </c>
      <c r="Q8">
        <v>2</v>
      </c>
      <c r="R8" s="3">
        <f ca="1">_xlfn.XLOOKUP(View[[#This Row],[ID]],Opportunities[ID],Opportunities[NextMilestoneDate])-TODAY()</f>
        <v>23</v>
      </c>
      <c r="S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8" s="1">
        <f>_xlfn.XLOOKUP(View[[#This Row],[ID]],Opportunities[ID],Opportunities[Weighted])/1000</f>
        <v>712.77520000000004</v>
      </c>
      <c r="U8" s="4">
        <f>_xlfn.XLOOKUP(View[[#This Row],[ID]],Opportunities[ID],Opportunities[Amount])/1000</f>
        <v>1781.9380000000001</v>
      </c>
      <c r="V8" t="b">
        <f>View[[#This Row],[Win Probability]]="High"</f>
        <v>0</v>
      </c>
      <c r="W8">
        <f>SUBTOTAL(103, View[[#This Row],[Status]])</f>
        <v>1</v>
      </c>
    </row>
    <row r="9" spans="1:26" x14ac:dyDescent="0.25">
      <c r="H9" s="51" t="str">
        <f>_xlfn.XLOOKUP(View[[#This Row],[ID]],Opportunities[ID],Opportunities[Status])</f>
        <v>Active</v>
      </c>
      <c r="I9" s="33" t="str">
        <f>HYPERLINK(siteUrl&amp;"Lists/"&amp;oppList&amp;"/DispForm.aspx?ID="&amp;View[[#This Row],[ID]],_xlfn.XLOOKUP(View[[#This Row],[ID]],Opportunities[ID],Opportunities[OpportunityName]))</f>
        <v>Legacy System Modernization</v>
      </c>
      <c r="J9" s="45" t="str">
        <f>HYPERLINK(_xlfn.XLOOKUP(View[[#This Row],[ID]],Opportunities[ID],Opportunities[CustomerRecordURL]),_xlfn.XLOOKUP(View[[#This Row],[ID]],Opportunities[ID],Opportunities[Customer Name]))</f>
        <v>Textile Manufacturing</v>
      </c>
      <c r="K9" s="34" t="str">
        <f>_xlfn.XLOOKUP(View[[#This Row],[ID]],Opportunities[ID],Opportunities[DisplayStage])</f>
        <v>➂ - Proposal</v>
      </c>
      <c r="L9" s="1">
        <f>IF(pipelineType="Unweighted",_xlfn.XLOOKUP(View[[#This Row],[ID]],Opportunities[ID],Opportunities[Amount])/1000,_xlfn.XLOOKUP(View[[#This Row],[ID]],Opportunities[ID],Opportunities[Weighted])/1000)</f>
        <v>914.80499999999995</v>
      </c>
      <c r="M9" s="27" t="str">
        <f>_xlfn.XLOOKUP(View[[#This Row],[ID]],Opportunities[ID],Opportunities[WinProbDisplay])</f>
        <v>← Medium</v>
      </c>
      <c r="N9" s="28">
        <f>View[[#This Row],[Estmated Revenue]]</f>
        <v>365.92200000000003</v>
      </c>
      <c r="O9" s="2">
        <f>_xlfn.XLOOKUP(View[[#This Row],[ID]],Opportunities[ID],Opportunities[Close])</f>
        <v>46339</v>
      </c>
      <c r="P9" s="24" t="str">
        <f>IF(_xlfn.XLOOKUP(View[[#This Row],[ID]],Opportunities[ID],Opportunities[Comment Log])=0,"",_xlfn.XLOOKUP(View[[#This Row],[ID]],Opportunities[ID],Opportunities[Comment Log]))</f>
        <v/>
      </c>
      <c r="Q9">
        <v>38</v>
      </c>
      <c r="R9" s="3">
        <f ca="1">_xlfn.XLOOKUP(View[[#This Row],[ID]],Opportunities[ID],Opportunities[NextMilestoneDate])-TODAY()</f>
        <v>53</v>
      </c>
      <c r="S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9" s="1">
        <f>_xlfn.XLOOKUP(View[[#This Row],[ID]],Opportunities[ID],Opportunities[Weighted])/1000</f>
        <v>365.92200000000003</v>
      </c>
      <c r="U9" s="4">
        <f>_xlfn.XLOOKUP(View[[#This Row],[ID]],Opportunities[ID],Opportunities[Amount])/1000</f>
        <v>914.80499999999995</v>
      </c>
      <c r="V9" t="b">
        <f>View[[#This Row],[Win Probability]]="High"</f>
        <v>0</v>
      </c>
      <c r="W9">
        <f>SUBTOTAL(103, View[[#This Row],[Status]])</f>
        <v>1</v>
      </c>
    </row>
    <row r="10" spans="1:26" x14ac:dyDescent="0.25">
      <c r="H10" s="51" t="str">
        <f>_xlfn.XLOOKUP(View[[#This Row],[ID]],Opportunities[ID],Opportunities[Status])</f>
        <v>Active</v>
      </c>
      <c r="I10" s="33" t="str">
        <f>HYPERLINK(siteUrl&amp;"Lists/"&amp;oppList&amp;"/DispForm.aspx?ID="&amp;View[[#This Row],[ID]],_xlfn.XLOOKUP(View[[#This Row],[ID]],Opportunities[ID],Opportunities[OpportunityName]))</f>
        <v>CRM System Upgrade</v>
      </c>
      <c r="J10" s="45" t="str">
        <f>HYPERLINK(_xlfn.XLOOKUP(View[[#This Row],[ID]],Opportunities[ID],Opportunities[CustomerRecordURL]),_xlfn.XLOOKUP(View[[#This Row],[ID]],Opportunities[ID],Opportunities[Customer Name]))</f>
        <v>ACME Corporation</v>
      </c>
      <c r="K10" s="34" t="str">
        <f>_xlfn.XLOOKUP(View[[#This Row],[ID]],Opportunities[ID],Opportunities[DisplayStage])</f>
        <v>➅ - Closeout</v>
      </c>
      <c r="L10" s="1">
        <f>IF(pipelineType="Unweighted",_xlfn.XLOOKUP(View[[#This Row],[ID]],Opportunities[ID],Opportunities[Amount])/1000,_xlfn.XLOOKUP(View[[#This Row],[ID]],Opportunities[ID],Opportunities[Weighted])/1000)</f>
        <v>1002.288</v>
      </c>
      <c r="M10" s="27" t="str">
        <f>_xlfn.XLOOKUP(View[[#This Row],[ID]],Opportunities[ID],Opportunities[WinProbDisplay])</f>
        <v>↙ Low</v>
      </c>
      <c r="N10" s="28">
        <f>View[[#This Row],[Estmated Revenue]]</f>
        <v>200.45760000000001</v>
      </c>
      <c r="O10" s="2">
        <f>_xlfn.XLOOKUP(View[[#This Row],[ID]],Opportunities[ID],Opportunities[Close])</f>
        <v>46013</v>
      </c>
      <c r="P10" s="24" t="str">
        <f>IF(_xlfn.XLOOKUP(View[[#This Row],[ID]],Opportunities[ID],Opportunities[Comment Log])=0,"",_xlfn.XLOOKUP(View[[#This Row],[ID]],Opportunities[ID],Opportunities[Comment Log]))</f>
        <v/>
      </c>
      <c r="Q10">
        <v>21</v>
      </c>
      <c r="R10" s="3">
        <f ca="1">_xlfn.XLOOKUP(View[[#This Row],[ID]],Opportunities[ID],Opportunities[NextMilestoneDate])-TODAY()</f>
        <v>58</v>
      </c>
      <c r="S1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0" s="1">
        <f>_xlfn.XLOOKUP(View[[#This Row],[ID]],Opportunities[ID],Opportunities[Weighted])/1000</f>
        <v>200.45760000000001</v>
      </c>
      <c r="U10" s="4">
        <f>_xlfn.XLOOKUP(View[[#This Row],[ID]],Opportunities[ID],Opportunities[Amount])/1000</f>
        <v>1002.288</v>
      </c>
      <c r="V10" t="b">
        <f>View[[#This Row],[Win Probability]]="High"</f>
        <v>0</v>
      </c>
      <c r="W10">
        <f>SUBTOTAL(103, View[[#This Row],[Status]])</f>
        <v>1</v>
      </c>
    </row>
    <row r="11" spans="1:26" x14ac:dyDescent="0.25">
      <c r="H11" s="51" t="str">
        <f>_xlfn.XLOOKUP(View[[#This Row],[ID]],Opportunities[ID],Opportunities[Status])</f>
        <v>Critical</v>
      </c>
      <c r="I11" s="33" t="str">
        <f>HYPERLINK(siteUrl&amp;"Lists/"&amp;oppList&amp;"/DispForm.aspx?ID="&amp;View[[#This Row],[ID]],_xlfn.XLOOKUP(View[[#This Row],[ID]],Opportunities[ID],Opportunities[OpportunityName]))</f>
        <v>Marketing Automation Platform</v>
      </c>
      <c r="J11" s="45" t="str">
        <f>HYPERLINK(_xlfn.XLOOKUP(View[[#This Row],[ID]],Opportunities[ID],Opportunities[CustomerRecordURL]),_xlfn.XLOOKUP(View[[#This Row],[ID]],Opportunities[ID],Opportunities[Customer Name]))</f>
        <v>Telecommunications Inc</v>
      </c>
      <c r="K11" s="34" t="str">
        <f>_xlfn.XLOOKUP(View[[#This Row],[ID]],Opportunities[ID],Opportunities[DisplayStage])</f>
        <v>➂ - Proposal</v>
      </c>
      <c r="L11" s="1">
        <f>IF(pipelineType="Unweighted",_xlfn.XLOOKUP(View[[#This Row],[ID]],Opportunities[ID],Opportunities[Amount])/1000,_xlfn.XLOOKUP(View[[#This Row],[ID]],Opportunities[ID],Opportunities[Weighted])/1000)</f>
        <v>1161.4259999999999</v>
      </c>
      <c r="M11" s="27" t="str">
        <f>_xlfn.XLOOKUP(View[[#This Row],[ID]],Opportunities[ID],Opportunities[WinProbDisplay])</f>
        <v>← Medium</v>
      </c>
      <c r="N11" s="28">
        <f>View[[#This Row],[Estmated Revenue]]</f>
        <v>464.57040000000001</v>
      </c>
      <c r="O11" s="2">
        <f>_xlfn.XLOOKUP(View[[#This Row],[ID]],Opportunities[ID],Opportunities[Close])</f>
        <v>46016</v>
      </c>
      <c r="P11" s="24" t="str">
        <f>IF(_xlfn.XLOOKUP(View[[#This Row],[ID]],Opportunities[ID],Opportunities[Comment Log])=0,"",_xlfn.XLOOKUP(View[[#This Row],[ID]],Opportunities[ID],Opportunities[Comment Log]))</f>
        <v/>
      </c>
      <c r="Q11">
        <v>20</v>
      </c>
      <c r="R11" s="3">
        <f ca="1">_xlfn.XLOOKUP(View[[#This Row],[ID]],Opportunities[ID],Opportunities[NextMilestoneDate])-TODAY()</f>
        <v>9</v>
      </c>
      <c r="S1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1" s="1">
        <f>_xlfn.XLOOKUP(View[[#This Row],[ID]],Opportunities[ID],Opportunities[Weighted])/1000</f>
        <v>464.57040000000001</v>
      </c>
      <c r="U11" s="4">
        <f>_xlfn.XLOOKUP(View[[#This Row],[ID]],Opportunities[ID],Opportunities[Amount])/1000</f>
        <v>1161.4259999999999</v>
      </c>
      <c r="V11" t="b">
        <f>View[[#This Row],[Win Probability]]="High"</f>
        <v>0</v>
      </c>
      <c r="W11">
        <f>SUBTOTAL(103, View[[#This Row],[Status]])</f>
        <v>1</v>
      </c>
    </row>
    <row r="12" spans="1:26" x14ac:dyDescent="0.25">
      <c r="H12" s="51" t="str">
        <f>_xlfn.XLOOKUP(View[[#This Row],[ID]],Opportunities[ID],Opportunities[Status])</f>
        <v>Active</v>
      </c>
      <c r="I12" s="33" t="str">
        <f>HYPERLINK(siteUrl&amp;"Lists/"&amp;oppList&amp;"/DispForm.aspx?ID="&amp;View[[#This Row],[ID]],_xlfn.XLOOKUP(View[[#This Row],[ID]],Opportunities[ID],Opportunities[OpportunityName]))</f>
        <v>E-commerce Platform</v>
      </c>
      <c r="J12" s="45" t="str">
        <f>HYPERLINK(_xlfn.XLOOKUP(View[[#This Row],[ID]],Opportunities[ID],Opportunities[CustomerRecordURL]),_xlfn.XLOOKUP(View[[#This Row],[ID]],Opportunities[ID],Opportunities[Customer Name]))</f>
        <v>Global Industries</v>
      </c>
      <c r="K12" s="34" t="str">
        <f>_xlfn.XLOOKUP(View[[#This Row],[ID]],Opportunities[ID],Opportunities[DisplayStage])</f>
        <v>➃ - Negotiation</v>
      </c>
      <c r="L12" s="1">
        <f>IF(pipelineType="Unweighted",_xlfn.XLOOKUP(View[[#This Row],[ID]],Opportunities[ID],Opportunities[Amount])/1000,_xlfn.XLOOKUP(View[[#This Row],[ID]],Opportunities[ID],Opportunities[Weighted])/1000)</f>
        <v>1236.6369999999999</v>
      </c>
      <c r="M12" s="27" t="str">
        <f>_xlfn.XLOOKUP(View[[#This Row],[ID]],Opportunities[ID],Opportunities[WinProbDisplay])</f>
        <v>← Medium</v>
      </c>
      <c r="N12" s="28">
        <f>View[[#This Row],[Estmated Revenue]]</f>
        <v>494.65480000000002</v>
      </c>
      <c r="O12" s="2">
        <f>_xlfn.XLOOKUP(View[[#This Row],[ID]],Opportunities[ID],Opportunities[Close])</f>
        <v>46246</v>
      </c>
      <c r="P12" s="24" t="str">
        <f>IF(_xlfn.XLOOKUP(View[[#This Row],[ID]],Opportunities[ID],Opportunities[Comment Log])=0,"",_xlfn.XLOOKUP(View[[#This Row],[ID]],Opportunities[ID],Opportunities[Comment Log]))</f>
        <v/>
      </c>
      <c r="Q12">
        <v>13</v>
      </c>
      <c r="R12" s="3">
        <f ca="1">_xlfn.XLOOKUP(View[[#This Row],[ID]],Opportunities[ID],Opportunities[NextMilestoneDate])-TODAY()</f>
        <v>58</v>
      </c>
      <c r="S1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12" s="1">
        <f>_xlfn.XLOOKUP(View[[#This Row],[ID]],Opportunities[ID],Opportunities[Weighted])/1000</f>
        <v>494.65480000000002</v>
      </c>
      <c r="U12" s="4">
        <f>_xlfn.XLOOKUP(View[[#This Row],[ID]],Opportunities[ID],Opportunities[Amount])/1000</f>
        <v>1236.6369999999999</v>
      </c>
      <c r="V12" t="b">
        <f>View[[#This Row],[Win Probability]]="High"</f>
        <v>0</v>
      </c>
      <c r="W12">
        <f>SUBTOTAL(103, View[[#This Row],[Status]])</f>
        <v>1</v>
      </c>
    </row>
    <row r="13" spans="1:26" x14ac:dyDescent="0.25">
      <c r="H13" s="51" t="str">
        <f>_xlfn.XLOOKUP(View[[#This Row],[ID]],Opportunities[ID],Opportunities[Status])</f>
        <v>Active</v>
      </c>
      <c r="I13" s="33" t="str">
        <f>HYPERLINK(siteUrl&amp;"Lists/"&amp;oppList&amp;"/DispForm.aspx?ID="&amp;View[[#This Row],[ID]],_xlfn.XLOOKUP(View[[#This Row],[ID]],Opportunities[ID],Opportunities[OpportunityName]))</f>
        <v>Social Media Management Tool</v>
      </c>
      <c r="J13" s="45" t="str">
        <f>HYPERLINK(_xlfn.XLOOKUP(View[[#This Row],[ID]],Opportunities[ID],Opportunities[CustomerRecordURL]),_xlfn.XLOOKUP(View[[#This Row],[ID]],Opportunities[ID],Opportunities[Customer Name]))</f>
        <v>Education First</v>
      </c>
      <c r="K13" s="34" t="str">
        <f>_xlfn.XLOOKUP(View[[#This Row],[ID]],Opportunities[ID],Opportunities[DisplayStage])</f>
        <v>➅ - Closeout</v>
      </c>
      <c r="L13" s="1">
        <f>IF(pipelineType="Unweighted",_xlfn.XLOOKUP(View[[#This Row],[ID]],Opportunities[ID],Opportunities[Amount])/1000,_xlfn.XLOOKUP(View[[#This Row],[ID]],Opportunities[ID],Opportunities[Weighted])/1000)</f>
        <v>1805.761</v>
      </c>
      <c r="M13" s="27" t="str">
        <f>_xlfn.XLOOKUP(View[[#This Row],[ID]],Opportunities[ID],Opportunities[WinProbDisplay])</f>
        <v>← Medium</v>
      </c>
      <c r="N13" s="28">
        <f>View[[#This Row],[Estmated Revenue]]</f>
        <v>722.30439999999999</v>
      </c>
      <c r="O13" s="2">
        <f>_xlfn.XLOOKUP(View[[#This Row],[ID]],Opportunities[ID],Opportunities[Close])</f>
        <v>46107</v>
      </c>
      <c r="P13" s="24" t="str">
        <f>IF(_xlfn.XLOOKUP(View[[#This Row],[ID]],Opportunities[ID],Opportunities[Comment Log])=0,"",_xlfn.XLOOKUP(View[[#This Row],[ID]],Opportunities[ID],Opportunities[Comment Log]))</f>
        <v/>
      </c>
      <c r="Q13">
        <v>29</v>
      </c>
      <c r="R13" s="3">
        <f ca="1">_xlfn.XLOOKUP(View[[#This Row],[ID]],Opportunities[ID],Opportunities[NextMilestoneDate])-TODAY()</f>
        <v>27</v>
      </c>
      <c r="S1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3" s="1">
        <f>_xlfn.XLOOKUP(View[[#This Row],[ID]],Opportunities[ID],Opportunities[Weighted])/1000</f>
        <v>722.30439999999999</v>
      </c>
      <c r="U13" s="4">
        <f>_xlfn.XLOOKUP(View[[#This Row],[ID]],Opportunities[ID],Opportunities[Amount])/1000</f>
        <v>1805.761</v>
      </c>
      <c r="V13" t="b">
        <f>View[[#This Row],[Win Probability]]="High"</f>
        <v>0</v>
      </c>
      <c r="W13">
        <f>SUBTOTAL(103, View[[#This Row],[Status]])</f>
        <v>1</v>
      </c>
    </row>
    <row r="14" spans="1:26" x14ac:dyDescent="0.25">
      <c r="H14" s="51" t="str">
        <f>_xlfn.XLOOKUP(View[[#This Row],[ID]],Opportunities[ID],Opportunities[Status])</f>
        <v>Active</v>
      </c>
      <c r="I14" s="33" t="str">
        <f>HYPERLINK(siteUrl&amp;"Lists/"&amp;oppList&amp;"/DispForm.aspx?ID="&amp;View[[#This Row],[ID]],_xlfn.XLOOKUP(View[[#This Row],[ID]],Opportunities[ID],Opportunities[OpportunityName]))</f>
        <v>Machine Learning Implementation</v>
      </c>
      <c r="J14" s="45" t="str">
        <f>HYPERLINK(_xlfn.XLOOKUP(View[[#This Row],[ID]],Opportunities[ID],Opportunities[CustomerRecordURL]),_xlfn.XLOOKUP(View[[#This Row],[ID]],Opportunities[ID],Opportunities[Customer Name]))</f>
        <v>Pharmaceutical Research</v>
      </c>
      <c r="K14" s="34" t="str">
        <f>_xlfn.XLOOKUP(View[[#This Row],[ID]],Opportunities[ID],Opportunities[DisplayStage])</f>
        <v>➂ - Proposal</v>
      </c>
      <c r="L14" s="1">
        <f>IF(pipelineType="Unweighted",_xlfn.XLOOKUP(View[[#This Row],[ID]],Opportunities[ID],Opportunities[Amount])/1000,_xlfn.XLOOKUP(View[[#This Row],[ID]],Opportunities[ID],Opportunities[Weighted])/1000)</f>
        <v>481.92599999999999</v>
      </c>
      <c r="M14" s="27" t="str">
        <f>_xlfn.XLOOKUP(View[[#This Row],[ID]],Opportunities[ID],Opportunities[WinProbDisplay])</f>
        <v>↖ High</v>
      </c>
      <c r="N14" s="28">
        <f>View[[#This Row],[Estmated Revenue]]</f>
        <v>433.73340000000002</v>
      </c>
      <c r="O14" s="2">
        <f>_xlfn.XLOOKUP(View[[#This Row],[ID]],Opportunities[ID],Opportunities[Close])</f>
        <v>46338</v>
      </c>
      <c r="P14" s="24" t="str">
        <f>IF(_xlfn.XLOOKUP(View[[#This Row],[ID]],Opportunities[ID],Opportunities[Comment Log])=0,"",_xlfn.XLOOKUP(View[[#This Row],[ID]],Opportunities[ID],Opportunities[Comment Log]))</f>
        <v/>
      </c>
      <c r="Q14">
        <v>40</v>
      </c>
      <c r="R14" s="3">
        <f ca="1">_xlfn.XLOOKUP(View[[#This Row],[ID]],Opportunities[ID],Opportunities[NextMilestoneDate])-TODAY()</f>
        <v>16</v>
      </c>
      <c r="S1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14" s="1">
        <f>_xlfn.XLOOKUP(View[[#This Row],[ID]],Opportunities[ID],Opportunities[Weighted])/1000</f>
        <v>433.73340000000002</v>
      </c>
      <c r="U14" s="4">
        <f>_xlfn.XLOOKUP(View[[#This Row],[ID]],Opportunities[ID],Opportunities[Amount])/1000</f>
        <v>481.92599999999999</v>
      </c>
      <c r="V14" t="b">
        <f>View[[#This Row],[Win Probability]]="High"</f>
        <v>0</v>
      </c>
      <c r="W14">
        <f>SUBTOTAL(103, View[[#This Row],[Status]])</f>
        <v>1</v>
      </c>
    </row>
    <row r="15" spans="1:26" x14ac:dyDescent="0.25">
      <c r="H15" s="51" t="str">
        <f>_xlfn.XLOOKUP(View[[#This Row],[ID]],Opportunities[ID],Opportunities[Status])</f>
        <v>Active</v>
      </c>
      <c r="I15" s="33" t="str">
        <f>HYPERLINK(siteUrl&amp;"Lists/"&amp;oppList&amp;"/DispForm.aspx?ID="&amp;View[[#This Row],[ID]],_xlfn.XLOOKUP(View[[#This Row],[ID]],Opportunities[ID],Opportunities[OpportunityName]))</f>
        <v>Supply Chain Optimization</v>
      </c>
      <c r="J15" s="45" t="str">
        <f>HYPERLINK(_xlfn.XLOOKUP(View[[#This Row],[ID]],Opportunities[ID],Opportunities[CustomerRecordURL]),_xlfn.XLOOKUP(View[[#This Row],[ID]],Opportunities[ID],Opportunities[Customer Name]))</f>
        <v>Hotel Management Group</v>
      </c>
      <c r="K15" s="34" t="str">
        <f>_xlfn.XLOOKUP(View[[#This Row],[ID]],Opportunities[ID],Opportunities[DisplayStage])</f>
        <v>➃ - Negotiation</v>
      </c>
      <c r="L15" s="1">
        <f>IF(pipelineType="Unweighted",_xlfn.XLOOKUP(View[[#This Row],[ID]],Opportunities[ID],Opportunities[Amount])/1000,_xlfn.XLOOKUP(View[[#This Row],[ID]],Opportunities[ID],Opportunities[Weighted])/1000)</f>
        <v>1668.1020000000001</v>
      </c>
      <c r="M15" s="27" t="str">
        <f>_xlfn.XLOOKUP(View[[#This Row],[ID]],Opportunities[ID],Opportunities[WinProbDisplay])</f>
        <v>↙ Low</v>
      </c>
      <c r="N15" s="28">
        <f>View[[#This Row],[Estmated Revenue]]</f>
        <v>333.62040000000002</v>
      </c>
      <c r="O15" s="2">
        <f>_xlfn.XLOOKUP(View[[#This Row],[ID]],Opportunities[ID],Opportunities[Close])</f>
        <v>46287</v>
      </c>
      <c r="P15" s="24" t="str">
        <f>IF(_xlfn.XLOOKUP(View[[#This Row],[ID]],Opportunities[ID],Opportunities[Comment Log])=0,"",_xlfn.XLOOKUP(View[[#This Row],[ID]],Opportunities[ID],Opportunities[Comment Log]))</f>
        <v/>
      </c>
      <c r="Q15">
        <v>17</v>
      </c>
      <c r="R15" s="3">
        <f ca="1">_xlfn.XLOOKUP(View[[#This Row],[ID]],Opportunities[ID],Opportunities[NextMilestoneDate])-TODAY()</f>
        <v>44</v>
      </c>
      <c r="S1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15" s="1">
        <f>_xlfn.XLOOKUP(View[[#This Row],[ID]],Opportunities[ID],Opportunities[Weighted])/1000</f>
        <v>333.62040000000002</v>
      </c>
      <c r="U15" s="4">
        <f>_xlfn.XLOOKUP(View[[#This Row],[ID]],Opportunities[ID],Opportunities[Amount])/1000</f>
        <v>1668.1020000000001</v>
      </c>
      <c r="V15" t="b">
        <f>View[[#This Row],[Win Probability]]="High"</f>
        <v>0</v>
      </c>
      <c r="W15">
        <f>SUBTOTAL(103, View[[#This Row],[Status]])</f>
        <v>1</v>
      </c>
    </row>
    <row r="16" spans="1:26" x14ac:dyDescent="0.25">
      <c r="H16" s="51" t="str">
        <f>_xlfn.XLOOKUP(View[[#This Row],[ID]],Opportunities[ID],Opportunities[Status])</f>
        <v>Active</v>
      </c>
      <c r="I16" s="33" t="str">
        <f>HYPERLINK(siteUrl&amp;"Lists/"&amp;oppList&amp;"/DispForm.aspx?ID="&amp;View[[#This Row],[ID]],_xlfn.XLOOKUP(View[[#This Row],[ID]],Opportunities[ID],Opportunities[OpportunityName]))</f>
        <v>Environmental Monitoring Solution</v>
      </c>
      <c r="J16" s="45" t="str">
        <f>HYPERLINK(_xlfn.XLOOKUP(View[[#This Row],[ID]],Opportunities[ID],Opportunities[CustomerRecordURL]),_xlfn.XLOOKUP(View[[#This Row],[ID]],Opportunities[ID],Opportunities[Customer Name]))</f>
        <v>Waste Management Co</v>
      </c>
      <c r="K16" s="34" t="str">
        <f>_xlfn.XLOOKUP(View[[#This Row],[ID]],Opportunities[ID],Opportunities[DisplayStage])</f>
        <v>➁ - Nurturing</v>
      </c>
      <c r="L16" s="1">
        <f>IF(pipelineType="Unweighted",_xlfn.XLOOKUP(View[[#This Row],[ID]],Opportunities[ID],Opportunities[Amount])/1000,_xlfn.XLOOKUP(View[[#This Row],[ID]],Opportunities[ID],Opportunities[Weighted])/1000)</f>
        <v>695.46100000000001</v>
      </c>
      <c r="M16" s="27" t="str">
        <f>_xlfn.XLOOKUP(View[[#This Row],[ID]],Opportunities[ID],Opportunities[WinProbDisplay])</f>
        <v>↙ Low</v>
      </c>
      <c r="N16" s="28">
        <f>View[[#This Row],[Estmated Revenue]]</f>
        <v>139.09220000000002</v>
      </c>
      <c r="O16" s="2">
        <f>_xlfn.XLOOKUP(View[[#This Row],[ID]],Opportunities[ID],Opportunities[Close])</f>
        <v>45904</v>
      </c>
      <c r="P16" s="24" t="str">
        <f>IF(_xlfn.XLOOKUP(View[[#This Row],[ID]],Opportunities[ID],Opportunities[Comment Log])=0,"",_xlfn.XLOOKUP(View[[#This Row],[ID]],Opportunities[ID],Opportunities[Comment Log]))</f>
        <v/>
      </c>
      <c r="Q16">
        <v>32</v>
      </c>
      <c r="R16" s="3">
        <f ca="1">_xlfn.XLOOKUP(View[[#This Row],[ID]],Opportunities[ID],Opportunities[NextMilestoneDate])-TODAY()</f>
        <v>54</v>
      </c>
      <c r="S1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6" s="1">
        <f>_xlfn.XLOOKUP(View[[#This Row],[ID]],Opportunities[ID],Opportunities[Weighted])/1000</f>
        <v>139.09220000000002</v>
      </c>
      <c r="U16" s="4">
        <f>_xlfn.XLOOKUP(View[[#This Row],[ID]],Opportunities[ID],Opportunities[Amount])/1000</f>
        <v>695.46100000000001</v>
      </c>
      <c r="V16" t="b">
        <f>View[[#This Row],[Win Probability]]="High"</f>
        <v>0</v>
      </c>
      <c r="W16">
        <f>SUBTOTAL(103, View[[#This Row],[Status]])</f>
        <v>1</v>
      </c>
    </row>
    <row r="17" spans="8:23" x14ac:dyDescent="0.25">
      <c r="H17" s="51" t="str">
        <f>_xlfn.XLOOKUP(View[[#This Row],[ID]],Opportunities[ID],Opportunities[Status])</f>
        <v>Active</v>
      </c>
      <c r="I17" s="33" t="str">
        <f>HYPERLINK(siteUrl&amp;"Lists/"&amp;oppList&amp;"/DispForm.aspx?ID="&amp;View[[#This Row],[ID]],_xlfn.XLOOKUP(View[[#This Row],[ID]],Opportunities[ID],Opportunities[OpportunityName]))</f>
        <v>Mobile Application Development</v>
      </c>
      <c r="J17" s="45" t="str">
        <f>HYPERLINK(_xlfn.XLOOKUP(View[[#This Row],[ID]],Opportunities[ID],Opportunities[CustomerRecordURL]),_xlfn.XLOOKUP(View[[#This Row],[ID]],Opportunities[ID],Opportunities[Customer Name]))</f>
        <v>Consulting Experts</v>
      </c>
      <c r="K17" s="34" t="str">
        <f>_xlfn.XLOOKUP(View[[#This Row],[ID]],Opportunities[ID],Opportunities[DisplayStage])</f>
        <v>➃ - Negotiation</v>
      </c>
      <c r="L17" s="1">
        <f>IF(pipelineType="Unweighted",_xlfn.XLOOKUP(View[[#This Row],[ID]],Opportunities[ID],Opportunities[Amount])/1000,_xlfn.XLOOKUP(View[[#This Row],[ID]],Opportunities[ID],Opportunities[Weighted])/1000)</f>
        <v>1085.1759999999999</v>
      </c>
      <c r="M17" s="27" t="str">
        <f>_xlfn.XLOOKUP(View[[#This Row],[ID]],Opportunities[ID],Opportunities[WinProbDisplay])</f>
        <v>← Medium</v>
      </c>
      <c r="N17" s="28">
        <f>View[[#This Row],[Estmated Revenue]]</f>
        <v>434.07040000000001</v>
      </c>
      <c r="O17" s="2">
        <f>_xlfn.XLOOKUP(View[[#This Row],[ID]],Opportunities[ID],Opportunities[Close])</f>
        <v>46063</v>
      </c>
      <c r="P17" s="24" t="str">
        <f>IF(_xlfn.XLOOKUP(View[[#This Row],[ID]],Opportunities[ID],Opportunities[Comment Log])=0,"",_xlfn.XLOOKUP(View[[#This Row],[ID]],Opportunities[ID],Opportunities[Comment Log]))</f>
        <v/>
      </c>
      <c r="Q17">
        <v>10</v>
      </c>
      <c r="R17" s="3">
        <f ca="1">_xlfn.XLOOKUP(View[[#This Row],[ID]],Opportunities[ID],Opportunities[NextMilestoneDate])-TODAY()</f>
        <v>47</v>
      </c>
      <c r="S1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7" s="1">
        <f>_xlfn.XLOOKUP(View[[#This Row],[ID]],Opportunities[ID],Opportunities[Weighted])/1000</f>
        <v>434.07040000000001</v>
      </c>
      <c r="U17" s="4">
        <f>_xlfn.XLOOKUP(View[[#This Row],[ID]],Opportunities[ID],Opportunities[Amount])/1000</f>
        <v>1085.1759999999999</v>
      </c>
      <c r="V17" t="b">
        <f>View[[#This Row],[Win Probability]]="High"</f>
        <v>0</v>
      </c>
      <c r="W17">
        <f>SUBTOTAL(103, View[[#This Row],[Status]])</f>
        <v>1</v>
      </c>
    </row>
    <row r="18" spans="8:23" x14ac:dyDescent="0.25">
      <c r="H18" s="51" t="str">
        <f>_xlfn.XLOOKUP(View[[#This Row],[ID]],Opportunities[ID],Opportunities[Status])</f>
        <v>Active</v>
      </c>
      <c r="I18" s="33" t="str">
        <f>HYPERLINK(siteUrl&amp;"Lists/"&amp;oppList&amp;"/DispForm.aspx?ID="&amp;View[[#This Row],[ID]],_xlfn.XLOOKUP(View[[#This Row],[ID]],Opportunities[ID],Opportunities[OpportunityName]))</f>
        <v>Business Intelligence Solution</v>
      </c>
      <c r="J18" s="45" t="str">
        <f>HYPERLINK(_xlfn.XLOOKUP(View[[#This Row],[ID]],Opportunities[ID],Opportunities[CustomerRecordURL]),_xlfn.XLOOKUP(View[[#This Row],[ID]],Opportunities[ID],Opportunities[Customer Name]))</f>
        <v>Professional Services Group</v>
      </c>
      <c r="K18" s="34" t="str">
        <f>_xlfn.XLOOKUP(View[[#This Row],[ID]],Opportunities[ID],Opportunities[DisplayStage])</f>
        <v>➅ - Closeout</v>
      </c>
      <c r="L18" s="1">
        <f>IF(pipelineType="Unweighted",_xlfn.XLOOKUP(View[[#This Row],[ID]],Opportunities[ID],Opportunities[Amount])/1000,_xlfn.XLOOKUP(View[[#This Row],[ID]],Opportunities[ID],Opportunities[Weighted])/1000)</f>
        <v>1003.602</v>
      </c>
      <c r="M18" s="27" t="str">
        <f>_xlfn.XLOOKUP(View[[#This Row],[ID]],Opportunities[ID],Opportunities[WinProbDisplay])</f>
        <v>← Medium</v>
      </c>
      <c r="N18" s="28">
        <f>View[[#This Row],[Estmated Revenue]]</f>
        <v>401.44080000000002</v>
      </c>
      <c r="O18" s="2">
        <f>_xlfn.XLOOKUP(View[[#This Row],[ID]],Opportunities[ID],Opportunities[Close])</f>
        <v>45937</v>
      </c>
      <c r="P18" s="24" t="str">
        <f>IF(_xlfn.XLOOKUP(View[[#This Row],[ID]],Opportunities[ID],Opportunities[Comment Log])=0,"",_xlfn.XLOOKUP(View[[#This Row],[ID]],Opportunities[ID],Opportunities[Comment Log]))</f>
        <v/>
      </c>
      <c r="Q18">
        <v>8</v>
      </c>
      <c r="R18" s="3">
        <f ca="1">_xlfn.XLOOKUP(View[[#This Row],[ID]],Opportunities[ID],Opportunities[NextMilestoneDate])-TODAY()</f>
        <v>16</v>
      </c>
      <c r="S1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8" s="1">
        <f>_xlfn.XLOOKUP(View[[#This Row],[ID]],Opportunities[ID],Opportunities[Weighted])/1000</f>
        <v>401.44080000000002</v>
      </c>
      <c r="U18" s="4">
        <f>_xlfn.XLOOKUP(View[[#This Row],[ID]],Opportunities[ID],Opportunities[Amount])/1000</f>
        <v>1003.602</v>
      </c>
      <c r="V18" t="b">
        <f>View[[#This Row],[Win Probability]]="High"</f>
        <v>0</v>
      </c>
      <c r="W18">
        <f>SUBTOTAL(103, View[[#This Row],[Status]])</f>
        <v>1</v>
      </c>
    </row>
    <row r="19" spans="8:23" x14ac:dyDescent="0.25">
      <c r="H19" s="51" t="str">
        <f>_xlfn.XLOOKUP(View[[#This Row],[ID]],Opportunities[ID],Opportunities[Status])</f>
        <v>Active</v>
      </c>
      <c r="I19" s="33" t="str">
        <f>HYPERLINK(siteUrl&amp;"Lists/"&amp;oppList&amp;"/DispForm.aspx?ID="&amp;View[[#This Row],[ID]],_xlfn.XLOOKUP(View[[#This Row],[ID]],Opportunities[ID],Opportunities[OpportunityName]))</f>
        <v>Safety Management System</v>
      </c>
      <c r="J19" s="45" t="str">
        <f>HYPERLINK(_xlfn.XLOOKUP(View[[#This Row],[ID]],Opportunities[ID],Opportunities[CustomerRecordURL]),_xlfn.XLOOKUP(View[[#This Row],[ID]],Opportunities[ID],Opportunities[Customer Name]))</f>
        <v>Tech Solutions Inc</v>
      </c>
      <c r="K19" s="34" t="str">
        <f>_xlfn.XLOOKUP(View[[#This Row],[ID]],Opportunities[ID],Opportunities[DisplayStage])</f>
        <v>➂ - Proposal</v>
      </c>
      <c r="L19" s="1">
        <f>IF(pipelineType="Unweighted",_xlfn.XLOOKUP(View[[#This Row],[ID]],Opportunities[ID],Opportunities[Amount])/1000,_xlfn.XLOOKUP(View[[#This Row],[ID]],Opportunities[ID],Opportunities[Weighted])/1000)</f>
        <v>1958.261</v>
      </c>
      <c r="M19" s="27" t="str">
        <f>_xlfn.XLOOKUP(View[[#This Row],[ID]],Opportunities[ID],Opportunities[WinProbDisplay])</f>
        <v>← Medium</v>
      </c>
      <c r="N19" s="28">
        <f>View[[#This Row],[Estmated Revenue]]</f>
        <v>783.30439999999999</v>
      </c>
      <c r="O19" s="2">
        <f>_xlfn.XLOOKUP(View[[#This Row],[ID]],Opportunities[ID],Opportunities[Close])</f>
        <v>45954</v>
      </c>
      <c r="P19" s="24" t="str">
        <f>IF(_xlfn.XLOOKUP(View[[#This Row],[ID]],Opportunities[ID],Opportunities[Comment Log])=0,"",_xlfn.XLOOKUP(View[[#This Row],[ID]],Opportunities[ID],Opportunities[Comment Log]))</f>
        <v/>
      </c>
      <c r="Q19">
        <v>33</v>
      </c>
      <c r="R19" s="3">
        <f ca="1">_xlfn.XLOOKUP(View[[#This Row],[ID]],Opportunities[ID],Opportunities[NextMilestoneDate])-TODAY()</f>
        <v>7</v>
      </c>
      <c r="S1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9" s="1">
        <f>_xlfn.XLOOKUP(View[[#This Row],[ID]],Opportunities[ID],Opportunities[Weighted])/1000</f>
        <v>783.30439999999999</v>
      </c>
      <c r="U19" s="4">
        <f>_xlfn.XLOOKUP(View[[#This Row],[ID]],Opportunities[ID],Opportunities[Amount])/1000</f>
        <v>1958.261</v>
      </c>
      <c r="V19" t="b">
        <f>View[[#This Row],[Win Probability]]="High"</f>
        <v>0</v>
      </c>
      <c r="W19">
        <f>SUBTOTAL(103, View[[#This Row],[Status]])</f>
        <v>1</v>
      </c>
    </row>
    <row r="20" spans="8:23" x14ac:dyDescent="0.25">
      <c r="H20" s="51" t="str">
        <f>_xlfn.XLOOKUP(View[[#This Row],[ID]],Opportunities[ID],Opportunities[Status])</f>
        <v>Active</v>
      </c>
      <c r="I20" s="33" t="str">
        <f>HYPERLINK(siteUrl&amp;"Lists/"&amp;oppList&amp;"/DispForm.aspx?ID="&amp;View[[#This Row],[ID]],_xlfn.XLOOKUP(View[[#This Row],[ID]],Opportunities[ID],Opportunities[OpportunityName]))</f>
        <v>Project Management Software</v>
      </c>
      <c r="J20" s="45" t="str">
        <f>HYPERLINK(_xlfn.XLOOKUP(View[[#This Row],[ID]],Opportunities[ID],Opportunities[CustomerRecordURL]),_xlfn.XLOOKUP(View[[#This Row],[ID]],Opportunities[ID],Opportunities[Customer Name]))</f>
        <v>Media Communications</v>
      </c>
      <c r="K20" s="34" t="str">
        <f>_xlfn.XLOOKUP(View[[#This Row],[ID]],Opportunities[ID],Opportunities[DisplayStage])</f>
        <v>➅ - Closeout</v>
      </c>
      <c r="L20" s="1">
        <f>IF(pipelineType="Unweighted",_xlfn.XLOOKUP(View[[#This Row],[ID]],Opportunities[ID],Opportunities[Amount])/1000,_xlfn.XLOOKUP(View[[#This Row],[ID]],Opportunities[ID],Opportunities[Weighted])/1000)</f>
        <v>1052.288</v>
      </c>
      <c r="M20" s="27" t="str">
        <f>_xlfn.XLOOKUP(View[[#This Row],[ID]],Opportunities[ID],Opportunities[WinProbDisplay])</f>
        <v>← Medium</v>
      </c>
      <c r="N20" s="28">
        <f>View[[#This Row],[Estmated Revenue]]</f>
        <v>420.91520000000003</v>
      </c>
      <c r="O20" s="2">
        <f>_xlfn.XLOOKUP(View[[#This Row],[ID]],Opportunities[ID],Opportunities[Close])</f>
        <v>46380</v>
      </c>
      <c r="P20" s="24" t="str">
        <f>IF(_xlfn.XLOOKUP(View[[#This Row],[ID]],Opportunities[ID],Opportunities[Comment Log])=0,"",_xlfn.XLOOKUP(View[[#This Row],[ID]],Opportunities[ID],Opportunities[Comment Log]))</f>
        <v/>
      </c>
      <c r="Q20">
        <v>25</v>
      </c>
      <c r="R20" s="3">
        <f ca="1">_xlfn.XLOOKUP(View[[#This Row],[ID]],Opportunities[ID],Opportunities[NextMilestoneDate])-TODAY()</f>
        <v>38</v>
      </c>
      <c r="S2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20" s="1">
        <f>_xlfn.XLOOKUP(View[[#This Row],[ID]],Opportunities[ID],Opportunities[Weighted])/1000</f>
        <v>420.91520000000003</v>
      </c>
      <c r="U20" s="4">
        <f>_xlfn.XLOOKUP(View[[#This Row],[ID]],Opportunities[ID],Opportunities[Amount])/1000</f>
        <v>1052.288</v>
      </c>
      <c r="V20" t="b">
        <f>View[[#This Row],[Win Probability]]="High"</f>
        <v>0</v>
      </c>
      <c r="W20">
        <f>SUBTOTAL(103, View[[#This Row],[Status]])</f>
        <v>1</v>
      </c>
    </row>
    <row r="21" spans="8:23" x14ac:dyDescent="0.25">
      <c r="H21" s="51" t="str">
        <f>_xlfn.XLOOKUP(View[[#This Row],[ID]],Opportunities[ID],Opportunities[Status])</f>
        <v>Active</v>
      </c>
      <c r="I21" s="33" t="str">
        <f>HYPERLINK(siteUrl&amp;"Lists/"&amp;oppList&amp;"/DispForm.aspx?ID="&amp;View[[#This Row],[ID]],_xlfn.XLOOKUP(View[[#This Row],[ID]],Opportunities[ID],Opportunities[OpportunityName]))</f>
        <v>Customer Service Platform</v>
      </c>
      <c r="J21" s="45" t="str">
        <f>HYPERLINK(_xlfn.XLOOKUP(View[[#This Row],[ID]],Opportunities[ID],Opportunities[CustomerRecordURL]),_xlfn.XLOOKUP(View[[#This Row],[ID]],Opportunities[ID],Opportunities[Customer Name]))</f>
        <v>ACME Corporation</v>
      </c>
      <c r="K21" s="34" t="str">
        <f>_xlfn.XLOOKUP(View[[#This Row],[ID]],Opportunities[ID],Opportunities[DisplayStage])</f>
        <v>➁ - Nurturing</v>
      </c>
      <c r="L21" s="1">
        <f>IF(pipelineType="Unweighted",_xlfn.XLOOKUP(View[[#This Row],[ID]],Opportunities[ID],Opportunities[Amount])/1000,_xlfn.XLOOKUP(View[[#This Row],[ID]],Opportunities[ID],Opportunities[Weighted])/1000)</f>
        <v>1172.164</v>
      </c>
      <c r="M21" s="27" t="str">
        <f>_xlfn.XLOOKUP(View[[#This Row],[ID]],Opportunities[ID],Opportunities[WinProbDisplay])</f>
        <v>← Medium</v>
      </c>
      <c r="N21" s="28">
        <f>View[[#This Row],[Estmated Revenue]]</f>
        <v>468.86560000000003</v>
      </c>
      <c r="O21" s="2">
        <f>_xlfn.XLOOKUP(View[[#This Row],[ID]],Opportunities[ID],Opportunities[Close])</f>
        <v>46233</v>
      </c>
      <c r="P21" s="24" t="str">
        <f>IF(_xlfn.XLOOKUP(View[[#This Row],[ID]],Opportunities[ID],Opportunities[Comment Log])=0,"",_xlfn.XLOOKUP(View[[#This Row],[ID]],Opportunities[ID],Opportunities[Comment Log]))</f>
        <v/>
      </c>
      <c r="Q21">
        <v>30</v>
      </c>
      <c r="R21" s="3">
        <f ca="1">_xlfn.XLOOKUP(View[[#This Row],[ID]],Opportunities[ID],Opportunities[NextMilestoneDate])-TODAY()</f>
        <v>36</v>
      </c>
      <c r="S2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21" s="1">
        <f>_xlfn.XLOOKUP(View[[#This Row],[ID]],Opportunities[ID],Opportunities[Weighted])/1000</f>
        <v>468.86560000000003</v>
      </c>
      <c r="U21" s="4">
        <f>_xlfn.XLOOKUP(View[[#This Row],[ID]],Opportunities[ID],Opportunities[Amount])/1000</f>
        <v>1172.164</v>
      </c>
      <c r="V21" t="b">
        <f>View[[#This Row],[Win Probability]]="High"</f>
        <v>0</v>
      </c>
      <c r="W21">
        <f>SUBTOTAL(103, View[[#This Row],[Status]])</f>
        <v>1</v>
      </c>
    </row>
    <row r="22" spans="8:23" x14ac:dyDescent="0.25">
      <c r="H22" s="51" t="str">
        <f>_xlfn.XLOOKUP(View[[#This Row],[ID]],Opportunities[ID],Opportunities[Status])</f>
        <v>Active</v>
      </c>
      <c r="I22" s="33" t="str">
        <f>HYPERLINK(siteUrl&amp;"Lists/"&amp;oppList&amp;"/DispForm.aspx?ID="&amp;View[[#This Row],[ID]],_xlfn.XLOOKUP(View[[#This Row],[ID]],Opportunities[ID],Opportunities[OpportunityName]))</f>
        <v>Manufacturing Automation System</v>
      </c>
      <c r="J22" s="45" t="str">
        <f>HYPERLINK(_xlfn.XLOOKUP(View[[#This Row],[ID]],Opportunities[ID],Opportunities[CustomerRecordURL]),_xlfn.XLOOKUP(View[[#This Row],[ID]],Opportunities[ID],Opportunities[Customer Name]))</f>
        <v>Food Service Partners</v>
      </c>
      <c r="K22" s="34" t="str">
        <f>_xlfn.XLOOKUP(View[[#This Row],[ID]],Opportunities[ID],Opportunities[DisplayStage])</f>
        <v>➅ - Closeout</v>
      </c>
      <c r="L22" s="1">
        <f>IF(pipelineType="Unweighted",_xlfn.XLOOKUP(View[[#This Row],[ID]],Opportunities[ID],Opportunities[Amount])/1000,_xlfn.XLOOKUP(View[[#This Row],[ID]],Opportunities[ID],Opportunities[Weighted])/1000)</f>
        <v>744.79899999999998</v>
      </c>
      <c r="M22" s="27" t="str">
        <f>_xlfn.XLOOKUP(View[[#This Row],[ID]],Opportunities[ID],Opportunities[WinProbDisplay])</f>
        <v>← Medium</v>
      </c>
      <c r="N22" s="28">
        <f>View[[#This Row],[Estmated Revenue]]</f>
        <v>297.91960000000006</v>
      </c>
      <c r="O22" s="2">
        <f>_xlfn.XLOOKUP(View[[#This Row],[ID]],Opportunities[ID],Opportunities[Close])</f>
        <v>46009</v>
      </c>
      <c r="P22" s="24" t="str">
        <f>IF(_xlfn.XLOOKUP(View[[#This Row],[ID]],Opportunities[ID],Opportunities[Comment Log])=0,"",_xlfn.XLOOKUP(View[[#This Row],[ID]],Opportunities[ID],Opportunities[Comment Log]))</f>
        <v/>
      </c>
      <c r="Q22">
        <v>4</v>
      </c>
      <c r="R22" s="3">
        <f ca="1">_xlfn.XLOOKUP(View[[#This Row],[ID]],Opportunities[ID],Opportunities[NextMilestoneDate])-TODAY()</f>
        <v>13</v>
      </c>
      <c r="S2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22" s="1">
        <f>_xlfn.XLOOKUP(View[[#This Row],[ID]],Opportunities[ID],Opportunities[Weighted])/1000</f>
        <v>297.91960000000006</v>
      </c>
      <c r="U22" s="4">
        <f>_xlfn.XLOOKUP(View[[#This Row],[ID]],Opportunities[ID],Opportunities[Amount])/1000</f>
        <v>744.79899999999998</v>
      </c>
      <c r="V22" t="b">
        <f>View[[#This Row],[Win Probability]]="High"</f>
        <v>0</v>
      </c>
      <c r="W22">
        <f>SUBTOTAL(103, View[[#This Row],[Status]])</f>
        <v>1</v>
      </c>
    </row>
    <row r="23" spans="8:23" x14ac:dyDescent="0.25">
      <c r="H23" s="51" t="str">
        <f>_xlfn.XLOOKUP(View[[#This Row],[ID]],Opportunities[ID],Opportunities[Status])</f>
        <v>Active</v>
      </c>
      <c r="I23" s="33" t="str">
        <f>HYPERLINK(siteUrl&amp;"Lists/"&amp;oppList&amp;"/DispForm.aspx?ID="&amp;View[[#This Row],[ID]],_xlfn.XLOOKUP(View[[#This Row],[ID]],Opportunities[ID],Opportunities[OpportunityName]))</f>
        <v>HR Management System</v>
      </c>
      <c r="J23" s="45" t="str">
        <f>HYPERLINK(_xlfn.XLOOKUP(View[[#This Row],[ID]],Opportunities[ID],Opportunities[CustomerRecordURL]),_xlfn.XLOOKUP(View[[#This Row],[ID]],Opportunities[ID],Opportunities[Customer Name]))</f>
        <v>Sports &amp; Recreation</v>
      </c>
      <c r="K23" s="34" t="str">
        <f>_xlfn.XLOOKUP(View[[#This Row],[ID]],Opportunities[ID],Opportunities[DisplayStage])</f>
        <v>➃ - Negotiation</v>
      </c>
      <c r="L23" s="1">
        <f>IF(pipelineType="Unweighted",_xlfn.XLOOKUP(View[[#This Row],[ID]],Opportunities[ID],Opportunities[Amount])/1000,_xlfn.XLOOKUP(View[[#This Row],[ID]],Opportunities[ID],Opportunities[Weighted])/1000)</f>
        <v>890.63199999999995</v>
      </c>
      <c r="M23" s="27" t="str">
        <f>_xlfn.XLOOKUP(View[[#This Row],[ID]],Opportunities[ID],Opportunities[WinProbDisplay])</f>
        <v>↙ Low</v>
      </c>
      <c r="N23" s="28">
        <f>View[[#This Row],[Estmated Revenue]]</f>
        <v>178.12640000000002</v>
      </c>
      <c r="O23" s="2">
        <f>_xlfn.XLOOKUP(View[[#This Row],[ID]],Opportunities[ID],Opportunities[Close])</f>
        <v>45943</v>
      </c>
      <c r="P23" s="24" t="str">
        <f>IF(_xlfn.XLOOKUP(View[[#This Row],[ID]],Opportunities[ID],Opportunities[Comment Log])=0,"",_xlfn.XLOOKUP(View[[#This Row],[ID]],Opportunities[ID],Opportunities[Comment Log]))</f>
        <v/>
      </c>
      <c r="Q23">
        <v>19</v>
      </c>
      <c r="R23" s="3">
        <f ca="1">_xlfn.XLOOKUP(View[[#This Row],[ID]],Opportunities[ID],Opportunities[NextMilestoneDate])-TODAY()</f>
        <v>5</v>
      </c>
      <c r="S2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23" s="1">
        <f>_xlfn.XLOOKUP(View[[#This Row],[ID]],Opportunities[ID],Opportunities[Weighted])/1000</f>
        <v>178.12640000000002</v>
      </c>
      <c r="U23" s="4">
        <f>_xlfn.XLOOKUP(View[[#This Row],[ID]],Opportunities[ID],Opportunities[Amount])/1000</f>
        <v>890.63199999999995</v>
      </c>
      <c r="V23" t="b">
        <f>View[[#This Row],[Win Probability]]="High"</f>
        <v>0</v>
      </c>
      <c r="W23">
        <f>SUBTOTAL(103, View[[#This Row],[Status]])</f>
        <v>1</v>
      </c>
    </row>
    <row r="24" spans="8:23" x14ac:dyDescent="0.25">
      <c r="H24" s="51" t="str">
        <f>_xlfn.XLOOKUP(View[[#This Row],[ID]],Opportunities[ID],Opportunities[Status])</f>
        <v>Active</v>
      </c>
      <c r="I24" s="33" t="str">
        <f>HYPERLINK(siteUrl&amp;"Lists/"&amp;oppList&amp;"/DispForm.aspx?ID="&amp;View[[#This Row],[ID]],_xlfn.XLOOKUP(View[[#This Row],[ID]],Opportunities[ID],Opportunities[OpportunityName]))</f>
        <v>Performance Analytics Dashboard</v>
      </c>
      <c r="J24" s="45" t="str">
        <f>HYPERLINK(_xlfn.XLOOKUP(View[[#This Row],[ID]],Opportunities[ID],Opportunities[CustomerRecordURL]),_xlfn.XLOOKUP(View[[#This Row],[ID]],Opportunities[ID],Opportunities[Customer Name]))</f>
        <v>Chemical Processing</v>
      </c>
      <c r="K24" s="34" t="str">
        <f>_xlfn.XLOOKUP(View[[#This Row],[ID]],Opportunities[ID],Opportunities[DisplayStage])</f>
        <v>➁ - Nurturing</v>
      </c>
      <c r="L24" s="1">
        <f>IF(pipelineType="Unweighted",_xlfn.XLOOKUP(View[[#This Row],[ID]],Opportunities[ID],Opportunities[Amount])/1000,_xlfn.XLOOKUP(View[[#This Row],[ID]],Opportunities[ID],Opportunities[Weighted])/1000)</f>
        <v>800.33600000000001</v>
      </c>
      <c r="M24" s="27" t="str">
        <f>_xlfn.XLOOKUP(View[[#This Row],[ID]],Opportunities[ID],Opportunities[WinProbDisplay])</f>
        <v>↖ High</v>
      </c>
      <c r="N24" s="28">
        <f>View[[#This Row],[Estmated Revenue]]</f>
        <v>720.30240000000003</v>
      </c>
      <c r="O24" s="2">
        <f>_xlfn.XLOOKUP(View[[#This Row],[ID]],Opportunities[ID],Opportunities[Close])</f>
        <v>46192</v>
      </c>
      <c r="P24" s="24" t="str">
        <f>IF(_xlfn.XLOOKUP(View[[#This Row],[ID]],Opportunities[ID],Opportunities[Comment Log])=0,"",_xlfn.XLOOKUP(View[[#This Row],[ID]],Opportunities[ID],Opportunities[Comment Log]))</f>
        <v/>
      </c>
      <c r="Q24">
        <v>34</v>
      </c>
      <c r="R24" s="3">
        <f ca="1">_xlfn.XLOOKUP(View[[#This Row],[ID]],Opportunities[ID],Opportunities[NextMilestoneDate])-TODAY()</f>
        <v>42</v>
      </c>
      <c r="S2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4" s="1">
        <f>_xlfn.XLOOKUP(View[[#This Row],[ID]],Opportunities[ID],Opportunities[Weighted])/1000</f>
        <v>720.30240000000003</v>
      </c>
      <c r="U24" s="4">
        <f>_xlfn.XLOOKUP(View[[#This Row],[ID]],Opportunities[ID],Opportunities[Amount])/1000</f>
        <v>800.33600000000001</v>
      </c>
      <c r="V24" t="b">
        <f>View[[#This Row],[Win Probability]]="High"</f>
        <v>0</v>
      </c>
      <c r="W24">
        <f>SUBTOTAL(103, View[[#This Row],[Status]])</f>
        <v>1</v>
      </c>
    </row>
    <row r="25" spans="8:23" x14ac:dyDescent="0.25">
      <c r="H25" s="51" t="str">
        <f>_xlfn.XLOOKUP(View[[#This Row],[ID]],Opportunities[ID],Opportunities[Status])</f>
        <v>Active</v>
      </c>
      <c r="I25" s="33" t="str">
        <f>HYPERLINK(siteUrl&amp;"Lists/"&amp;oppList&amp;"/DispForm.aspx?ID="&amp;View[[#This Row],[ID]],_xlfn.XLOOKUP(View[[#This Row],[ID]],Opportunities[ID],Opportunities[OpportunityName]))</f>
        <v>Workflow Automation Tool</v>
      </c>
      <c r="J25" s="45" t="str">
        <f>HYPERLINK(_xlfn.XLOOKUP(View[[#This Row],[ID]],Opportunities[ID],Opportunities[CustomerRecordURL]),_xlfn.XLOOKUP(View[[#This Row],[ID]],Opportunities[ID],Opportunities[Customer Name]))</f>
        <v>Construction Dynamics</v>
      </c>
      <c r="K25" s="34" t="str">
        <f>_xlfn.XLOOKUP(View[[#This Row],[ID]],Opportunities[ID],Opportunities[DisplayStage])</f>
        <v>➁ - Nurturing</v>
      </c>
      <c r="L25" s="1">
        <f>IF(pipelineType="Unweighted",_xlfn.XLOOKUP(View[[#This Row],[ID]],Opportunities[ID],Opportunities[Amount])/1000,_xlfn.XLOOKUP(View[[#This Row],[ID]],Opportunities[ID],Opportunities[Weighted])/1000)</f>
        <v>1834.664</v>
      </c>
      <c r="M25" s="27" t="str">
        <f>_xlfn.XLOOKUP(View[[#This Row],[ID]],Opportunities[ID],Opportunities[WinProbDisplay])</f>
        <v>↙ Low</v>
      </c>
      <c r="N25" s="28">
        <f>View[[#This Row],[Estmated Revenue]]</f>
        <v>366.93280000000004</v>
      </c>
      <c r="O25" s="2">
        <f>_xlfn.XLOOKUP(View[[#This Row],[ID]],Opportunities[ID],Opportunities[Close])</f>
        <v>46392</v>
      </c>
      <c r="P25" s="24" t="str">
        <f>IF(_xlfn.XLOOKUP(View[[#This Row],[ID]],Opportunities[ID],Opportunities[Comment Log])=0,"",_xlfn.XLOOKUP(View[[#This Row],[ID]],Opportunities[ID],Opportunities[Comment Log]))</f>
        <v/>
      </c>
      <c r="Q25">
        <v>35</v>
      </c>
      <c r="R25" s="3">
        <f ca="1">_xlfn.XLOOKUP(View[[#This Row],[ID]],Opportunities[ID],Opportunities[NextMilestoneDate])-TODAY()</f>
        <v>15</v>
      </c>
      <c r="S2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T25" s="1">
        <f>_xlfn.XLOOKUP(View[[#This Row],[ID]],Opportunities[ID],Opportunities[Weighted])/1000</f>
        <v>366.93280000000004</v>
      </c>
      <c r="U25" s="4">
        <f>_xlfn.XLOOKUP(View[[#This Row],[ID]],Opportunities[ID],Opportunities[Amount])/1000</f>
        <v>1834.664</v>
      </c>
      <c r="V25" t="b">
        <f>View[[#This Row],[Win Probability]]="High"</f>
        <v>0</v>
      </c>
      <c r="W25">
        <f>SUBTOTAL(103, View[[#This Row],[Status]])</f>
        <v>1</v>
      </c>
    </row>
    <row r="26" spans="8:23" x14ac:dyDescent="0.25">
      <c r="H26" s="51" t="str">
        <f>_xlfn.XLOOKUP(View[[#This Row],[ID]],Opportunities[ID],Opportunities[Status])</f>
        <v>Active</v>
      </c>
      <c r="I26" s="33" t="str">
        <f>HYPERLINK(siteUrl&amp;"Lists/"&amp;oppList&amp;"/DispForm.aspx?ID="&amp;View[[#This Row],[ID]],_xlfn.XLOOKUP(View[[#This Row],[ID]],Opportunities[ID],Opportunities[OpportunityName]))</f>
        <v>Website Redesign Project</v>
      </c>
      <c r="J26" s="45" t="str">
        <f>HYPERLINK(_xlfn.XLOOKUP(View[[#This Row],[ID]],Opportunities[ID],Opportunities[CustomerRecordURL]),_xlfn.XLOOKUP(View[[#This Row],[ID]],Opportunities[ID],Opportunities[Customer Name]))</f>
        <v>ACME Corporation</v>
      </c>
      <c r="K26" s="34" t="str">
        <f>_xlfn.XLOOKUP(View[[#This Row],[ID]],Opportunities[ID],Opportunities[DisplayStage])</f>
        <v>➀ - Lead Qualification</v>
      </c>
      <c r="L26" s="1">
        <f>IF(pipelineType="Unweighted",_xlfn.XLOOKUP(View[[#This Row],[ID]],Opportunities[ID],Opportunities[Amount])/1000,_xlfn.XLOOKUP(View[[#This Row],[ID]],Opportunities[ID],Opportunities[Weighted])/1000)</f>
        <v>1213.43</v>
      </c>
      <c r="M26" s="27" t="str">
        <f>_xlfn.XLOOKUP(View[[#This Row],[ID]],Opportunities[ID],Opportunities[WinProbDisplay])</f>
        <v>← Medium</v>
      </c>
      <c r="N26" s="28">
        <f>View[[#This Row],[Estmated Revenue]]</f>
        <v>485.37200000000001</v>
      </c>
      <c r="O26" s="2">
        <f>_xlfn.XLOOKUP(View[[#This Row],[ID]],Opportunities[ID],Opportunities[Close])</f>
        <v>46325</v>
      </c>
      <c r="P26" s="24" t="str">
        <f>IF(_xlfn.XLOOKUP(View[[#This Row],[ID]],Opportunities[ID],Opportunities[Comment Log])=0,"",_xlfn.XLOOKUP(View[[#This Row],[ID]],Opportunities[ID],Opportunities[Comment Log]))</f>
        <v/>
      </c>
      <c r="Q26">
        <v>28</v>
      </c>
      <c r="R26" s="3">
        <f ca="1">_xlfn.XLOOKUP(View[[#This Row],[ID]],Opportunities[ID],Opportunities[NextMilestoneDate])-TODAY()</f>
        <v>16</v>
      </c>
      <c r="S2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26" s="1">
        <f>_xlfn.XLOOKUP(View[[#This Row],[ID]],Opportunities[ID],Opportunities[Weighted])/1000</f>
        <v>485.37200000000001</v>
      </c>
      <c r="U26" s="4">
        <f>_xlfn.XLOOKUP(View[[#This Row],[ID]],Opportunities[ID],Opportunities[Amount])/1000</f>
        <v>1213.43</v>
      </c>
      <c r="V26" t="b">
        <f>View[[#This Row],[Win Probability]]="High"</f>
        <v>0</v>
      </c>
      <c r="W26">
        <f>SUBTOTAL(103, View[[#This Row],[Status]])</f>
        <v>1</v>
      </c>
    </row>
    <row r="27" spans="8:23" x14ac:dyDescent="0.25">
      <c r="H27" s="51" t="str">
        <f>_xlfn.XLOOKUP(View[[#This Row],[ID]],Opportunities[ID],Opportunities[Status])</f>
        <v>At Risk</v>
      </c>
      <c r="I27" s="33" t="str">
        <f>HYPERLINK(siteUrl&amp;"Lists/"&amp;oppList&amp;"/DispForm.aspx?ID="&amp;View[[#This Row],[ID]],_xlfn.XLOOKUP(View[[#This Row],[ID]],Opportunities[ID],Opportunities[OpportunityName]))</f>
        <v>Customer Portal Development</v>
      </c>
      <c r="J27" s="45" t="str">
        <f>HYPERLINK(_xlfn.XLOOKUP(View[[#This Row],[ID]],Opportunities[ID],Opportunities[CustomerRecordURL]),_xlfn.XLOOKUP(View[[#This Row],[ID]],Opportunities[ID],Opportunities[Customer Name]))</f>
        <v>Publishing House</v>
      </c>
      <c r="K27" s="34" t="str">
        <f>_xlfn.XLOOKUP(View[[#This Row],[ID]],Opportunities[ID],Opportunities[DisplayStage])</f>
        <v>➀ - Lead Qualification</v>
      </c>
      <c r="L27" s="1">
        <f>IF(pipelineType="Unweighted",_xlfn.XLOOKUP(View[[#This Row],[ID]],Opportunities[ID],Opportunities[Amount])/1000,_xlfn.XLOOKUP(View[[#This Row],[ID]],Opportunities[ID],Opportunities[Weighted])/1000)</f>
        <v>1310.673</v>
      </c>
      <c r="M27" s="27" t="str">
        <f>_xlfn.XLOOKUP(View[[#This Row],[ID]],Opportunities[ID],Opportunities[WinProbDisplay])</f>
        <v>↙ Low</v>
      </c>
      <c r="N27" s="28">
        <f>View[[#This Row],[Estmated Revenue]]</f>
        <v>262.13459999999998</v>
      </c>
      <c r="O27" s="2">
        <f>_xlfn.XLOOKUP(View[[#This Row],[ID]],Opportunities[ID],Opportunities[Close])</f>
        <v>46139</v>
      </c>
      <c r="P27" s="24" t="str">
        <f>IF(_xlfn.XLOOKUP(View[[#This Row],[ID]],Opportunities[ID],Opportunities[Comment Log])=0,"",_xlfn.XLOOKUP(View[[#This Row],[ID]],Opportunities[ID],Opportunities[Comment Log]))</f>
        <v/>
      </c>
      <c r="Q27">
        <v>9</v>
      </c>
      <c r="R27" s="3">
        <f ca="1">_xlfn.XLOOKUP(View[[#This Row],[ID]],Opportunities[ID],Opportunities[NextMilestoneDate])-TODAY()</f>
        <v>50</v>
      </c>
      <c r="S2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262.13459999999998</v>
      </c>
      <c r="U27" s="4">
        <f>_xlfn.XLOOKUP(View[[#This Row],[ID]],Opportunities[ID],Opportunities[Amount])/1000</f>
        <v>1310.673</v>
      </c>
      <c r="V27" t="b">
        <f>View[[#This Row],[Win Probability]]="High"</f>
        <v>0</v>
      </c>
      <c r="W27">
        <f>SUBTOTAL(103, View[[#This Row],[Status]])</f>
        <v>1</v>
      </c>
    </row>
    <row r="28" spans="8:23" x14ac:dyDescent="0.25">
      <c r="H28" s="51" t="str">
        <f>_xlfn.XLOOKUP(View[[#This Row],[ID]],Opportunities[ID],Opportunities[Status])</f>
        <v>Active</v>
      </c>
      <c r="I28" s="33" t="str">
        <f>HYPERLINK(siteUrl&amp;"Lists/"&amp;oppList&amp;"/DispForm.aspx?ID="&amp;View[[#This Row],[ID]],_xlfn.XLOOKUP(View[[#This Row],[ID]],Opportunities[ID],Opportunities[OpportunityName]))</f>
        <v>Compliance Management Tool</v>
      </c>
      <c r="J28" s="45" t="str">
        <f>HYPERLINK(_xlfn.XLOOKUP(View[[#This Row],[ID]],Opportunities[ID],Opportunities[CustomerRecordURL]),_xlfn.XLOOKUP(View[[#This Row],[ID]],Opportunities[ID],Opportunities[Customer Name]))</f>
        <v>Mining Operations</v>
      </c>
      <c r="K28" s="34" t="str">
        <f>_xlfn.XLOOKUP(View[[#This Row],[ID]],Opportunities[ID],Opportunities[DisplayStage])</f>
        <v>➁ - Nurturing</v>
      </c>
      <c r="L28" s="1">
        <f>IF(pipelineType="Unweighted",_xlfn.XLOOKUP(View[[#This Row],[ID]],Opportunities[ID],Opportunities[Amount])/1000,_xlfn.XLOOKUP(View[[#This Row],[ID]],Opportunities[ID],Opportunities[Weighted])/1000)</f>
        <v>994.88199999999995</v>
      </c>
      <c r="M28" s="27" t="str">
        <f>_xlfn.XLOOKUP(View[[#This Row],[ID]],Opportunities[ID],Opportunities[WinProbDisplay])</f>
        <v>↙ Low</v>
      </c>
      <c r="N28" s="28">
        <f>View[[#This Row],[Estmated Revenue]]</f>
        <v>198.97640000000001</v>
      </c>
      <c r="O28" s="2">
        <f>_xlfn.XLOOKUP(View[[#This Row],[ID]],Opportunities[ID],Opportunities[Close])</f>
        <v>46031</v>
      </c>
      <c r="P28" s="24" t="str">
        <f>IF(_xlfn.XLOOKUP(View[[#This Row],[ID]],Opportunities[ID],Opportunities[Comment Log])=0,"",_xlfn.XLOOKUP(View[[#This Row],[ID]],Opportunities[ID],Opportunities[Comment Log]))</f>
        <v/>
      </c>
      <c r="Q28">
        <v>24</v>
      </c>
      <c r="R28" s="3">
        <f ca="1">_xlfn.XLOOKUP(View[[#This Row],[ID]],Opportunities[ID],Opportunities[NextMilestoneDate])-TODAY()</f>
        <v>26</v>
      </c>
      <c r="S2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8" s="1">
        <f>_xlfn.XLOOKUP(View[[#This Row],[ID]],Opportunities[ID],Opportunities[Weighted])/1000</f>
        <v>198.97640000000001</v>
      </c>
      <c r="U28" s="4">
        <f>_xlfn.XLOOKUP(View[[#This Row],[ID]],Opportunities[ID],Opportunities[Amount])/1000</f>
        <v>994.88199999999995</v>
      </c>
      <c r="V28" t="b">
        <f>View[[#This Row],[Win Probability]]="High"</f>
        <v>0</v>
      </c>
      <c r="W28">
        <f>SUBTOTAL(103, View[[#This Row],[Status]])</f>
        <v>1</v>
      </c>
    </row>
    <row r="29" spans="8:23" x14ac:dyDescent="0.25">
      <c r="H29" s="51" t="str">
        <f>_xlfn.XLOOKUP(View[[#This Row],[ID]],Opportunities[ID],Opportunities[Status])</f>
        <v>Active</v>
      </c>
      <c r="I29" s="33" t="str">
        <f>HYPERLINK(siteUrl&amp;"Lists/"&amp;oppList&amp;"/DispForm.aspx?ID="&amp;View[[#This Row],[ID]],_xlfn.XLOOKUP(View[[#This Row],[ID]],Opportunities[ID],Opportunities[OpportunityName]))</f>
        <v>Digital Transformation Project</v>
      </c>
      <c r="J29" s="45" t="str">
        <f>HYPERLINK(_xlfn.XLOOKUP(View[[#This Row],[ID]],Opportunities[ID],Opportunities[CustomerRecordURL]),_xlfn.XLOOKUP(View[[#This Row],[ID]],Opportunities[ID],Opportunities[Customer Name]))</f>
        <v>Professional Services Group</v>
      </c>
      <c r="K29" s="34" t="str">
        <f>_xlfn.XLOOKUP(View[[#This Row],[ID]],Opportunities[ID],Opportunities[DisplayStage])</f>
        <v>➄ - Project Execution</v>
      </c>
      <c r="L29" s="1">
        <f>IF(pipelineType="Unweighted",_xlfn.XLOOKUP(View[[#This Row],[ID]],Opportunities[ID],Opportunities[Amount])/1000,_xlfn.XLOOKUP(View[[#This Row],[ID]],Opportunities[ID],Opportunities[Weighted])/1000)</f>
        <v>826.10500000000002</v>
      </c>
      <c r="M29" s="27" t="str">
        <f>_xlfn.XLOOKUP(View[[#This Row],[ID]],Opportunities[ID],Opportunities[WinProbDisplay])</f>
        <v>← Medium</v>
      </c>
      <c r="N29" s="28">
        <f>View[[#This Row],[Estmated Revenue]]</f>
        <v>330.44200000000001</v>
      </c>
      <c r="O29" s="2">
        <f>_xlfn.XLOOKUP(View[[#This Row],[ID]],Opportunities[ID],Opportunities[Close])</f>
        <v>46140</v>
      </c>
      <c r="P29" s="24" t="str">
        <f>IF(_xlfn.XLOOKUP(View[[#This Row],[ID]],Opportunities[ID],Opportunities[Comment Log])=0,"",_xlfn.XLOOKUP(View[[#This Row],[ID]],Opportunities[ID],Opportunities[Comment Log]))</f>
        <v/>
      </c>
      <c r="Q29">
        <v>6</v>
      </c>
      <c r="R29" s="3">
        <f ca="1">_xlfn.XLOOKUP(View[[#This Row],[ID]],Opportunities[ID],Opportunities[NextMilestoneDate])-TODAY()</f>
        <v>17</v>
      </c>
      <c r="S2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330.44200000000001</v>
      </c>
      <c r="U29" s="4">
        <f>_xlfn.XLOOKUP(View[[#This Row],[ID]],Opportunities[ID],Opportunities[Amount])/1000</f>
        <v>826.10500000000002</v>
      </c>
      <c r="V29" t="b">
        <f>View[[#This Row],[Win Probability]]="High"</f>
        <v>0</v>
      </c>
      <c r="W29">
        <f>SUBTOTAL(103, View[[#This Row],[Status]])</f>
        <v>1</v>
      </c>
    </row>
    <row r="30" spans="8:23" x14ac:dyDescent="0.25">
      <c r="H30" s="51" t="str">
        <f>_xlfn.XLOOKUP(View[[#This Row],[ID]],Opportunities[ID],Opportunities[Status])</f>
        <v>At Risk</v>
      </c>
      <c r="I30" s="33" t="str">
        <f>HYPERLINK(siteUrl&amp;"Lists/"&amp;oppList&amp;"/DispForm.aspx?ID="&amp;View[[#This Row],[ID]],_xlfn.XLOOKUP(View[[#This Row],[ID]],Opportunities[ID],Opportunities[OpportunityName]))</f>
        <v>Data Center Consolidation</v>
      </c>
      <c r="J30" s="45" t="str">
        <f>HYPERLINK(_xlfn.XLOOKUP(View[[#This Row],[ID]],Opportunities[ID],Opportunities[CustomerRecordURL]),_xlfn.XLOOKUP(View[[#This Row],[ID]],Opportunities[ID],Opportunities[Customer Name]))</f>
        <v>Tech Solutions Inc</v>
      </c>
      <c r="K30" s="34" t="str">
        <f>_xlfn.XLOOKUP(View[[#This Row],[ID]],Opportunities[ID],Opportunities[DisplayStage])</f>
        <v>➃ - Negotiation</v>
      </c>
      <c r="L30" s="1">
        <f>IF(pipelineType="Unweighted",_xlfn.XLOOKUP(View[[#This Row],[ID]],Opportunities[ID],Opportunities[Amount])/1000,_xlfn.XLOOKUP(View[[#This Row],[ID]],Opportunities[ID],Opportunities[Weighted])/1000)</f>
        <v>2017.08</v>
      </c>
      <c r="M30" s="27" t="str">
        <f>_xlfn.XLOOKUP(View[[#This Row],[ID]],Opportunities[ID],Opportunities[WinProbDisplay])</f>
        <v>↖ High</v>
      </c>
      <c r="N30" s="28">
        <f>View[[#This Row],[Estmated Revenue]]</f>
        <v>1815.3720000000001</v>
      </c>
      <c r="O30" s="2">
        <f>_xlfn.XLOOKUP(View[[#This Row],[ID]],Opportunities[ID],Opportunities[Close])</f>
        <v>46318</v>
      </c>
      <c r="P30" s="24" t="str">
        <f>IF(_xlfn.XLOOKUP(View[[#This Row],[ID]],Opportunities[ID],Opportunities[Comment Log])=0,"",_xlfn.XLOOKUP(View[[#This Row],[ID]],Opportunities[ID],Opportunities[Comment Log]))</f>
        <v/>
      </c>
      <c r="Q30">
        <v>11</v>
      </c>
      <c r="R30" s="3">
        <f ca="1">_xlfn.XLOOKUP(View[[#This Row],[ID]],Opportunities[ID],Opportunities[NextMilestoneDate])-TODAY()</f>
        <v>42</v>
      </c>
      <c r="S3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0" s="1">
        <f>_xlfn.XLOOKUP(View[[#This Row],[ID]],Opportunities[ID],Opportunities[Weighted])/1000</f>
        <v>1815.3720000000001</v>
      </c>
      <c r="U30" s="4">
        <f>_xlfn.XLOOKUP(View[[#This Row],[ID]],Opportunities[ID],Opportunities[Amount])/1000</f>
        <v>2017.08</v>
      </c>
      <c r="V30" t="b">
        <f>View[[#This Row],[Win Probability]]="High"</f>
        <v>0</v>
      </c>
      <c r="W30">
        <f>SUBTOTAL(103, View[[#This Row],[Status]])</f>
        <v>1</v>
      </c>
    </row>
    <row r="31" spans="8:23" x14ac:dyDescent="0.25">
      <c r="H31" s="51" t="str">
        <f>_xlfn.XLOOKUP(View[[#This Row],[ID]],Opportunities[ID],Opportunities[Status])</f>
        <v>At Risk</v>
      </c>
      <c r="I31" s="33" t="str">
        <f>HYPERLINK(siteUrl&amp;"Lists/"&amp;oppList&amp;"/DispForm.aspx?ID="&amp;View[[#This Row],[ID]],_xlfn.XLOOKUP(View[[#This Row],[ID]],Opportunities[ID],Opportunities[OpportunityName]))</f>
        <v>Fleet Management System</v>
      </c>
      <c r="J31" s="45" t="str">
        <f>HYPERLINK(_xlfn.XLOOKUP(View[[#This Row],[ID]],Opportunities[ID],Opportunities[CustomerRecordURL]),_xlfn.XLOOKUP(View[[#This Row],[ID]],Opportunities[ID],Opportunities[Customer Name]))</f>
        <v>Pharmaceutical Research</v>
      </c>
      <c r="K31" s="34" t="str">
        <f>_xlfn.XLOOKUP(View[[#This Row],[ID]],Opportunities[ID],Opportunities[DisplayStage])</f>
        <v>➃ - Negotiation</v>
      </c>
      <c r="L31" s="1">
        <f>IF(pipelineType="Unweighted",_xlfn.XLOOKUP(View[[#This Row],[ID]],Opportunities[ID],Opportunities[Amount])/1000,_xlfn.XLOOKUP(View[[#This Row],[ID]],Opportunities[ID],Opportunities[Weighted])/1000)</f>
        <v>768.86500000000001</v>
      </c>
      <c r="M31" s="27" t="str">
        <f>_xlfn.XLOOKUP(View[[#This Row],[ID]],Opportunities[ID],Opportunities[WinProbDisplay])</f>
        <v>↙ Low</v>
      </c>
      <c r="N31" s="28">
        <f>View[[#This Row],[Estmated Revenue]]</f>
        <v>153.773</v>
      </c>
      <c r="O31" s="2">
        <f>_xlfn.XLOOKUP(View[[#This Row],[ID]],Opportunities[ID],Opportunities[Close])</f>
        <v>46099</v>
      </c>
      <c r="P31" s="24" t="str">
        <f>IF(_xlfn.XLOOKUP(View[[#This Row],[ID]],Opportunities[ID],Opportunities[Comment Log])=0,"",_xlfn.XLOOKUP(View[[#This Row],[ID]],Opportunities[ID],Opportunities[Comment Log]))</f>
        <v/>
      </c>
      <c r="Q31">
        <v>31</v>
      </c>
      <c r="R31" s="3">
        <f ca="1">_xlfn.XLOOKUP(View[[#This Row],[ID]],Opportunities[ID],Opportunities[NextMilestoneDate])-TODAY()</f>
        <v>42</v>
      </c>
      <c r="S3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31" s="1">
        <f>_xlfn.XLOOKUP(View[[#This Row],[ID]],Opportunities[ID],Opportunities[Weighted])/1000</f>
        <v>153.773</v>
      </c>
      <c r="U31" s="4">
        <f>_xlfn.XLOOKUP(View[[#This Row],[ID]],Opportunities[ID],Opportunities[Amount])/1000</f>
        <v>768.86500000000001</v>
      </c>
      <c r="V31" t="b">
        <f>View[[#This Row],[Win Probability]]="High"</f>
        <v>0</v>
      </c>
      <c r="W31">
        <f>SUBTOTAL(103, View[[#This Row],[Status]])</f>
        <v>1</v>
      </c>
    </row>
    <row r="32" spans="8:23" x14ac:dyDescent="0.25">
      <c r="H32" s="51" t="str">
        <f>_xlfn.XLOOKUP(View[[#This Row],[ID]],Opportunities[ID],Opportunities[Status])</f>
        <v>Active</v>
      </c>
      <c r="I32" s="33" t="str">
        <f>HYPERLINK(siteUrl&amp;"Lists/"&amp;oppList&amp;"/DispForm.aspx?ID="&amp;View[[#This Row],[ID]],_xlfn.XLOOKUP(View[[#This Row],[ID]],Opportunities[ID],Opportunities[OpportunityName]))</f>
        <v>Security Assessment &amp; Audit</v>
      </c>
      <c r="J32" s="45" t="str">
        <f>HYPERLINK(_xlfn.XLOOKUP(View[[#This Row],[ID]],Opportunities[ID],Opportunities[CustomerRecordURL]),_xlfn.XLOOKUP(View[[#This Row],[ID]],Opportunities[ID],Opportunities[Customer Name]))</f>
        <v>Real Estate Ventures</v>
      </c>
      <c r="K32" s="34" t="str">
        <f>_xlfn.XLOOKUP(View[[#This Row],[ID]],Opportunities[ID],Opportunities[DisplayStage])</f>
        <v>➁ - Nurturing</v>
      </c>
      <c r="L32" s="1">
        <f>IF(pipelineType="Unweighted",_xlfn.XLOOKUP(View[[#This Row],[ID]],Opportunities[ID],Opportunities[Amount])/1000,_xlfn.XLOOKUP(View[[#This Row],[ID]],Opportunities[ID],Opportunities[Weighted])/1000)</f>
        <v>1153.7249999999999</v>
      </c>
      <c r="M32" s="27" t="str">
        <f>_xlfn.XLOOKUP(View[[#This Row],[ID]],Opportunities[ID],Opportunities[WinProbDisplay])</f>
        <v>← Medium</v>
      </c>
      <c r="N32" s="28">
        <f>View[[#This Row],[Estmated Revenue]]</f>
        <v>461.49</v>
      </c>
      <c r="O32" s="2">
        <f>_xlfn.XLOOKUP(View[[#This Row],[ID]],Opportunities[ID],Opportunities[Close])</f>
        <v>45918</v>
      </c>
      <c r="P32" s="24" t="str">
        <f>IF(_xlfn.XLOOKUP(View[[#This Row],[ID]],Opportunities[ID],Opportunities[Comment Log])=0,"",_xlfn.XLOOKUP(View[[#This Row],[ID]],Opportunities[ID],Opportunities[Comment Log]))</f>
        <v/>
      </c>
      <c r="Q32">
        <v>3</v>
      </c>
      <c r="R32" s="3">
        <f ca="1">_xlfn.XLOOKUP(View[[#This Row],[ID]],Opportunities[ID],Opportunities[NextMilestoneDate])-TODAY()</f>
        <v>44</v>
      </c>
      <c r="S3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32" s="1">
        <f>_xlfn.XLOOKUP(View[[#This Row],[ID]],Opportunities[ID],Opportunities[Weighted])/1000</f>
        <v>461.49</v>
      </c>
      <c r="U32" s="4">
        <f>_xlfn.XLOOKUP(View[[#This Row],[ID]],Opportunities[ID],Opportunities[Amount])/1000</f>
        <v>1153.7249999999999</v>
      </c>
      <c r="V32" t="b">
        <f>View[[#This Row],[Win Probability]]="High"</f>
        <v>0</v>
      </c>
      <c r="W32">
        <f>SUBTOTAL(103, View[[#This Row],[Status]])</f>
        <v>1</v>
      </c>
    </row>
    <row r="33" spans="8:23" x14ac:dyDescent="0.25">
      <c r="H33" s="51" t="str">
        <f>_xlfn.XLOOKUP(View[[#This Row],[ID]],Opportunities[ID],Opportunities[Status])</f>
        <v>Active</v>
      </c>
      <c r="I33" s="33" t="str">
        <f>HYPERLINK(siteUrl&amp;"Lists/"&amp;oppList&amp;"/DispForm.aspx?ID="&amp;View[[#This Row],[ID]],_xlfn.XLOOKUP(View[[#This Row],[ID]],Opportunities[ID],Opportunities[OpportunityName]))</f>
        <v>Inventory Management Solution</v>
      </c>
      <c r="J33" s="45" t="str">
        <f>HYPERLINK(_xlfn.XLOOKUP(View[[#This Row],[ID]],Opportunities[ID],Opportunities[CustomerRecordURL]),_xlfn.XLOOKUP(View[[#This Row],[ID]],Opportunities[ID],Opportunities[Customer Name]))</f>
        <v>Transport Logistics</v>
      </c>
      <c r="K33" s="34" t="str">
        <f>_xlfn.XLOOKUP(View[[#This Row],[ID]],Opportunities[ID],Opportunities[DisplayStage])</f>
        <v>➂ - Proposal</v>
      </c>
      <c r="L33" s="1">
        <f>IF(pipelineType="Unweighted",_xlfn.XLOOKUP(View[[#This Row],[ID]],Opportunities[ID],Opportunities[Amount])/1000,_xlfn.XLOOKUP(View[[#This Row],[ID]],Opportunities[ID],Opportunities[Weighted])/1000)</f>
        <v>1524.787</v>
      </c>
      <c r="M33" s="27" t="str">
        <f>_xlfn.XLOOKUP(View[[#This Row],[ID]],Opportunities[ID],Opportunities[WinProbDisplay])</f>
        <v>↖ High</v>
      </c>
      <c r="N33" s="28">
        <f>View[[#This Row],[Estmated Revenue]]</f>
        <v>1372.3083000000001</v>
      </c>
      <c r="O33" s="2">
        <f>_xlfn.XLOOKUP(View[[#This Row],[ID]],Opportunities[ID],Opportunities[Close])</f>
        <v>46167</v>
      </c>
      <c r="P33" s="24" t="str">
        <f>IF(_xlfn.XLOOKUP(View[[#This Row],[ID]],Opportunities[ID],Opportunities[Comment Log])=0,"",_xlfn.XLOOKUP(View[[#This Row],[ID]],Opportunities[ID],Opportunities[Comment Log]))</f>
        <v/>
      </c>
      <c r="Q33">
        <v>22</v>
      </c>
      <c r="R33" s="3">
        <f ca="1">_xlfn.XLOOKUP(View[[#This Row],[ID]],Opportunities[ID],Opportunities[NextMilestoneDate])-TODAY()</f>
        <v>47</v>
      </c>
      <c r="S3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3" s="1">
        <f>_xlfn.XLOOKUP(View[[#This Row],[ID]],Opportunities[ID],Opportunities[Weighted])/1000</f>
        <v>1372.3083000000001</v>
      </c>
      <c r="U33" s="4">
        <f>_xlfn.XLOOKUP(View[[#This Row],[ID]],Opportunities[ID],Opportunities[Amount])/1000</f>
        <v>1524.787</v>
      </c>
      <c r="V33" t="b">
        <f>View[[#This Row],[Win Probability]]="High"</f>
        <v>0</v>
      </c>
      <c r="W33">
        <f>SUBTOTAL(103, View[[#This Row],[Status]])</f>
        <v>1</v>
      </c>
    </row>
    <row r="34" spans="8:23" x14ac:dyDescent="0.25">
      <c r="H34" s="51" t="str">
        <f>_xlfn.XLOOKUP(View[[#This Row],[ID]],Opportunities[ID],Opportunities[Status])</f>
        <v>Active</v>
      </c>
      <c r="I34" s="33" t="str">
        <f>HYPERLINK(siteUrl&amp;"Lists/"&amp;oppList&amp;"/DispForm.aspx?ID="&amp;View[[#This Row],[ID]],_xlfn.XLOOKUP(View[[#This Row],[ID]],Opportunities[ID],Opportunities[OpportunityName]))</f>
        <v>Network Infrastructure Upgrade</v>
      </c>
      <c r="J34" s="45" t="str">
        <f>HYPERLINK(_xlfn.XLOOKUP(View[[#This Row],[ID]],Opportunities[ID],Opportunities[CustomerRecordURL]),_xlfn.XLOOKUP(View[[#This Row],[ID]],Opportunities[ID],Opportunities[Customer Name]))</f>
        <v>Media Communications</v>
      </c>
      <c r="K34" s="34" t="str">
        <f>_xlfn.XLOOKUP(View[[#This Row],[ID]],Opportunities[ID],Opportunities[DisplayStage])</f>
        <v>➄ - Project Execution</v>
      </c>
      <c r="L34" s="1">
        <f>IF(pipelineType="Unweighted",_xlfn.XLOOKUP(View[[#This Row],[ID]],Opportunities[ID],Opportunities[Amount])/1000,_xlfn.XLOOKUP(View[[#This Row],[ID]],Opportunities[ID],Opportunities[Weighted])/1000)</f>
        <v>1002.514</v>
      </c>
      <c r="M34" s="27" t="str">
        <f>_xlfn.XLOOKUP(View[[#This Row],[ID]],Opportunities[ID],Opportunities[WinProbDisplay])</f>
        <v>← Medium</v>
      </c>
      <c r="N34" s="28">
        <f>View[[#This Row],[Estmated Revenue]]</f>
        <v>401.00560000000002</v>
      </c>
      <c r="O34" s="2">
        <f>_xlfn.XLOOKUP(View[[#This Row],[ID]],Opportunities[ID],Opportunities[Close])</f>
        <v>46330</v>
      </c>
      <c r="P34" s="24" t="str">
        <f>IF(_xlfn.XLOOKUP(View[[#This Row],[ID]],Opportunities[ID],Opportunities[Comment Log])=0,"",_xlfn.XLOOKUP(View[[#This Row],[ID]],Opportunities[ID],Opportunities[Comment Log]))</f>
        <v/>
      </c>
      <c r="Q34">
        <v>7</v>
      </c>
      <c r="R34" s="3">
        <f ca="1">_xlfn.XLOOKUP(View[[#This Row],[ID]],Opportunities[ID],Opportunities[NextMilestoneDate])-TODAY()</f>
        <v>7</v>
      </c>
      <c r="S3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4" s="1">
        <f>_xlfn.XLOOKUP(View[[#This Row],[ID]],Opportunities[ID],Opportunities[Weighted])/1000</f>
        <v>401.00560000000002</v>
      </c>
      <c r="U34" s="4">
        <f>_xlfn.XLOOKUP(View[[#This Row],[ID]],Opportunities[ID],Opportunities[Amount])/1000</f>
        <v>1002.514</v>
      </c>
      <c r="V34" t="b">
        <f>View[[#This Row],[Win Probability]]="High"</f>
        <v>0</v>
      </c>
      <c r="W34">
        <f>SUBTOTAL(103, View[[#This Row],[Status]])</f>
        <v>1</v>
      </c>
    </row>
    <row r="35" spans="8:23" x14ac:dyDescent="0.25">
      <c r="H35" s="51" t="str">
        <f>_xlfn.XLOOKUP(View[[#This Row],[ID]],Opportunities[ID],Opportunities[Status])</f>
        <v>Active</v>
      </c>
      <c r="I35" s="33" t="str">
        <f>HYPERLINK(siteUrl&amp;"Lists/"&amp;oppList&amp;"/DispForm.aspx?ID="&amp;View[[#This Row],[ID]],_xlfn.XLOOKUP(View[[#This Row],[ID]],Opportunities[ID],Opportunities[OpportunityName]))</f>
        <v>Point of Sale System</v>
      </c>
      <c r="J35" s="45" t="str">
        <f>HYPERLINK(_xlfn.XLOOKUP(View[[#This Row],[ID]],Opportunities[ID],Opportunities[CustomerRecordURL]),_xlfn.XLOOKUP(View[[#This Row],[ID]],Opportunities[ID],Opportunities[Customer Name]))</f>
        <v>Transport Logistics</v>
      </c>
      <c r="K35" s="34" t="str">
        <f>_xlfn.XLOOKUP(View[[#This Row],[ID]],Opportunities[ID],Opportunities[DisplayStage])</f>
        <v>➃ - Negotiation</v>
      </c>
      <c r="L35" s="1">
        <f>IF(pipelineType="Unweighted",_xlfn.XLOOKUP(View[[#This Row],[ID]],Opportunities[ID],Opportunities[Amount])/1000,_xlfn.XLOOKUP(View[[#This Row],[ID]],Opportunities[ID],Opportunities[Weighted])/1000)</f>
        <v>1136.222</v>
      </c>
      <c r="M35" s="27" t="str">
        <f>_xlfn.XLOOKUP(View[[#This Row],[ID]],Opportunities[ID],Opportunities[WinProbDisplay])</f>
        <v>↙ Low</v>
      </c>
      <c r="N35" s="28">
        <f>View[[#This Row],[Estmated Revenue]]</f>
        <v>227.24440000000001</v>
      </c>
      <c r="O35" s="2">
        <f>_xlfn.XLOOKUP(View[[#This Row],[ID]],Opportunities[ID],Opportunities[Close])</f>
        <v>45909</v>
      </c>
      <c r="P35" s="24" t="str">
        <f>IF(_xlfn.XLOOKUP(View[[#This Row],[ID]],Opportunities[ID],Opportunities[Comment Log])=0,"",_xlfn.XLOOKUP(View[[#This Row],[ID]],Opportunities[ID],Opportunities[Comment Log]))</f>
        <v/>
      </c>
      <c r="Q35">
        <v>23</v>
      </c>
      <c r="R35" s="3">
        <f ca="1">_xlfn.XLOOKUP(View[[#This Row],[ID]],Opportunities[ID],Opportunities[NextMilestoneDate])-TODAY()</f>
        <v>42</v>
      </c>
      <c r="S3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35" s="1">
        <f>_xlfn.XLOOKUP(View[[#This Row],[ID]],Opportunities[ID],Opportunities[Weighted])/1000</f>
        <v>227.24440000000001</v>
      </c>
      <c r="U35" s="4">
        <f>_xlfn.XLOOKUP(View[[#This Row],[ID]],Opportunities[ID],Opportunities[Amount])/1000</f>
        <v>1136.222</v>
      </c>
      <c r="V35" t="b">
        <f>View[[#This Row],[Win Probability]]="High"</f>
        <v>0</v>
      </c>
      <c r="W35">
        <f>SUBTOTAL(103, View[[#This Row],[Status]])</f>
        <v>1</v>
      </c>
    </row>
    <row r="36" spans="8:23" x14ac:dyDescent="0.25">
      <c r="H36" s="51" t="str">
        <f>_xlfn.XLOOKUP(View[[#This Row],[ID]],Opportunities[ID],Opportunities[Status])</f>
        <v>Active</v>
      </c>
      <c r="I36" s="33" t="str">
        <f>HYPERLINK(siteUrl&amp;"Lists/"&amp;oppList&amp;"/DispForm.aspx?ID="&amp;View[[#This Row],[ID]],_xlfn.XLOOKUP(View[[#This Row],[ID]],Opportunities[ID],Opportunities[OpportunityName]))</f>
        <v>Integration Services Project</v>
      </c>
      <c r="J36" s="45" t="str">
        <f>HYPERLINK(_xlfn.XLOOKUP(View[[#This Row],[ID]],Opportunities[ID],Opportunities[CustomerRecordURL]),_xlfn.XLOOKUP(View[[#This Row],[ID]],Opportunities[ID],Opportunities[Customer Name]))</f>
        <v>ACME Corporation</v>
      </c>
      <c r="K36" s="34" t="str">
        <f>_xlfn.XLOOKUP(View[[#This Row],[ID]],Opportunities[ID],Opportunities[DisplayStage])</f>
        <v>➄ - Project Execution</v>
      </c>
      <c r="L36" s="1">
        <f>IF(pipelineType="Unweighted",_xlfn.XLOOKUP(View[[#This Row],[ID]],Opportunities[ID],Opportunities[Amount])/1000,_xlfn.XLOOKUP(View[[#This Row],[ID]],Opportunities[ID],Opportunities[Weighted])/1000)</f>
        <v>1199.2270000000001</v>
      </c>
      <c r="M36" s="27" t="str">
        <f>_xlfn.XLOOKUP(View[[#This Row],[ID]],Opportunities[ID],Opportunities[WinProbDisplay])</f>
        <v>← Medium</v>
      </c>
      <c r="N36" s="28">
        <f>View[[#This Row],[Estmated Revenue]]</f>
        <v>479.69080000000002</v>
      </c>
      <c r="O36" s="2">
        <f>_xlfn.XLOOKUP(View[[#This Row],[ID]],Opportunities[ID],Opportunities[Close])</f>
        <v>46367</v>
      </c>
      <c r="P36" s="24" t="str">
        <f>IF(_xlfn.XLOOKUP(View[[#This Row],[ID]],Opportunities[ID],Opportunities[Comment Log])=0,"",_xlfn.XLOOKUP(View[[#This Row],[ID]],Opportunities[ID],Opportunities[Comment Log]))</f>
        <v/>
      </c>
      <c r="Q36">
        <v>36</v>
      </c>
      <c r="R36" s="3">
        <f ca="1">_xlfn.XLOOKUP(View[[#This Row],[ID]],Opportunities[ID],Opportunities[NextMilestoneDate])-TODAY()</f>
        <v>48</v>
      </c>
      <c r="S3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6" s="1">
        <f>_xlfn.XLOOKUP(View[[#This Row],[ID]],Opportunities[ID],Opportunities[Weighted])/1000</f>
        <v>479.69080000000002</v>
      </c>
      <c r="U36" s="4">
        <f>_xlfn.XLOOKUP(View[[#This Row],[ID]],Opportunities[ID],Opportunities[Amount])/1000</f>
        <v>1199.2270000000001</v>
      </c>
      <c r="V36" t="b">
        <f>View[[#This Row],[Win Probability]]="High"</f>
        <v>0</v>
      </c>
      <c r="W36">
        <f>SUBTOTAL(103, View[[#This Row],[Status]])</f>
        <v>1</v>
      </c>
    </row>
    <row r="37" spans="8:23" x14ac:dyDescent="0.25">
      <c r="H37" s="51" t="str">
        <f>_xlfn.XLOOKUP(View[[#This Row],[ID]],Opportunities[ID],Opportunities[Status])</f>
        <v>At Risk</v>
      </c>
      <c r="I37" s="33" t="str">
        <f>HYPERLINK(siteUrl&amp;"Lists/"&amp;oppList&amp;"/DispForm.aspx?ID="&amp;View[[#This Row],[ID]],_xlfn.XLOOKUP(View[[#This Row],[ID]],Opportunities[ID],Opportunities[OpportunityName]))</f>
        <v>Quality Management System</v>
      </c>
      <c r="J37" s="45" t="str">
        <f>HYPERLINK(_xlfn.XLOOKUP(View[[#This Row],[ID]],Opportunities[ID],Opportunities[CustomerRecordURL]),_xlfn.XLOOKUP(View[[#This Row],[ID]],Opportunities[ID],Opportunities[Customer Name]))</f>
        <v>Environmental Services</v>
      </c>
      <c r="K37" s="34" t="str">
        <f>_xlfn.XLOOKUP(View[[#This Row],[ID]],Opportunities[ID],Opportunities[DisplayStage])</f>
        <v>➂ - Proposal</v>
      </c>
      <c r="L37" s="1">
        <f>IF(pipelineType="Unweighted",_xlfn.XLOOKUP(View[[#This Row],[ID]],Opportunities[ID],Opportunities[Amount])/1000,_xlfn.XLOOKUP(View[[#This Row],[ID]],Opportunities[ID],Opportunities[Weighted])/1000)</f>
        <v>945.28399999999999</v>
      </c>
      <c r="M37" s="27" t="str">
        <f>_xlfn.XLOOKUP(View[[#This Row],[ID]],Opportunities[ID],Opportunities[WinProbDisplay])</f>
        <v>← Medium</v>
      </c>
      <c r="N37" s="28">
        <f>View[[#This Row],[Estmated Revenue]]</f>
        <v>378.11360000000002</v>
      </c>
      <c r="O37" s="2">
        <f>_xlfn.XLOOKUP(View[[#This Row],[ID]],Opportunities[ID],Opportunities[Close])</f>
        <v>46059</v>
      </c>
      <c r="P37" s="24" t="str">
        <f>IF(_xlfn.XLOOKUP(View[[#This Row],[ID]],Opportunities[ID],Opportunities[Comment Log])=0,"",_xlfn.XLOOKUP(View[[#This Row],[ID]],Opportunities[ID],Opportunities[Comment Log]))</f>
        <v/>
      </c>
      <c r="Q37">
        <v>16</v>
      </c>
      <c r="R37" s="3">
        <f ca="1">_xlfn.XLOOKUP(View[[#This Row],[ID]],Opportunities[ID],Opportunities[NextMilestoneDate])-TODAY()</f>
        <v>52</v>
      </c>
      <c r="S3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37" s="1">
        <f>_xlfn.XLOOKUP(View[[#This Row],[ID]],Opportunities[ID],Opportunities[Weighted])/1000</f>
        <v>378.11360000000002</v>
      </c>
      <c r="U37" s="4">
        <f>_xlfn.XLOOKUP(View[[#This Row],[ID]],Opportunities[ID],Opportunities[Amount])/1000</f>
        <v>945.28399999999999</v>
      </c>
      <c r="V37" t="b">
        <f>View[[#This Row],[Win Probability]]="High"</f>
        <v>0</v>
      </c>
      <c r="W37">
        <f>SUBTOTAL(103, View[[#This Row],[Status]])</f>
        <v>1</v>
      </c>
    </row>
    <row r="38" spans="8:23" x14ac:dyDescent="0.25">
      <c r="H38" s="51" t="str">
        <f>_xlfn.XLOOKUP(View[[#This Row],[ID]],Opportunities[ID],Opportunities[Status])</f>
        <v>Active</v>
      </c>
      <c r="I38" s="33" t="str">
        <f>HYPERLINK(siteUrl&amp;"Lists/"&amp;oppList&amp;"/DispForm.aspx?ID="&amp;View[[#This Row],[ID]],_xlfn.XLOOKUP(View[[#This Row],[ID]],Opportunities[ID],Opportunities[OpportunityName]))</f>
        <v>Document Management System</v>
      </c>
      <c r="J38" s="45" t="str">
        <f>HYPERLINK(_xlfn.XLOOKUP(View[[#This Row],[ID]],Opportunities[ID],Opportunities[CustomerRecordURL]),_xlfn.XLOOKUP(View[[#This Row],[ID]],Opportunities[ID],Opportunities[Customer Name]))</f>
        <v>Global Industries</v>
      </c>
      <c r="K38" s="34" t="str">
        <f>_xlfn.XLOOKUP(View[[#This Row],[ID]],Opportunities[ID],Opportunities[DisplayStage])</f>
        <v>➀ - Lead Qualification</v>
      </c>
      <c r="L38" s="1">
        <f>IF(pipelineType="Unweighted",_xlfn.XLOOKUP(View[[#This Row],[ID]],Opportunities[ID],Opportunities[Amount])/1000,_xlfn.XLOOKUP(View[[#This Row],[ID]],Opportunities[ID],Opportunities[Weighted])/1000)</f>
        <v>1061.325</v>
      </c>
      <c r="M38" s="27" t="str">
        <f>_xlfn.XLOOKUP(View[[#This Row],[ID]],Opportunities[ID],Opportunities[WinProbDisplay])</f>
        <v>← Medium</v>
      </c>
      <c r="N38" s="28">
        <f>View[[#This Row],[Estmated Revenue]]</f>
        <v>424.53</v>
      </c>
      <c r="O38" s="2">
        <f>_xlfn.XLOOKUP(View[[#This Row],[ID]],Opportunities[ID],Opportunities[Close])</f>
        <v>46204</v>
      </c>
      <c r="P38" s="24" t="str">
        <f>IF(_xlfn.XLOOKUP(View[[#This Row],[ID]],Opportunities[ID],Opportunities[Comment Log])=0,"",_xlfn.XLOOKUP(View[[#This Row],[ID]],Opportunities[ID],Opportunities[Comment Log]))</f>
        <v/>
      </c>
      <c r="Q38">
        <v>14</v>
      </c>
      <c r="R38" s="3">
        <f ca="1">_xlfn.XLOOKUP(View[[#This Row],[ID]],Opportunities[ID],Opportunities[NextMilestoneDate])-TODAY()</f>
        <v>11</v>
      </c>
      <c r="S3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8" s="1">
        <f>_xlfn.XLOOKUP(View[[#This Row],[ID]],Opportunities[ID],Opportunities[Weighted])/1000</f>
        <v>424.53</v>
      </c>
      <c r="U38" s="4">
        <f>_xlfn.XLOOKUP(View[[#This Row],[ID]],Opportunities[ID],Opportunities[Amount])/1000</f>
        <v>1061.325</v>
      </c>
      <c r="V38" t="b">
        <f>View[[#This Row],[Win Probability]]="High"</f>
        <v>0</v>
      </c>
      <c r="W38">
        <f>SUBTOTAL(103, View[[#This Row],[Status]])</f>
        <v>1</v>
      </c>
    </row>
    <row r="39" spans="8:23" x14ac:dyDescent="0.25">
      <c r="H39" s="51" t="str">
        <f>_xlfn.XLOOKUP(View[[#This Row],[ID]],Opportunities[ID],Opportunities[Status])</f>
        <v>Active</v>
      </c>
      <c r="I39" s="33" t="str">
        <f>HYPERLINK(siteUrl&amp;"Lists/"&amp;oppList&amp;"/DispForm.aspx?ID="&amp;View[[#This Row],[ID]],_xlfn.XLOOKUP(View[[#This Row],[ID]],Opportunities[ID],Opportunities[OpportunityName]))</f>
        <v>Database Migration Project</v>
      </c>
      <c r="J39" s="45" t="str">
        <f>HYPERLINK(_xlfn.XLOOKUP(View[[#This Row],[ID]],Opportunities[ID],Opportunities[CustomerRecordURL]),_xlfn.XLOOKUP(View[[#This Row],[ID]],Opportunities[ID],Opportunities[Customer Name]))</f>
        <v>Automotive Parts Plus</v>
      </c>
      <c r="K39" s="34" t="str">
        <f>_xlfn.XLOOKUP(View[[#This Row],[ID]],Opportunities[ID],Opportunities[DisplayStage])</f>
        <v>➅ - Closeout</v>
      </c>
      <c r="L39" s="1">
        <f>IF(pipelineType="Unweighted",_xlfn.XLOOKUP(View[[#This Row],[ID]],Opportunities[ID],Opportunities[Amount])/1000,_xlfn.XLOOKUP(View[[#This Row],[ID]],Opportunities[ID],Opportunities[Weighted])/1000)</f>
        <v>1236.123</v>
      </c>
      <c r="M39" s="27" t="str">
        <f>_xlfn.XLOOKUP(View[[#This Row],[ID]],Opportunities[ID],Opportunities[WinProbDisplay])</f>
        <v>← Medium</v>
      </c>
      <c r="N39" s="28">
        <f>View[[#This Row],[Estmated Revenue]]</f>
        <v>494.44920000000002</v>
      </c>
      <c r="O39" s="2">
        <f>_xlfn.XLOOKUP(View[[#This Row],[ID]],Opportunities[ID],Opportunities[Close])</f>
        <v>45943</v>
      </c>
      <c r="P39" s="24" t="str">
        <f>IF(_xlfn.XLOOKUP(View[[#This Row],[ID]],Opportunities[ID],Opportunities[Comment Log])=0,"",_xlfn.XLOOKUP(View[[#This Row],[ID]],Opportunities[ID],Opportunities[Comment Log]))</f>
        <v/>
      </c>
      <c r="Q39">
        <v>37</v>
      </c>
      <c r="R39" s="3">
        <f ca="1">_xlfn.XLOOKUP(View[[#This Row],[ID]],Opportunities[ID],Opportunities[NextMilestoneDate])-TODAY()</f>
        <v>10</v>
      </c>
      <c r="S3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39" s="1">
        <f>_xlfn.XLOOKUP(View[[#This Row],[ID]],Opportunities[ID],Opportunities[Weighted])/1000</f>
        <v>494.44920000000002</v>
      </c>
      <c r="U39" s="4">
        <f>_xlfn.XLOOKUP(View[[#This Row],[ID]],Opportunities[ID],Opportunities[Amount])/1000</f>
        <v>1236.123</v>
      </c>
      <c r="V39" t="b">
        <f>View[[#This Row],[Win Probability]]="High"</f>
        <v>0</v>
      </c>
      <c r="W39">
        <f>SUBTOTAL(103, View[[#This Row],[Status]])</f>
        <v>1</v>
      </c>
    </row>
    <row r="40" spans="8:23" x14ac:dyDescent="0.25">
      <c r="H40" s="51" t="str">
        <f>_xlfn.XLOOKUP(View[[#This Row],[ID]],Opportunities[ID],Opportunities[Status])</f>
        <v>Active</v>
      </c>
      <c r="I40" s="33" t="str">
        <f>HYPERLINK(siteUrl&amp;"Lists/"&amp;oppList&amp;"/DispForm.aspx?ID="&amp;View[[#This Row],[ID]],_xlfn.XLOOKUP(View[[#This Row],[ID]],Opportunities[ID],Opportunities[OpportunityName]))</f>
        <v>ERP Implementation Project</v>
      </c>
      <c r="J40" s="45" t="str">
        <f>HYPERLINK(_xlfn.XLOOKUP(View[[#This Row],[ID]],Opportunities[ID],Opportunities[CustomerRecordURL]),_xlfn.XLOOKUP(View[[#This Row],[ID]],Opportunities[ID],Opportunities[Customer Name]))</f>
        <v>Agricultural Systems</v>
      </c>
      <c r="K40" s="34" t="str">
        <f>_xlfn.XLOOKUP(View[[#This Row],[ID]],Opportunities[ID],Opportunities[DisplayStage])</f>
        <v>➀ - Lead Qualification</v>
      </c>
      <c r="L40" s="1">
        <f>IF(pipelineType="Unweighted",_xlfn.XLOOKUP(View[[#This Row],[ID]],Opportunities[ID],Opportunities[Amount])/1000,_xlfn.XLOOKUP(View[[#This Row],[ID]],Opportunities[ID],Opportunities[Weighted])/1000)</f>
        <v>1488.0429999999999</v>
      </c>
      <c r="M40" s="27" t="str">
        <f>_xlfn.XLOOKUP(View[[#This Row],[ID]],Opportunities[ID],Opportunities[WinProbDisplay])</f>
        <v>↙ Low</v>
      </c>
      <c r="N40" s="28">
        <f>View[[#This Row],[Estmated Revenue]]</f>
        <v>297.60860000000002</v>
      </c>
      <c r="O40" s="2">
        <f>_xlfn.XLOOKUP(View[[#This Row],[ID]],Opportunities[ID],Opportunities[Close])</f>
        <v>46157</v>
      </c>
      <c r="P40" s="24" t="str">
        <f>IF(_xlfn.XLOOKUP(View[[#This Row],[ID]],Opportunities[ID],Opportunities[Comment Log])=0,"",_xlfn.XLOOKUP(View[[#This Row],[ID]],Opportunities[ID],Opportunities[Comment Log]))</f>
        <v/>
      </c>
      <c r="Q40">
        <v>1</v>
      </c>
      <c r="R40" s="3">
        <f ca="1">_xlfn.XLOOKUP(View[[#This Row],[ID]],Opportunities[ID],Opportunities[NextMilestoneDate])-TODAY()</f>
        <v>17</v>
      </c>
      <c r="S4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0" s="1">
        <f>_xlfn.XLOOKUP(View[[#This Row],[ID]],Opportunities[ID],Opportunities[Weighted])/1000</f>
        <v>297.60860000000002</v>
      </c>
      <c r="U40" s="4">
        <f>_xlfn.XLOOKUP(View[[#This Row],[ID]],Opportunities[ID],Opportunities[Amount])/1000</f>
        <v>1488.0429999999999</v>
      </c>
      <c r="V40" t="b">
        <f>View[[#This Row],[Win Probability]]="High"</f>
        <v>0</v>
      </c>
      <c r="W40">
        <f>SUBTOTAL(103, View[[#This Row],[Status]])</f>
        <v>1</v>
      </c>
    </row>
    <row r="41" spans="8:23" x14ac:dyDescent="0.25">
      <c r="H41" s="51" t="str">
        <f>_xlfn.XLOOKUP(View[[#This Row],[ID]],Opportunities[ID],Opportunities[Status])</f>
        <v>Active</v>
      </c>
      <c r="I41" s="33" t="str">
        <f>HYPERLINK(siteUrl&amp;"Lists/"&amp;oppList&amp;"/DispForm.aspx?ID="&amp;View[[#This Row],[ID]],_xlfn.XLOOKUP(View[[#This Row],[ID]],Opportunities[ID],Opportunities[OpportunityName]))</f>
        <v>Video Conferencing Solution</v>
      </c>
      <c r="J41" s="45" t="str">
        <f>HYPERLINK(_xlfn.XLOOKUP(View[[#This Row],[ID]],Opportunities[ID],Opportunities[CustomerRecordURL]),_xlfn.XLOOKUP(View[[#This Row],[ID]],Opportunities[ID],Opportunities[Customer Name]))</f>
        <v>ACME Corporation</v>
      </c>
      <c r="K41" s="34" t="str">
        <f>_xlfn.XLOOKUP(View[[#This Row],[ID]],Opportunities[ID],Opportunities[DisplayStage])</f>
        <v>➀ - Lead Qualification</v>
      </c>
      <c r="L41" s="1">
        <f>IF(pipelineType="Unweighted",_xlfn.XLOOKUP(View[[#This Row],[ID]],Opportunities[ID],Opportunities[Amount])/1000,_xlfn.XLOOKUP(View[[#This Row],[ID]],Opportunities[ID],Opportunities[Weighted])/1000)</f>
        <v>816.45399999999995</v>
      </c>
      <c r="M41" s="27" t="str">
        <f>_xlfn.XLOOKUP(View[[#This Row],[ID]],Opportunities[ID],Opportunities[WinProbDisplay])</f>
        <v>← Medium</v>
      </c>
      <c r="N41" s="28">
        <f>View[[#This Row],[Estmated Revenue]]</f>
        <v>326.58160000000004</v>
      </c>
      <c r="O41" s="2">
        <f>_xlfn.XLOOKUP(View[[#This Row],[ID]],Opportunities[ID],Opportunities[Close])</f>
        <v>45895</v>
      </c>
      <c r="P41" s="24" t="str">
        <f>IF(_xlfn.XLOOKUP(View[[#This Row],[ID]],Opportunities[ID],Opportunities[Comment Log])=0,"",_xlfn.XLOOKUP(View[[#This Row],[ID]],Opportunities[ID],Opportunities[Comment Log]))</f>
        <v/>
      </c>
      <c r="Q41">
        <v>26</v>
      </c>
      <c r="R41" s="3">
        <f ca="1">_xlfn.XLOOKUP(View[[#This Row],[ID]],Opportunities[ID],Opportunities[NextMilestoneDate])-TODAY()</f>
        <v>52</v>
      </c>
      <c r="S4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41" s="1">
        <f>_xlfn.XLOOKUP(View[[#This Row],[ID]],Opportunities[ID],Opportunities[Weighted])/1000</f>
        <v>326.58160000000004</v>
      </c>
      <c r="U41" s="4">
        <f>_xlfn.XLOOKUP(View[[#This Row],[ID]],Opportunities[ID],Opportunities[Amount])/1000</f>
        <v>816.45399999999995</v>
      </c>
      <c r="V41" t="b">
        <f>View[[#This Row],[Win Probability]]="High"</f>
        <v>0</v>
      </c>
      <c r="W41">
        <f>SUBTOTAL(103, View[[#This Row],[Status]])</f>
        <v>1</v>
      </c>
    </row>
    <row r="42" spans="8:23" x14ac:dyDescent="0.25">
      <c r="H42" s="51" t="str">
        <f>_xlfn.XLOOKUP(View[[#This Row],[ID]],Opportunities[ID],Opportunities[Status])</f>
        <v>Active</v>
      </c>
      <c r="I42" s="33" t="str">
        <f>HYPERLINK(siteUrl&amp;"Lists/"&amp;oppList&amp;"/DispForm.aspx?ID="&amp;View[[#This Row],[ID]],_xlfn.XLOOKUP(View[[#This Row],[ID]],Opportunities[ID],Opportunities[OpportunityName]))</f>
        <v>Financial Planning Software</v>
      </c>
      <c r="J42" s="45" t="str">
        <f>HYPERLINK(_xlfn.XLOOKUP(View[[#This Row],[ID]],Opportunities[ID],Opportunities[CustomerRecordURL]),_xlfn.XLOOKUP(View[[#This Row],[ID]],Opportunities[ID],Opportunities[Customer Name]))</f>
        <v>Construction Dynamics</v>
      </c>
      <c r="K42" s="34" t="str">
        <f>_xlfn.XLOOKUP(View[[#This Row],[ID]],Opportunities[ID],Opportunities[DisplayStage])</f>
        <v>➀ - Lead Qualification</v>
      </c>
      <c r="L42" s="1">
        <f>IF(pipelineType="Unweighted",_xlfn.XLOOKUP(View[[#This Row],[ID]],Opportunities[ID],Opportunities[Amount])/1000,_xlfn.XLOOKUP(View[[#This Row],[ID]],Opportunities[ID],Opportunities[Weighted])/1000)</f>
        <v>2218.1280000000002</v>
      </c>
      <c r="M42" s="27" t="str">
        <f>_xlfn.XLOOKUP(View[[#This Row],[ID]],Opportunities[ID],Opportunities[WinProbDisplay])</f>
        <v>← Medium</v>
      </c>
      <c r="N42" s="28">
        <f>View[[#This Row],[Estmated Revenue]]</f>
        <v>887.25120000000004</v>
      </c>
      <c r="O42" s="2">
        <f>_xlfn.XLOOKUP(View[[#This Row],[ID]],Opportunities[ID],Opportunities[Close])</f>
        <v>46153</v>
      </c>
      <c r="P42" s="24" t="str">
        <f>IF(_xlfn.XLOOKUP(View[[#This Row],[ID]],Opportunities[ID],Opportunities[Comment Log])=0,"",_xlfn.XLOOKUP(View[[#This Row],[ID]],Opportunities[ID],Opportunities[Comment Log]))</f>
        <v/>
      </c>
      <c r="Q42">
        <v>18</v>
      </c>
      <c r="R42" s="3">
        <f ca="1">_xlfn.XLOOKUP(View[[#This Row],[ID]],Opportunities[ID],Opportunities[NextMilestoneDate])-TODAY()</f>
        <v>45</v>
      </c>
      <c r="S4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2" s="1">
        <f>_xlfn.XLOOKUP(View[[#This Row],[ID]],Opportunities[ID],Opportunities[Weighted])/1000</f>
        <v>887.25120000000004</v>
      </c>
      <c r="U42" s="4">
        <f>_xlfn.XLOOKUP(View[[#This Row],[ID]],Opportunities[ID],Opportunities[Amount])/1000</f>
        <v>2218.1280000000002</v>
      </c>
      <c r="V42" t="b">
        <f>View[[#This Row],[Win Probability]]="High"</f>
        <v>0</v>
      </c>
      <c r="W42">
        <f>SUBTOTAL(103, View[[#This Row],[Status]])</f>
        <v>1</v>
      </c>
    </row>
    <row r="43" spans="8:23" x14ac:dyDescent="0.25">
      <c r="H43" s="51" t="str">
        <f>_xlfn.XLOOKUP(View[[#This Row],[ID]],Opportunities[ID],Opportunities[Status])</f>
        <v>Active</v>
      </c>
      <c r="I43" s="33" t="str">
        <f>HYPERLINK(siteUrl&amp;"Lists/"&amp;oppList&amp;"/DispForm.aspx?ID="&amp;View[[#This Row],[ID]],_xlfn.XLOOKUP(View[[#This Row],[ID]],Opportunities[ID],Opportunities[OpportunityName]))</f>
        <v>Cybersecurity Enhancement</v>
      </c>
      <c r="J43" s="45" t="str">
        <f>HYPERLINK(_xlfn.XLOOKUP(View[[#This Row],[ID]],Opportunities[ID],Opportunities[CustomerRecordURL]),_xlfn.XLOOKUP(View[[#This Row],[ID]],Opportunities[ID],Opportunities[Customer Name]))</f>
        <v>Insurance Specialists</v>
      </c>
      <c r="K43" s="34" t="str">
        <f>_xlfn.XLOOKUP(View[[#This Row],[ID]],Opportunities[ID],Opportunities[DisplayStage])</f>
        <v>➄ - Project Execution</v>
      </c>
      <c r="L43" s="1">
        <f>IF(pipelineType="Unweighted",_xlfn.XLOOKUP(View[[#This Row],[ID]],Opportunities[ID],Opportunities[Amount])/1000,_xlfn.XLOOKUP(View[[#This Row],[ID]],Opportunities[ID],Opportunities[Weighted])/1000)</f>
        <v>1087.125</v>
      </c>
      <c r="M43" s="27" t="str">
        <f>_xlfn.XLOOKUP(View[[#This Row],[ID]],Opportunities[ID],Opportunities[WinProbDisplay])</f>
        <v>← Medium</v>
      </c>
      <c r="N43" s="28">
        <f>View[[#This Row],[Estmated Revenue]]</f>
        <v>434.85</v>
      </c>
      <c r="O43" s="2">
        <f>_xlfn.XLOOKUP(View[[#This Row],[ID]],Opportunities[ID],Opportunities[Close])</f>
        <v>46226</v>
      </c>
      <c r="P43" s="24" t="str">
        <f>IF(_xlfn.XLOOKUP(View[[#This Row],[ID]],Opportunities[ID],Opportunities[Comment Log])=0,"",_xlfn.XLOOKUP(View[[#This Row],[ID]],Opportunities[ID],Opportunities[Comment Log]))</f>
        <v/>
      </c>
      <c r="Q43">
        <v>12</v>
      </c>
      <c r="R43" s="3">
        <f ca="1">_xlfn.XLOOKUP(View[[#This Row],[ID]],Opportunities[ID],Opportunities[NextMilestoneDate])-TODAY()</f>
        <v>29</v>
      </c>
      <c r="S4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3" s="1">
        <f>_xlfn.XLOOKUP(View[[#This Row],[ID]],Opportunities[ID],Opportunities[Weighted])/1000</f>
        <v>434.85</v>
      </c>
      <c r="U43" s="4">
        <f>_xlfn.XLOOKUP(View[[#This Row],[ID]],Opportunities[ID],Opportunities[Amount])/1000</f>
        <v>1087.125</v>
      </c>
      <c r="V43" t="b">
        <f>View[[#This Row],[Win Probability]]="High"</f>
        <v>0</v>
      </c>
      <c r="W43">
        <f>SUBTOTAL(103, View[[#This Row],[Status]])</f>
        <v>1</v>
      </c>
    </row>
    <row r="44" spans="8:23" x14ac:dyDescent="0.25">
      <c r="H44" s="51" t="str">
        <f>_xlfn.XLOOKUP(View[[#This Row],[ID]],Opportunities[ID],Opportunities[Status])</f>
        <v>Active</v>
      </c>
      <c r="I44" s="33" t="str">
        <f>HYPERLINK(siteUrl&amp;"Lists/"&amp;oppList&amp;"/DispForm.aspx?ID="&amp;View[[#This Row],[ID]],_xlfn.XLOOKUP(View[[#This Row],[ID]],Opportunities[ID],Opportunities[OpportunityName]))</f>
        <v>Training &amp; Development Program</v>
      </c>
      <c r="J44" s="45" t="str">
        <f>HYPERLINK(_xlfn.XLOOKUP(View[[#This Row],[ID]],Opportunities[ID],Opportunities[CustomerRecordURL]),_xlfn.XLOOKUP(View[[#This Row],[ID]],Opportunities[ID],Opportunities[Customer Name]))</f>
        <v>Security Solutions</v>
      </c>
      <c r="K44" s="34" t="str">
        <f>_xlfn.XLOOKUP(View[[#This Row],[ID]],Opportunities[ID],Opportunities[DisplayStage])</f>
        <v>➄ - Project Execution</v>
      </c>
      <c r="L44" s="1">
        <f>IF(pipelineType="Unweighted",_xlfn.XLOOKUP(View[[#This Row],[ID]],Opportunities[ID],Opportunities[Amount])/1000,_xlfn.XLOOKUP(View[[#This Row],[ID]],Opportunities[ID],Opportunities[Weighted])/1000)</f>
        <v>1525.787</v>
      </c>
      <c r="M44" s="27" t="str">
        <f>_xlfn.XLOOKUP(View[[#This Row],[ID]],Opportunities[ID],Opportunities[WinProbDisplay])</f>
        <v>↖ High</v>
      </c>
      <c r="N44" s="28">
        <f>View[[#This Row],[Estmated Revenue]]</f>
        <v>1373.2083</v>
      </c>
      <c r="O44" s="2">
        <f>_xlfn.XLOOKUP(View[[#This Row],[ID]],Opportunities[ID],Opportunities[Close])</f>
        <v>46377</v>
      </c>
      <c r="P44" s="24" t="str">
        <f>IF(_xlfn.XLOOKUP(View[[#This Row],[ID]],Opportunities[ID],Opportunities[Comment Log])=0,"",_xlfn.XLOOKUP(View[[#This Row],[ID]],Opportunities[ID],Opportunities[Comment Log]))</f>
        <v/>
      </c>
      <c r="Q44">
        <v>15</v>
      </c>
      <c r="R44" s="3">
        <f ca="1">_xlfn.XLOOKUP(View[[#This Row],[ID]],Opportunities[ID],Opportunities[NextMilestoneDate])-TODAY()</f>
        <v>32</v>
      </c>
      <c r="S4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1373.2083</v>
      </c>
      <c r="U44" s="4">
        <f>_xlfn.XLOOKUP(View[[#This Row],[ID]],Opportunities[ID],Opportunities[Amount])/1000</f>
        <v>1525.787</v>
      </c>
      <c r="V44" t="b">
        <f>View[[#This Row],[Win Probability]]="High"</f>
        <v>0</v>
      </c>
      <c r="W44">
        <f>SUBTOTAL(103, View[[#This Row],[Status]])</f>
        <v>1</v>
      </c>
    </row>
    <row r="45" spans="8:23" x14ac:dyDescent="0.25">
      <c r="H45" s="51" t="str">
        <f>_xlfn.XLOOKUP(View[[#This Row],[ID]],Opportunities[ID],Opportunities[Status])</f>
        <v>Active</v>
      </c>
      <c r="I45" s="33" t="str">
        <f>HYPERLINK(siteUrl&amp;"Lists/"&amp;oppList&amp;"/DispForm.aspx?ID="&amp;View[[#This Row],[ID]],_xlfn.XLOOKUP(View[[#This Row],[ID]],Opportunities[ID],Opportunities[OpportunityName]))</f>
        <v>Healthcare Data Analytics Platform</v>
      </c>
      <c r="J45" s="45" t="str">
        <f>HYPERLINK(_xlfn.XLOOKUP(View[[#This Row],[ID]],Opportunities[ID],Opportunities[CustomerRecordURL]),_xlfn.XLOOKUP(View[[#This Row],[ID]],Opportunities[ID],Opportunities[Customer Name]))</f>
        <v>Food Service Partners</v>
      </c>
      <c r="K45" s="34" t="str">
        <f>_xlfn.XLOOKUP(View[[#This Row],[ID]],Opportunities[ID],Opportunities[DisplayStage])</f>
        <v>➂ - Proposal</v>
      </c>
      <c r="L45" s="1">
        <f>IF(pipelineType="Unweighted",_xlfn.XLOOKUP(View[[#This Row],[ID]],Opportunities[ID],Opportunities[Amount])/1000,_xlfn.XLOOKUP(View[[#This Row],[ID]],Opportunities[ID],Opportunities[Weighted])/1000)</f>
        <v>1248.5219999999999</v>
      </c>
      <c r="M45" s="27" t="str">
        <f>_xlfn.XLOOKUP(View[[#This Row],[ID]],Opportunities[ID],Opportunities[WinProbDisplay])</f>
        <v>← Medium</v>
      </c>
      <c r="N45" s="28">
        <f>View[[#This Row],[Estmated Revenue]]</f>
        <v>499.40880000000004</v>
      </c>
      <c r="O45" s="2">
        <f>_xlfn.XLOOKUP(View[[#This Row],[ID]],Opportunities[ID],Opportunities[Close])</f>
        <v>46352</v>
      </c>
      <c r="P45" s="24" t="str">
        <f>IF(_xlfn.XLOOKUP(View[[#This Row],[ID]],Opportunities[ID],Opportunities[Comment Log])=0,"",_xlfn.XLOOKUP(View[[#This Row],[ID]],Opportunities[ID],Opportunities[Comment Log]))</f>
        <v/>
      </c>
      <c r="Q45">
        <v>5</v>
      </c>
      <c r="R45" s="3">
        <f ca="1">_xlfn.XLOOKUP(View[[#This Row],[ID]],Opportunities[ID],Opportunities[NextMilestoneDate])-TODAY()</f>
        <v>14</v>
      </c>
      <c r="S4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499.40880000000004</v>
      </c>
      <c r="U45" s="4">
        <f>_xlfn.XLOOKUP(View[[#This Row],[ID]],Opportunities[ID],Opportunities[Amount])/1000</f>
        <v>1248.5219999999999</v>
      </c>
      <c r="V45" t="b">
        <f>View[[#This Row],[Win Probability]]="High"</f>
        <v>0</v>
      </c>
      <c r="W45">
        <f>SUBTOTAL(103, View[[#This Row],[Status]])</f>
        <v>1</v>
      </c>
    </row>
    <row r="46" spans="8:23" x14ac:dyDescent="0.25">
      <c r="H46" s="51" t="str">
        <f>_xlfn.XLOOKUP(View[[#This Row],[ID]],Opportunities[ID],Opportunities[Status])</f>
        <v>Active</v>
      </c>
      <c r="I46" s="33" t="str">
        <f>HYPERLINK(siteUrl&amp;"Lists/"&amp;oppList&amp;"/DispForm.aspx?ID="&amp;View[[#This Row],[ID]],_xlfn.XLOOKUP(View[[#This Row],[ID]],Opportunities[ID],Opportunities[OpportunityName]))</f>
        <v>Backup &amp; Recovery System</v>
      </c>
      <c r="J46" s="45" t="str">
        <f>HYPERLINK(_xlfn.XLOOKUP(View[[#This Row],[ID]],Opportunities[ID],Opportunities[CustomerRecordURL]),_xlfn.XLOOKUP(View[[#This Row],[ID]],Opportunities[ID],Opportunities[Customer Name]))</f>
        <v>Global Industries</v>
      </c>
      <c r="K46" s="34" t="str">
        <f>_xlfn.XLOOKUP(View[[#This Row],[ID]],Opportunities[ID],Opportunities[DisplayStage])</f>
        <v>➀ - Lead Qualification</v>
      </c>
      <c r="L46" s="1">
        <f>IF(pipelineType="Unweighted",_xlfn.XLOOKUP(View[[#This Row],[ID]],Opportunities[ID],Opportunities[Amount])/1000,_xlfn.XLOOKUP(View[[#This Row],[ID]],Opportunities[ID],Opportunities[Weighted])/1000)</f>
        <v>1666.3440000000001</v>
      </c>
      <c r="M46" s="27" t="str">
        <f>_xlfn.XLOOKUP(View[[#This Row],[ID]],Opportunities[ID],Opportunities[WinProbDisplay])</f>
        <v>← Medium</v>
      </c>
      <c r="N46" s="28">
        <f>View[[#This Row],[Estmated Revenue]]</f>
        <v>666.53760000000011</v>
      </c>
      <c r="O46" s="2">
        <f>_xlfn.XLOOKUP(View[[#This Row],[ID]],Opportunities[ID],Opportunities[Close])</f>
        <v>46185</v>
      </c>
      <c r="P46" s="24" t="str">
        <f>IF(_xlfn.XLOOKUP(View[[#This Row],[ID]],Opportunities[ID],Opportunities[Comment Log])=0,"",_xlfn.XLOOKUP(View[[#This Row],[ID]],Opportunities[ID],Opportunities[Comment Log]))</f>
        <v/>
      </c>
      <c r="Q46">
        <v>27</v>
      </c>
      <c r="R46" s="3">
        <f ca="1">_xlfn.XLOOKUP(View[[#This Row],[ID]],Opportunities[ID],Opportunities[NextMilestoneDate])-TODAY()</f>
        <v>23</v>
      </c>
      <c r="S4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6" s="1">
        <f>_xlfn.XLOOKUP(View[[#This Row],[ID]],Opportunities[ID],Opportunities[Weighted])/1000</f>
        <v>666.53760000000011</v>
      </c>
      <c r="U46" s="4">
        <f>_xlfn.XLOOKUP(View[[#This Row],[ID]],Opportunities[ID],Opportunities[Amount])/1000</f>
        <v>1666.3440000000001</v>
      </c>
      <c r="V46" t="b">
        <f>View[[#This Row],[Win Probability]]="High"</f>
        <v>0</v>
      </c>
      <c r="W46">
        <f>SUBTOTAL(103, View[[#This Row],[Status]])</f>
        <v>1</v>
      </c>
    </row>
    <row r="47" spans="8:23" x14ac:dyDescent="0.25">
      <c r="H47" s="51" t="str">
        <f>_xlfn.XLOOKUP(View[[#This Row],[ID]],Opportunities[ID],Opportunities[Status])</f>
        <v>Active</v>
      </c>
      <c r="I47" s="33" t="str">
        <f>HYPERLINK(siteUrl&amp;"Lists/"&amp;oppList&amp;"/DispForm.aspx?ID="&amp;View[[#This Row],[ID]],_xlfn.XLOOKUP(View[[#This Row],[ID]],Opportunities[ID],Opportunities[OpportunityName]))</f>
        <v>API Development Project</v>
      </c>
      <c r="J47" s="45" t="str">
        <f>HYPERLINK(_xlfn.XLOOKUP(View[[#This Row],[ID]],Opportunities[ID],Opportunities[CustomerRecordURL]),_xlfn.XLOOKUP(View[[#This Row],[ID]],Opportunities[ID],Opportunities[Customer Name]))</f>
        <v>Tech Solutions Inc</v>
      </c>
      <c r="K47" s="34" t="str">
        <f>_xlfn.XLOOKUP(View[[#This Row],[ID]],Opportunities[ID],Opportunities[DisplayStage])</f>
        <v>➄ - Project Execution</v>
      </c>
      <c r="L47" s="1">
        <f>IF(pipelineType="Unweighted",_xlfn.XLOOKUP(View[[#This Row],[ID]],Opportunities[ID],Opportunities[Amount])/1000,_xlfn.XLOOKUP(View[[#This Row],[ID]],Opportunities[ID],Opportunities[Weighted])/1000)</f>
        <v>2176.6320000000001</v>
      </c>
      <c r="M47" s="27" t="str">
        <f>_xlfn.XLOOKUP(View[[#This Row],[ID]],Opportunities[ID],Opportunities[WinProbDisplay])</f>
        <v>← Medium</v>
      </c>
      <c r="N47" s="28">
        <f>View[[#This Row],[Estmated Revenue]]</f>
        <v>870.65280000000007</v>
      </c>
      <c r="O47" s="2">
        <f>_xlfn.XLOOKUP(View[[#This Row],[ID]],Opportunities[ID],Opportunities[Close])</f>
        <v>46253</v>
      </c>
      <c r="P47" s="24" t="str">
        <f>IF(_xlfn.XLOOKUP(View[[#This Row],[ID]],Opportunities[ID],Opportunities[Comment Log])=0,"",_xlfn.XLOOKUP(View[[#This Row],[ID]],Opportunities[ID],Opportunities[Comment Log]))</f>
        <v/>
      </c>
      <c r="Q47">
        <v>39</v>
      </c>
      <c r="R47" s="3">
        <f ca="1">_xlfn.XLOOKUP(View[[#This Row],[ID]],Opportunities[ID],Opportunities[NextMilestoneDate])-TODAY()</f>
        <v>27</v>
      </c>
      <c r="S4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7" s="1">
        <f>_xlfn.XLOOKUP(View[[#This Row],[ID]],Opportunities[ID],Opportunities[Weighted])/1000</f>
        <v>870.65280000000007</v>
      </c>
      <c r="U47" s="4">
        <f>_xlfn.XLOOKUP(View[[#This Row],[ID]],Opportunities[ID],Opportunities[Amount])/1000</f>
        <v>2176.6320000000001</v>
      </c>
      <c r="V47" t="b">
        <f>View[[#This Row],[Win Probability]]="High"</f>
        <v>0</v>
      </c>
      <c r="W47">
        <f>SUBTOTAL(103, View[[#This Row],[Status]])</f>
        <v>1</v>
      </c>
    </row>
  </sheetData>
  <phoneticPr fontId="4" type="noConversion"/>
  <conditionalFormatting sqref="H9:I47 I8">
    <cfRule type="expression" dxfId="14" priority="29">
      <formula>H8="⚠"</formula>
    </cfRule>
    <cfRule type="expression" dxfId="13" priority="30">
      <formula>H8="⮾"</formula>
    </cfRule>
    <cfRule type="expression" dxfId="12" priority="31">
      <formula>H8="✓"</formula>
    </cfRule>
  </conditionalFormatting>
  <conditionalFormatting sqref="J8">
    <cfRule type="iconSet" priority="7">
      <iconSet iconSet="4Rating">
        <cfvo type="percent" val="0"/>
        <cfvo type="percent" val="25"/>
        <cfvo type="percent" val="50"/>
        <cfvo type="percent" val="75"/>
      </iconSet>
    </cfRule>
  </conditionalFormatting>
  <conditionalFormatting sqref="K8:K47">
    <cfRule type="expression" dxfId="11" priority="16">
      <formula>K8="3 - Proposal"</formula>
    </cfRule>
    <cfRule type="expression" dxfId="10" priority="17">
      <formula>K8="4 - Negotiation"</formula>
    </cfRule>
    <cfRule type="expression" dxfId="9" priority="18">
      <formula>K8="5 - Project Execution"</formula>
    </cfRule>
    <cfRule type="expression" dxfId="8" priority="19">
      <formula>K8="6 - Closeout"</formula>
    </cfRule>
    <cfRule type="expression" dxfId="7" priority="20">
      <formula>K8="1 - Lead Qualification"</formula>
    </cfRule>
    <cfRule type="expression" dxfId="6" priority="21">
      <formula>K8="2 - Nurturing"</formula>
    </cfRule>
  </conditionalFormatting>
  <conditionalFormatting sqref="M8:M47">
    <cfRule type="iconSet" priority="925">
      <iconSet iconSet="4Rating">
        <cfvo type="percent" val="0"/>
        <cfvo type="percent" val="25"/>
        <cfvo type="percent" val="50"/>
        <cfvo type="percent" val="75"/>
      </iconSet>
    </cfRule>
  </conditionalFormatting>
  <conditionalFormatting sqref="R8:R47">
    <cfRule type="colorScale" priority="927">
      <colorScale>
        <cfvo type="min"/>
        <cfvo type="max"/>
        <color rgb="FF63BE7B"/>
        <color rgb="FFFCFCFF"/>
      </colorScale>
    </cfRule>
  </conditionalFormatting>
  <conditionalFormatting sqref="T8:T47">
    <cfRule type="dataBar" priority="929">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4">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31">
      <dataBar>
        <cfvo type="min"/>
        <cfvo type="max"/>
        <color rgb="FF638EC6"/>
      </dataBar>
      <extLst>
        <ext xmlns:x14="http://schemas.microsoft.com/office/spreadsheetml/2009/9/main" uri="{B025F937-C7B1-47D3-B67F-A62EFF666E3E}">
          <x14:id>{6F3859E8-06BC-4889-A7F8-351765CFA609}</x14:id>
        </ext>
      </extLst>
    </cfRule>
  </conditionalFormatting>
  <conditionalFormatting sqref="H8:H47">
    <cfRule type="expression" dxfId="5" priority="1">
      <formula>H8="At Risk"</formula>
    </cfRule>
    <cfRule type="expression" dxfId="4" priority="2">
      <formula>H8="Critical"</formula>
    </cfRule>
    <cfRule type="expression" dxfId="3" priority="3">
      <formula>H8="Active"</formula>
    </cfRule>
  </conditionalFormatting>
  <conditionalFormatting sqref="H8:H47">
    <cfRule type="expression" dxfId="2" priority="4">
      <formula>H8="⚠"</formula>
    </cfRule>
    <cfRule type="expression" dxfId="1" priority="5">
      <formula>H8="⮾"</formula>
    </cfRule>
    <cfRule type="expression" dxfId="0" priority="6">
      <formula>H8="✓"</formula>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570312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50">
        <v>45881.657743055555</v>
      </c>
      <c r="J2" s="50">
        <v>45881.657743055555</v>
      </c>
    </row>
    <row r="3" spans="1:10" x14ac:dyDescent="0.25">
      <c r="A3">
        <v>2</v>
      </c>
      <c r="B3" t="s">
        <v>461</v>
      </c>
      <c r="C3" t="s">
        <v>462</v>
      </c>
      <c r="D3" t="s">
        <v>463</v>
      </c>
      <c r="E3" t="s">
        <v>464</v>
      </c>
      <c r="F3" t="s">
        <v>465</v>
      </c>
      <c r="G3">
        <v>1</v>
      </c>
      <c r="H3" t="s">
        <v>106</v>
      </c>
      <c r="I3" s="50">
        <v>45881.657766203702</v>
      </c>
      <c r="J3" s="50">
        <v>45881.657766203702</v>
      </c>
    </row>
    <row r="4" spans="1:10" x14ac:dyDescent="0.25">
      <c r="A4">
        <v>3</v>
      </c>
      <c r="B4" t="s">
        <v>466</v>
      </c>
      <c r="C4" t="s">
        <v>467</v>
      </c>
      <c r="D4" t="s">
        <v>468</v>
      </c>
      <c r="E4" t="s">
        <v>469</v>
      </c>
      <c r="F4" t="s">
        <v>470</v>
      </c>
      <c r="G4">
        <v>1</v>
      </c>
      <c r="H4" t="s">
        <v>106</v>
      </c>
      <c r="I4" s="50">
        <v>45881.657789351855</v>
      </c>
      <c r="J4" s="50">
        <v>45881.657789351855</v>
      </c>
    </row>
    <row r="5" spans="1:10" x14ac:dyDescent="0.25">
      <c r="A5">
        <v>4</v>
      </c>
      <c r="B5" t="s">
        <v>471</v>
      </c>
      <c r="C5" t="s">
        <v>472</v>
      </c>
      <c r="D5" t="s">
        <v>473</v>
      </c>
      <c r="E5" t="s">
        <v>474</v>
      </c>
      <c r="F5" t="s">
        <v>475</v>
      </c>
      <c r="G5">
        <v>2</v>
      </c>
      <c r="H5" t="s">
        <v>88</v>
      </c>
      <c r="I5" s="50">
        <v>45881.657812500001</v>
      </c>
      <c r="J5" s="50">
        <v>45881.657812500001</v>
      </c>
    </row>
    <row r="6" spans="1:10" x14ac:dyDescent="0.25">
      <c r="A6">
        <v>5</v>
      </c>
      <c r="B6" t="s">
        <v>476</v>
      </c>
      <c r="C6" t="s">
        <v>277</v>
      </c>
      <c r="D6" t="s">
        <v>477</v>
      </c>
      <c r="E6" t="s">
        <v>478</v>
      </c>
      <c r="F6" t="s">
        <v>479</v>
      </c>
      <c r="G6">
        <v>2</v>
      </c>
      <c r="H6" t="s">
        <v>88</v>
      </c>
      <c r="I6" s="50">
        <v>45881.657824074071</v>
      </c>
      <c r="J6" s="50">
        <v>45881.657824074071</v>
      </c>
    </row>
    <row r="7" spans="1:10" x14ac:dyDescent="0.25">
      <c r="A7">
        <v>6</v>
      </c>
      <c r="B7" t="s">
        <v>480</v>
      </c>
      <c r="C7" t="s">
        <v>123</v>
      </c>
      <c r="D7" t="s">
        <v>481</v>
      </c>
      <c r="E7" t="s">
        <v>482</v>
      </c>
      <c r="F7" t="s">
        <v>483</v>
      </c>
      <c r="G7">
        <v>3</v>
      </c>
      <c r="H7" t="s">
        <v>119</v>
      </c>
      <c r="I7" s="50">
        <v>45881.657847222225</v>
      </c>
      <c r="J7" s="50">
        <v>45881.657847222225</v>
      </c>
    </row>
    <row r="8" spans="1:10" x14ac:dyDescent="0.25">
      <c r="A8">
        <v>7</v>
      </c>
      <c r="B8" t="s">
        <v>484</v>
      </c>
      <c r="C8" t="s">
        <v>226</v>
      </c>
      <c r="D8" t="s">
        <v>485</v>
      </c>
      <c r="E8" t="s">
        <v>486</v>
      </c>
      <c r="F8" t="s">
        <v>487</v>
      </c>
      <c r="G8">
        <v>3</v>
      </c>
      <c r="H8" t="s">
        <v>119</v>
      </c>
      <c r="I8" s="50">
        <v>45881.657870370371</v>
      </c>
      <c r="J8" s="50">
        <v>45881.657870370371</v>
      </c>
    </row>
    <row r="9" spans="1:10" x14ac:dyDescent="0.25">
      <c r="A9">
        <v>8</v>
      </c>
      <c r="B9" t="s">
        <v>488</v>
      </c>
      <c r="C9" t="s">
        <v>489</v>
      </c>
      <c r="D9" t="s">
        <v>490</v>
      </c>
      <c r="E9" t="s">
        <v>491</v>
      </c>
      <c r="F9" t="s">
        <v>492</v>
      </c>
      <c r="G9">
        <v>3</v>
      </c>
      <c r="H9" t="s">
        <v>119</v>
      </c>
      <c r="I9" s="50">
        <v>45881.657893518517</v>
      </c>
      <c r="J9" s="50">
        <v>45881.657893518517</v>
      </c>
    </row>
    <row r="10" spans="1:10" x14ac:dyDescent="0.25">
      <c r="A10">
        <v>9</v>
      </c>
      <c r="B10" t="s">
        <v>493</v>
      </c>
      <c r="C10" t="s">
        <v>494</v>
      </c>
      <c r="D10" t="s">
        <v>495</v>
      </c>
      <c r="E10" t="s">
        <v>496</v>
      </c>
      <c r="F10" t="s">
        <v>497</v>
      </c>
      <c r="G10">
        <v>4</v>
      </c>
      <c r="H10" t="s">
        <v>126</v>
      </c>
      <c r="I10" s="50">
        <v>45881.657916666663</v>
      </c>
      <c r="J10" s="50">
        <v>45881.657916666663</v>
      </c>
    </row>
    <row r="11" spans="1:10" x14ac:dyDescent="0.25">
      <c r="A11">
        <v>10</v>
      </c>
      <c r="B11" t="s">
        <v>498</v>
      </c>
      <c r="C11" t="s">
        <v>499</v>
      </c>
      <c r="D11" t="s">
        <v>500</v>
      </c>
      <c r="E11" t="s">
        <v>501</v>
      </c>
      <c r="F11" t="s">
        <v>502</v>
      </c>
      <c r="G11">
        <v>4</v>
      </c>
      <c r="H11" t="s">
        <v>126</v>
      </c>
      <c r="I11" s="50">
        <v>45881.65792824074</v>
      </c>
      <c r="J11" s="50">
        <v>45881.65792824074</v>
      </c>
    </row>
    <row r="12" spans="1:10" x14ac:dyDescent="0.25">
      <c r="A12">
        <v>11</v>
      </c>
      <c r="B12" t="s">
        <v>503</v>
      </c>
      <c r="C12" t="s">
        <v>133</v>
      </c>
      <c r="D12" t="s">
        <v>504</v>
      </c>
      <c r="E12" t="s">
        <v>505</v>
      </c>
      <c r="F12" t="s">
        <v>506</v>
      </c>
      <c r="G12">
        <v>5</v>
      </c>
      <c r="H12" t="s">
        <v>134</v>
      </c>
      <c r="I12" s="50">
        <v>45881.657951388886</v>
      </c>
      <c r="J12" s="50">
        <v>45881.657951388886</v>
      </c>
    </row>
    <row r="13" spans="1:10" x14ac:dyDescent="0.25">
      <c r="A13">
        <v>12</v>
      </c>
      <c r="B13" t="s">
        <v>507</v>
      </c>
      <c r="C13" t="s">
        <v>118</v>
      </c>
      <c r="D13" t="s">
        <v>508</v>
      </c>
      <c r="E13" t="s">
        <v>509</v>
      </c>
      <c r="F13" t="s">
        <v>510</v>
      </c>
      <c r="G13">
        <v>5</v>
      </c>
      <c r="H13" t="s">
        <v>134</v>
      </c>
      <c r="I13" s="50">
        <v>45881.657986111109</v>
      </c>
      <c r="J13" s="50">
        <v>45881.657986111109</v>
      </c>
    </row>
    <row r="14" spans="1:10" x14ac:dyDescent="0.25">
      <c r="A14">
        <v>13</v>
      </c>
      <c r="B14" t="s">
        <v>511</v>
      </c>
      <c r="C14" t="s">
        <v>462</v>
      </c>
      <c r="D14" t="s">
        <v>512</v>
      </c>
      <c r="E14" t="s">
        <v>513</v>
      </c>
      <c r="F14" t="s">
        <v>514</v>
      </c>
      <c r="G14">
        <v>6</v>
      </c>
      <c r="H14" t="s">
        <v>274</v>
      </c>
      <c r="I14" s="50">
        <v>45881.657997685186</v>
      </c>
      <c r="J14" s="50">
        <v>45881.657997685186</v>
      </c>
    </row>
    <row r="15" spans="1:10" x14ac:dyDescent="0.25">
      <c r="A15">
        <v>14</v>
      </c>
      <c r="B15" t="s">
        <v>515</v>
      </c>
      <c r="C15" t="s">
        <v>457</v>
      </c>
      <c r="D15" t="s">
        <v>516</v>
      </c>
      <c r="E15" t="s">
        <v>517</v>
      </c>
      <c r="F15" t="s">
        <v>518</v>
      </c>
      <c r="G15">
        <v>6</v>
      </c>
      <c r="H15" t="s">
        <v>274</v>
      </c>
      <c r="I15" s="50">
        <v>45881.658020833333</v>
      </c>
      <c r="J15" s="50">
        <v>45881.658020833333</v>
      </c>
    </row>
    <row r="16" spans="1:10" x14ac:dyDescent="0.25">
      <c r="A16">
        <v>15</v>
      </c>
      <c r="B16" t="s">
        <v>519</v>
      </c>
      <c r="C16" t="s">
        <v>520</v>
      </c>
      <c r="D16" t="s">
        <v>521</v>
      </c>
      <c r="E16" t="s">
        <v>522</v>
      </c>
      <c r="F16" t="s">
        <v>523</v>
      </c>
      <c r="G16">
        <v>7</v>
      </c>
      <c r="H16" t="s">
        <v>281</v>
      </c>
      <c r="I16" s="50">
        <v>45881.658043981479</v>
      </c>
      <c r="J16" s="50">
        <v>45881.658043981479</v>
      </c>
    </row>
    <row r="17" spans="1:10" x14ac:dyDescent="0.25">
      <c r="A17">
        <v>16</v>
      </c>
      <c r="B17" t="s">
        <v>524</v>
      </c>
      <c r="C17" t="s">
        <v>494</v>
      </c>
      <c r="D17" t="s">
        <v>525</v>
      </c>
      <c r="E17" t="s">
        <v>526</v>
      </c>
      <c r="F17" t="s">
        <v>527</v>
      </c>
      <c r="G17">
        <v>7</v>
      </c>
      <c r="H17" t="s">
        <v>281</v>
      </c>
      <c r="I17" s="50">
        <v>45881.658067129632</v>
      </c>
      <c r="J17" s="50">
        <v>45881.658067129632</v>
      </c>
    </row>
    <row r="18" spans="1:10" x14ac:dyDescent="0.25">
      <c r="A18">
        <v>17</v>
      </c>
      <c r="B18" t="s">
        <v>528</v>
      </c>
      <c r="C18" t="s">
        <v>118</v>
      </c>
      <c r="D18" t="s">
        <v>529</v>
      </c>
      <c r="E18" t="s">
        <v>530</v>
      </c>
      <c r="F18" t="s">
        <v>531</v>
      </c>
      <c r="G18">
        <v>7</v>
      </c>
      <c r="H18" t="s">
        <v>281</v>
      </c>
      <c r="I18" s="50">
        <v>45881.658078703702</v>
      </c>
      <c r="J18" s="50">
        <v>45881.658078703702</v>
      </c>
    </row>
    <row r="19" spans="1:10" x14ac:dyDescent="0.25">
      <c r="A19">
        <v>18</v>
      </c>
      <c r="B19" t="s">
        <v>532</v>
      </c>
      <c r="C19" t="s">
        <v>499</v>
      </c>
      <c r="D19" t="s">
        <v>533</v>
      </c>
      <c r="E19" t="s">
        <v>534</v>
      </c>
      <c r="F19" t="s">
        <v>535</v>
      </c>
      <c r="G19">
        <v>8</v>
      </c>
      <c r="H19" t="s">
        <v>288</v>
      </c>
      <c r="I19" s="50">
        <v>45881.658101851855</v>
      </c>
      <c r="J19" s="50">
        <v>45881.658101851855</v>
      </c>
    </row>
    <row r="20" spans="1:10" x14ac:dyDescent="0.25">
      <c r="A20">
        <v>19</v>
      </c>
      <c r="B20" t="s">
        <v>536</v>
      </c>
      <c r="C20" t="s">
        <v>537</v>
      </c>
      <c r="D20" t="s">
        <v>538</v>
      </c>
      <c r="E20" t="s">
        <v>539</v>
      </c>
      <c r="F20" t="s">
        <v>540</v>
      </c>
      <c r="G20">
        <v>8</v>
      </c>
      <c r="H20" t="s">
        <v>288</v>
      </c>
      <c r="I20" s="50">
        <v>45881.658148148148</v>
      </c>
      <c r="J20" s="50">
        <v>45881.658148148148</v>
      </c>
    </row>
    <row r="21" spans="1:10" x14ac:dyDescent="0.25">
      <c r="A21">
        <v>20</v>
      </c>
      <c r="B21" t="s">
        <v>541</v>
      </c>
      <c r="C21" t="s">
        <v>116</v>
      </c>
      <c r="D21" t="s">
        <v>542</v>
      </c>
      <c r="E21" t="s">
        <v>543</v>
      </c>
      <c r="F21" t="s">
        <v>544</v>
      </c>
      <c r="G21">
        <v>8</v>
      </c>
      <c r="H21" t="s">
        <v>288</v>
      </c>
      <c r="I21" s="50">
        <v>45881.658171296294</v>
      </c>
      <c r="J21" s="50">
        <v>45881.658171296294</v>
      </c>
    </row>
    <row r="22" spans="1:10" x14ac:dyDescent="0.25">
      <c r="A22">
        <v>21</v>
      </c>
      <c r="B22" t="s">
        <v>545</v>
      </c>
      <c r="C22" t="s">
        <v>123</v>
      </c>
      <c r="D22" t="s">
        <v>546</v>
      </c>
      <c r="E22" t="s">
        <v>547</v>
      </c>
      <c r="F22" t="s">
        <v>548</v>
      </c>
      <c r="G22">
        <v>9</v>
      </c>
      <c r="H22" t="s">
        <v>294</v>
      </c>
      <c r="I22" s="50">
        <v>45881.658182870371</v>
      </c>
      <c r="J22" s="50">
        <v>45881.658182870371</v>
      </c>
    </row>
    <row r="23" spans="1:10" x14ac:dyDescent="0.25">
      <c r="A23">
        <v>22</v>
      </c>
      <c r="B23" t="s">
        <v>549</v>
      </c>
      <c r="C23" t="s">
        <v>271</v>
      </c>
      <c r="D23" t="s">
        <v>550</v>
      </c>
      <c r="E23" t="s">
        <v>551</v>
      </c>
      <c r="F23" t="s">
        <v>552</v>
      </c>
      <c r="G23">
        <v>9</v>
      </c>
      <c r="H23" t="s">
        <v>294</v>
      </c>
      <c r="I23" s="50">
        <v>45881.658206018517</v>
      </c>
      <c r="J23" s="50">
        <v>45881.658206018517</v>
      </c>
    </row>
    <row r="24" spans="1:10" x14ac:dyDescent="0.25">
      <c r="A24">
        <v>23</v>
      </c>
      <c r="B24" t="s">
        <v>553</v>
      </c>
      <c r="C24" t="s">
        <v>554</v>
      </c>
      <c r="D24" t="s">
        <v>555</v>
      </c>
      <c r="E24" t="s">
        <v>556</v>
      </c>
      <c r="F24" t="s">
        <v>557</v>
      </c>
      <c r="G24">
        <v>9</v>
      </c>
      <c r="H24" t="s">
        <v>294</v>
      </c>
      <c r="I24" s="50">
        <v>45881.658229166664</v>
      </c>
      <c r="J24" s="50">
        <v>45881.658229166664</v>
      </c>
    </row>
    <row r="25" spans="1:10" x14ac:dyDescent="0.25">
      <c r="A25">
        <v>24</v>
      </c>
      <c r="B25" t="s">
        <v>558</v>
      </c>
      <c r="C25" t="s">
        <v>554</v>
      </c>
      <c r="D25" t="s">
        <v>559</v>
      </c>
      <c r="E25" t="s">
        <v>560</v>
      </c>
      <c r="F25" t="s">
        <v>561</v>
      </c>
      <c r="G25">
        <v>10</v>
      </c>
      <c r="H25" t="s">
        <v>302</v>
      </c>
      <c r="I25" s="50">
        <v>45881.658252314817</v>
      </c>
      <c r="J25" s="50">
        <v>45881.658252314817</v>
      </c>
    </row>
    <row r="26" spans="1:10" x14ac:dyDescent="0.25">
      <c r="A26">
        <v>25</v>
      </c>
      <c r="B26" t="s">
        <v>562</v>
      </c>
      <c r="C26" t="s">
        <v>563</v>
      </c>
      <c r="D26" t="s">
        <v>564</v>
      </c>
      <c r="E26" t="s">
        <v>565</v>
      </c>
      <c r="F26" t="s">
        <v>566</v>
      </c>
      <c r="G26">
        <v>10</v>
      </c>
      <c r="H26" t="s">
        <v>302</v>
      </c>
      <c r="I26" s="50">
        <v>45881.658275462964</v>
      </c>
      <c r="J26" s="50">
        <v>45881.658275462964</v>
      </c>
    </row>
    <row r="27" spans="1:10" x14ac:dyDescent="0.25">
      <c r="A27">
        <v>26</v>
      </c>
      <c r="B27" t="s">
        <v>567</v>
      </c>
      <c r="C27" t="s">
        <v>467</v>
      </c>
      <c r="D27" t="s">
        <v>568</v>
      </c>
      <c r="E27" t="s">
        <v>569</v>
      </c>
      <c r="F27" t="s">
        <v>570</v>
      </c>
      <c r="G27">
        <v>11</v>
      </c>
      <c r="H27" t="s">
        <v>310</v>
      </c>
      <c r="I27" s="50">
        <v>45881.65829861111</v>
      </c>
      <c r="J27" s="50">
        <v>45881.65829861111</v>
      </c>
    </row>
    <row r="28" spans="1:10" x14ac:dyDescent="0.25">
      <c r="A28">
        <v>27</v>
      </c>
      <c r="B28" t="s">
        <v>571</v>
      </c>
      <c r="C28" t="s">
        <v>116</v>
      </c>
      <c r="D28" t="s">
        <v>572</v>
      </c>
      <c r="E28" t="s">
        <v>573</v>
      </c>
      <c r="F28" t="s">
        <v>574</v>
      </c>
      <c r="G28">
        <v>11</v>
      </c>
      <c r="H28" t="s">
        <v>310</v>
      </c>
      <c r="I28" s="50">
        <v>45881.658310185187</v>
      </c>
      <c r="J28" s="50">
        <v>45881.658310185187</v>
      </c>
    </row>
    <row r="29" spans="1:10" x14ac:dyDescent="0.25">
      <c r="A29">
        <v>28</v>
      </c>
      <c r="B29" t="s">
        <v>575</v>
      </c>
      <c r="C29" t="s">
        <v>563</v>
      </c>
      <c r="D29" t="s">
        <v>576</v>
      </c>
      <c r="E29" t="s">
        <v>577</v>
      </c>
      <c r="F29" t="s">
        <v>578</v>
      </c>
      <c r="G29">
        <v>11</v>
      </c>
      <c r="H29" t="s">
        <v>310</v>
      </c>
      <c r="I29" s="50">
        <v>45881.658333333333</v>
      </c>
      <c r="J29" s="50">
        <v>45881.658333333333</v>
      </c>
    </row>
    <row r="30" spans="1:10" x14ac:dyDescent="0.25">
      <c r="A30">
        <v>29</v>
      </c>
      <c r="B30" t="s">
        <v>579</v>
      </c>
      <c r="C30" t="s">
        <v>123</v>
      </c>
      <c r="D30" t="s">
        <v>580</v>
      </c>
      <c r="E30" t="s">
        <v>581</v>
      </c>
      <c r="F30" t="s">
        <v>582</v>
      </c>
      <c r="G30">
        <v>12</v>
      </c>
      <c r="H30" t="s">
        <v>317</v>
      </c>
      <c r="I30" s="50">
        <v>45881.658356481479</v>
      </c>
      <c r="J30" s="50">
        <v>45881.658356481479</v>
      </c>
    </row>
    <row r="31" spans="1:10" x14ac:dyDescent="0.25">
      <c r="A31">
        <v>30</v>
      </c>
      <c r="B31" t="s">
        <v>583</v>
      </c>
      <c r="C31" t="s">
        <v>125</v>
      </c>
      <c r="D31" t="s">
        <v>584</v>
      </c>
      <c r="E31" t="s">
        <v>585</v>
      </c>
      <c r="F31" t="s">
        <v>586</v>
      </c>
      <c r="G31">
        <v>12</v>
      </c>
      <c r="H31" t="s">
        <v>317</v>
      </c>
      <c r="I31" s="50">
        <v>45881.658379629633</v>
      </c>
      <c r="J31" s="50">
        <v>45881.658379629633</v>
      </c>
    </row>
    <row r="32" spans="1:10" x14ac:dyDescent="0.25">
      <c r="A32">
        <v>31</v>
      </c>
      <c r="B32" t="s">
        <v>587</v>
      </c>
      <c r="C32" t="s">
        <v>499</v>
      </c>
      <c r="D32" t="s">
        <v>588</v>
      </c>
      <c r="E32" t="s">
        <v>589</v>
      </c>
      <c r="F32" t="s">
        <v>590</v>
      </c>
      <c r="G32">
        <v>13</v>
      </c>
      <c r="H32" t="s">
        <v>324</v>
      </c>
      <c r="I32" s="50">
        <v>45881.658402777779</v>
      </c>
      <c r="J32" s="50">
        <v>45881.658402777779</v>
      </c>
    </row>
    <row r="33" spans="1:10" x14ac:dyDescent="0.25">
      <c r="A33">
        <v>32</v>
      </c>
      <c r="B33" t="s">
        <v>591</v>
      </c>
      <c r="C33" t="s">
        <v>592</v>
      </c>
      <c r="D33" t="s">
        <v>593</v>
      </c>
      <c r="E33" t="s">
        <v>594</v>
      </c>
      <c r="F33" t="s">
        <v>595</v>
      </c>
      <c r="G33">
        <v>13</v>
      </c>
      <c r="H33" t="s">
        <v>324</v>
      </c>
      <c r="I33" s="50">
        <v>45881.658425925925</v>
      </c>
      <c r="J33" s="50">
        <v>45881.658425925925</v>
      </c>
    </row>
    <row r="34" spans="1:10" x14ac:dyDescent="0.25">
      <c r="A34">
        <v>33</v>
      </c>
      <c r="B34" t="s">
        <v>596</v>
      </c>
      <c r="C34" t="s">
        <v>467</v>
      </c>
      <c r="D34" t="s">
        <v>597</v>
      </c>
      <c r="E34" t="s">
        <v>598</v>
      </c>
      <c r="F34" t="s">
        <v>599</v>
      </c>
      <c r="G34">
        <v>13</v>
      </c>
      <c r="H34" t="s">
        <v>324</v>
      </c>
      <c r="I34" s="50">
        <v>45881.658449074072</v>
      </c>
      <c r="J34" s="50">
        <v>45881.658449074072</v>
      </c>
    </row>
    <row r="35" spans="1:10" x14ac:dyDescent="0.25">
      <c r="A35">
        <v>34</v>
      </c>
      <c r="B35" t="s">
        <v>600</v>
      </c>
      <c r="C35" t="s">
        <v>601</v>
      </c>
      <c r="D35" t="s">
        <v>602</v>
      </c>
      <c r="E35" t="s">
        <v>603</v>
      </c>
      <c r="F35" t="s">
        <v>604</v>
      </c>
      <c r="G35">
        <v>14</v>
      </c>
      <c r="H35" t="s">
        <v>331</v>
      </c>
      <c r="I35" s="50">
        <v>45881.658460648148</v>
      </c>
      <c r="J35" s="50">
        <v>45881.658460648148</v>
      </c>
    </row>
    <row r="36" spans="1:10" x14ac:dyDescent="0.25">
      <c r="A36">
        <v>35</v>
      </c>
      <c r="B36" t="s">
        <v>605</v>
      </c>
      <c r="C36" t="s">
        <v>457</v>
      </c>
      <c r="D36" t="s">
        <v>606</v>
      </c>
      <c r="E36" t="s">
        <v>607</v>
      </c>
      <c r="F36" t="s">
        <v>608</v>
      </c>
      <c r="G36">
        <v>14</v>
      </c>
      <c r="H36" t="s">
        <v>331</v>
      </c>
      <c r="I36" s="50">
        <v>45881.658483796295</v>
      </c>
      <c r="J36" s="50">
        <v>45881.658483796295</v>
      </c>
    </row>
    <row r="37" spans="1:10" x14ac:dyDescent="0.25">
      <c r="A37">
        <v>36</v>
      </c>
      <c r="B37" t="s">
        <v>368</v>
      </c>
      <c r="C37" t="s">
        <v>520</v>
      </c>
      <c r="D37" t="s">
        <v>609</v>
      </c>
      <c r="E37" t="s">
        <v>610</v>
      </c>
      <c r="F37" t="s">
        <v>611</v>
      </c>
      <c r="G37">
        <v>15</v>
      </c>
      <c r="H37" t="s">
        <v>338</v>
      </c>
      <c r="I37" s="50">
        <v>45881.658506944441</v>
      </c>
      <c r="J37" s="50">
        <v>45881.658506944441</v>
      </c>
    </row>
    <row r="38" spans="1:10" x14ac:dyDescent="0.25">
      <c r="A38">
        <v>37</v>
      </c>
      <c r="B38" t="s">
        <v>545</v>
      </c>
      <c r="C38" t="s">
        <v>467</v>
      </c>
      <c r="D38" t="s">
        <v>612</v>
      </c>
      <c r="E38" t="s">
        <v>613</v>
      </c>
      <c r="F38" t="s">
        <v>614</v>
      </c>
      <c r="G38">
        <v>15</v>
      </c>
      <c r="H38" t="s">
        <v>338</v>
      </c>
      <c r="I38" s="50">
        <v>45881.658530092594</v>
      </c>
      <c r="J38" s="50">
        <v>45881.658530092594</v>
      </c>
    </row>
    <row r="39" spans="1:10" x14ac:dyDescent="0.25">
      <c r="A39">
        <v>38</v>
      </c>
      <c r="B39" t="s">
        <v>615</v>
      </c>
      <c r="C39" t="s">
        <v>138</v>
      </c>
      <c r="D39" t="s">
        <v>616</v>
      </c>
      <c r="E39" t="s">
        <v>617</v>
      </c>
      <c r="F39" t="s">
        <v>618</v>
      </c>
      <c r="G39">
        <v>15</v>
      </c>
      <c r="H39" t="s">
        <v>338</v>
      </c>
      <c r="I39" s="50">
        <v>45881.658541666664</v>
      </c>
      <c r="J39" s="50">
        <v>45881.658541666664</v>
      </c>
    </row>
    <row r="40" spans="1:10" x14ac:dyDescent="0.25">
      <c r="A40">
        <v>39</v>
      </c>
      <c r="B40" t="s">
        <v>619</v>
      </c>
      <c r="C40" t="s">
        <v>457</v>
      </c>
      <c r="D40" t="s">
        <v>620</v>
      </c>
      <c r="E40" t="s">
        <v>621</v>
      </c>
      <c r="F40" t="s">
        <v>622</v>
      </c>
      <c r="G40">
        <v>16</v>
      </c>
      <c r="H40" t="s">
        <v>346</v>
      </c>
      <c r="I40" s="50">
        <v>45881.658564814818</v>
      </c>
      <c r="J40" s="50">
        <v>45881.658564814818</v>
      </c>
    </row>
    <row r="41" spans="1:10" x14ac:dyDescent="0.25">
      <c r="A41">
        <v>40</v>
      </c>
      <c r="B41" t="s">
        <v>623</v>
      </c>
      <c r="C41" t="s">
        <v>537</v>
      </c>
      <c r="D41" t="s">
        <v>624</v>
      </c>
      <c r="E41" t="s">
        <v>625</v>
      </c>
      <c r="F41" t="s">
        <v>626</v>
      </c>
      <c r="G41">
        <v>16</v>
      </c>
      <c r="H41" t="s">
        <v>346</v>
      </c>
      <c r="I41" s="50">
        <v>45881.658587962964</v>
      </c>
      <c r="J41" s="50">
        <v>45881.658587962964</v>
      </c>
    </row>
    <row r="42" spans="1:10" x14ac:dyDescent="0.25">
      <c r="A42">
        <v>41</v>
      </c>
      <c r="B42" t="s">
        <v>591</v>
      </c>
      <c r="C42" t="s">
        <v>125</v>
      </c>
      <c r="D42" t="s">
        <v>627</v>
      </c>
      <c r="E42" t="s">
        <v>628</v>
      </c>
      <c r="F42" t="s">
        <v>629</v>
      </c>
      <c r="G42">
        <v>16</v>
      </c>
      <c r="H42" t="s">
        <v>346</v>
      </c>
      <c r="I42" s="50">
        <v>45881.65861111111</v>
      </c>
      <c r="J42" s="50">
        <v>45881.65861111111</v>
      </c>
    </row>
    <row r="43" spans="1:10" x14ac:dyDescent="0.25">
      <c r="A43">
        <v>42</v>
      </c>
      <c r="B43" t="s">
        <v>630</v>
      </c>
      <c r="C43" t="s">
        <v>457</v>
      </c>
      <c r="D43" t="s">
        <v>631</v>
      </c>
      <c r="E43" t="s">
        <v>632</v>
      </c>
      <c r="F43" t="s">
        <v>633</v>
      </c>
      <c r="G43">
        <v>17</v>
      </c>
      <c r="H43" t="s">
        <v>354</v>
      </c>
      <c r="I43" s="50">
        <v>45881.658634259256</v>
      </c>
      <c r="J43" s="50">
        <v>45881.658634259256</v>
      </c>
    </row>
    <row r="44" spans="1:10" x14ac:dyDescent="0.25">
      <c r="A44">
        <v>43</v>
      </c>
      <c r="B44" t="s">
        <v>634</v>
      </c>
      <c r="C44" t="s">
        <v>116</v>
      </c>
      <c r="D44" t="s">
        <v>635</v>
      </c>
      <c r="E44" t="s">
        <v>636</v>
      </c>
      <c r="F44" t="s">
        <v>637</v>
      </c>
      <c r="G44">
        <v>17</v>
      </c>
      <c r="H44" t="s">
        <v>354</v>
      </c>
      <c r="I44" s="50">
        <v>45881.65865740741</v>
      </c>
      <c r="J44" s="50">
        <v>45881.65865740741</v>
      </c>
    </row>
    <row r="45" spans="1:10" x14ac:dyDescent="0.25">
      <c r="A45">
        <v>44</v>
      </c>
      <c r="B45" t="s">
        <v>638</v>
      </c>
      <c r="C45" t="s">
        <v>639</v>
      </c>
      <c r="D45" t="s">
        <v>640</v>
      </c>
      <c r="E45" t="s">
        <v>641</v>
      </c>
      <c r="F45" t="s">
        <v>642</v>
      </c>
      <c r="G45">
        <v>17</v>
      </c>
      <c r="H45" t="s">
        <v>354</v>
      </c>
      <c r="I45" s="50">
        <v>45881.658680555556</v>
      </c>
      <c r="J45" s="50">
        <v>45881.658680555556</v>
      </c>
    </row>
    <row r="46" spans="1:10" x14ac:dyDescent="0.25">
      <c r="A46">
        <v>45</v>
      </c>
      <c r="B46" t="s">
        <v>643</v>
      </c>
      <c r="C46" t="s">
        <v>118</v>
      </c>
      <c r="D46" t="s">
        <v>644</v>
      </c>
      <c r="E46" t="s">
        <v>645</v>
      </c>
      <c r="F46" t="s">
        <v>646</v>
      </c>
      <c r="G46">
        <v>18</v>
      </c>
      <c r="H46" t="s">
        <v>362</v>
      </c>
      <c r="I46" s="50">
        <v>45881.658692129633</v>
      </c>
      <c r="J46" s="50">
        <v>45881.658692129633</v>
      </c>
    </row>
    <row r="47" spans="1:10" x14ac:dyDescent="0.25">
      <c r="A47">
        <v>46</v>
      </c>
      <c r="B47" t="s">
        <v>647</v>
      </c>
      <c r="C47" t="s">
        <v>554</v>
      </c>
      <c r="D47" t="s">
        <v>648</v>
      </c>
      <c r="E47" t="s">
        <v>649</v>
      </c>
      <c r="F47" t="s">
        <v>650</v>
      </c>
      <c r="G47">
        <v>18</v>
      </c>
      <c r="H47" t="s">
        <v>362</v>
      </c>
      <c r="I47" s="50">
        <v>45881.658715277779</v>
      </c>
      <c r="J47" s="50">
        <v>45881.658715277779</v>
      </c>
    </row>
    <row r="48" spans="1:10" x14ac:dyDescent="0.25">
      <c r="A48">
        <v>47</v>
      </c>
      <c r="B48" t="s">
        <v>651</v>
      </c>
      <c r="C48" t="s">
        <v>639</v>
      </c>
      <c r="D48" t="s">
        <v>652</v>
      </c>
      <c r="E48" t="s">
        <v>653</v>
      </c>
      <c r="F48" t="s">
        <v>654</v>
      </c>
      <c r="G48">
        <v>18</v>
      </c>
      <c r="H48" t="s">
        <v>362</v>
      </c>
      <c r="I48" s="50">
        <v>45881.658738425926</v>
      </c>
      <c r="J48" s="50">
        <v>45881.658738425926</v>
      </c>
    </row>
    <row r="49" spans="1:10" x14ac:dyDescent="0.25">
      <c r="A49">
        <v>48</v>
      </c>
      <c r="B49" t="s">
        <v>655</v>
      </c>
      <c r="C49" t="s">
        <v>114</v>
      </c>
      <c r="D49" t="s">
        <v>656</v>
      </c>
      <c r="E49" t="s">
        <v>657</v>
      </c>
      <c r="F49" t="s">
        <v>658</v>
      </c>
      <c r="G49">
        <v>19</v>
      </c>
      <c r="H49" t="s">
        <v>370</v>
      </c>
      <c r="I49" s="50">
        <v>45881.658761574072</v>
      </c>
      <c r="J49" s="50">
        <v>45881.658761574072</v>
      </c>
    </row>
    <row r="50" spans="1:10" x14ac:dyDescent="0.25">
      <c r="A50">
        <v>49</v>
      </c>
      <c r="B50" t="s">
        <v>659</v>
      </c>
      <c r="C50" t="s">
        <v>114</v>
      </c>
      <c r="D50" t="s">
        <v>660</v>
      </c>
      <c r="E50" t="s">
        <v>661</v>
      </c>
      <c r="F50" t="s">
        <v>662</v>
      </c>
      <c r="G50">
        <v>19</v>
      </c>
      <c r="H50" t="s">
        <v>370</v>
      </c>
      <c r="I50" s="50">
        <v>45881.658784722225</v>
      </c>
      <c r="J50" s="50">
        <v>45881.658784722225</v>
      </c>
    </row>
    <row r="51" spans="1:10" x14ac:dyDescent="0.25">
      <c r="A51">
        <v>50</v>
      </c>
      <c r="B51" t="s">
        <v>663</v>
      </c>
      <c r="C51" t="s">
        <v>494</v>
      </c>
      <c r="D51" t="s">
        <v>664</v>
      </c>
      <c r="E51" t="s">
        <v>665</v>
      </c>
      <c r="F51" t="s">
        <v>666</v>
      </c>
      <c r="G51">
        <v>19</v>
      </c>
      <c r="H51" t="s">
        <v>370</v>
      </c>
      <c r="I51" s="50">
        <v>45881.658796296295</v>
      </c>
      <c r="J51" s="50">
        <v>45881.658796296295</v>
      </c>
    </row>
    <row r="52" spans="1:10" x14ac:dyDescent="0.25">
      <c r="A52">
        <v>51</v>
      </c>
      <c r="B52" t="s">
        <v>667</v>
      </c>
      <c r="C52" t="s">
        <v>668</v>
      </c>
      <c r="D52" t="s">
        <v>669</v>
      </c>
      <c r="E52" t="s">
        <v>670</v>
      </c>
      <c r="F52" t="s">
        <v>671</v>
      </c>
      <c r="G52">
        <v>20</v>
      </c>
      <c r="H52" t="s">
        <v>189</v>
      </c>
      <c r="I52" s="50">
        <v>45881.658819444441</v>
      </c>
      <c r="J52" s="50">
        <v>45881.658819444441</v>
      </c>
    </row>
    <row r="53" spans="1:10" x14ac:dyDescent="0.25">
      <c r="A53">
        <v>52</v>
      </c>
      <c r="B53" t="s">
        <v>672</v>
      </c>
      <c r="C53" t="s">
        <v>138</v>
      </c>
      <c r="D53" t="s">
        <v>673</v>
      </c>
      <c r="E53" t="s">
        <v>674</v>
      </c>
      <c r="F53" t="s">
        <v>675</v>
      </c>
      <c r="G53">
        <v>20</v>
      </c>
      <c r="H53" t="s">
        <v>189</v>
      </c>
      <c r="I53" s="50">
        <v>45881.658842592595</v>
      </c>
      <c r="J53" s="50">
        <v>45881.658842592595</v>
      </c>
    </row>
    <row r="54" spans="1:10" x14ac:dyDescent="0.25">
      <c r="A54">
        <v>53</v>
      </c>
      <c r="B54" t="s">
        <v>676</v>
      </c>
      <c r="C54" t="s">
        <v>138</v>
      </c>
      <c r="D54" t="s">
        <v>677</v>
      </c>
      <c r="E54" t="s">
        <v>678</v>
      </c>
      <c r="F54" t="s">
        <v>679</v>
      </c>
      <c r="G54">
        <v>20</v>
      </c>
      <c r="H54" t="s">
        <v>189</v>
      </c>
      <c r="I54" s="50">
        <v>45881.658865740741</v>
      </c>
      <c r="J54" s="50">
        <v>45881.658865740741</v>
      </c>
    </row>
    <row r="55" spans="1:10" x14ac:dyDescent="0.25">
      <c r="A55">
        <v>54</v>
      </c>
      <c r="B55" t="s">
        <v>680</v>
      </c>
      <c r="C55" t="s">
        <v>125</v>
      </c>
      <c r="D55" t="s">
        <v>681</v>
      </c>
      <c r="E55" t="s">
        <v>682</v>
      </c>
      <c r="F55" t="s">
        <v>683</v>
      </c>
      <c r="G55">
        <v>21</v>
      </c>
      <c r="H55" t="s">
        <v>197</v>
      </c>
      <c r="I55" s="50">
        <v>45881.658888888887</v>
      </c>
      <c r="J55" s="50">
        <v>45881.658888888887</v>
      </c>
    </row>
    <row r="56" spans="1:10" x14ac:dyDescent="0.25">
      <c r="A56">
        <v>55</v>
      </c>
      <c r="B56" t="s">
        <v>684</v>
      </c>
      <c r="C56" t="s">
        <v>271</v>
      </c>
      <c r="D56" t="s">
        <v>685</v>
      </c>
      <c r="E56" t="s">
        <v>686</v>
      </c>
      <c r="F56" t="s">
        <v>687</v>
      </c>
      <c r="G56">
        <v>21</v>
      </c>
      <c r="H56" t="s">
        <v>197</v>
      </c>
      <c r="I56" s="50">
        <v>45881.658900462964</v>
      </c>
      <c r="J56" s="50">
        <v>45881.658900462964</v>
      </c>
    </row>
    <row r="57" spans="1:10" x14ac:dyDescent="0.25">
      <c r="A57">
        <v>56</v>
      </c>
      <c r="B57" t="s">
        <v>688</v>
      </c>
      <c r="C57" t="s">
        <v>226</v>
      </c>
      <c r="D57" t="s">
        <v>689</v>
      </c>
      <c r="E57" t="s">
        <v>690</v>
      </c>
      <c r="F57" t="s">
        <v>691</v>
      </c>
      <c r="G57">
        <v>22</v>
      </c>
      <c r="H57" t="s">
        <v>205</v>
      </c>
      <c r="I57" s="50">
        <v>45881.65892361111</v>
      </c>
      <c r="J57" s="50">
        <v>45881.65892361111</v>
      </c>
    </row>
    <row r="58" spans="1:10" x14ac:dyDescent="0.25">
      <c r="A58">
        <v>57</v>
      </c>
      <c r="B58" t="s">
        <v>692</v>
      </c>
      <c r="C58" t="s">
        <v>693</v>
      </c>
      <c r="D58" t="s">
        <v>694</v>
      </c>
      <c r="E58" t="s">
        <v>695</v>
      </c>
      <c r="F58" t="s">
        <v>696</v>
      </c>
      <c r="G58">
        <v>22</v>
      </c>
      <c r="H58" t="s">
        <v>205</v>
      </c>
      <c r="I58" s="50">
        <v>45881.658946759257</v>
      </c>
      <c r="J58" s="50">
        <v>45881.658946759257</v>
      </c>
    </row>
    <row r="59" spans="1:10" x14ac:dyDescent="0.25">
      <c r="A59">
        <v>58</v>
      </c>
      <c r="B59" t="s">
        <v>697</v>
      </c>
      <c r="C59" t="s">
        <v>118</v>
      </c>
      <c r="D59" t="s">
        <v>698</v>
      </c>
      <c r="E59" t="s">
        <v>699</v>
      </c>
      <c r="F59" t="s">
        <v>700</v>
      </c>
      <c r="G59">
        <v>23</v>
      </c>
      <c r="H59" t="s">
        <v>213</v>
      </c>
      <c r="I59" s="50">
        <v>45881.658958333333</v>
      </c>
      <c r="J59" s="50">
        <v>45881.658958333333</v>
      </c>
    </row>
    <row r="60" spans="1:10" x14ac:dyDescent="0.25">
      <c r="A60">
        <v>59</v>
      </c>
      <c r="B60" t="s">
        <v>701</v>
      </c>
      <c r="C60" t="s">
        <v>114</v>
      </c>
      <c r="D60" t="s">
        <v>702</v>
      </c>
      <c r="E60" t="s">
        <v>703</v>
      </c>
      <c r="F60" t="s">
        <v>704</v>
      </c>
      <c r="G60">
        <v>23</v>
      </c>
      <c r="H60" t="s">
        <v>213</v>
      </c>
      <c r="I60" s="50">
        <v>45881.65898148148</v>
      </c>
      <c r="J60" s="50">
        <v>45881.65898148148</v>
      </c>
    </row>
    <row r="61" spans="1:10" x14ac:dyDescent="0.25">
      <c r="A61">
        <v>60</v>
      </c>
      <c r="B61" t="s">
        <v>705</v>
      </c>
      <c r="C61" t="s">
        <v>9</v>
      </c>
      <c r="D61" t="s">
        <v>706</v>
      </c>
      <c r="E61" t="s">
        <v>707</v>
      </c>
      <c r="F61" t="s">
        <v>708</v>
      </c>
      <c r="G61">
        <v>24</v>
      </c>
      <c r="H61" t="s">
        <v>221</v>
      </c>
      <c r="I61" s="50">
        <v>45881.659004629626</v>
      </c>
      <c r="J61" s="50">
        <v>45881.659004629626</v>
      </c>
    </row>
    <row r="62" spans="1:10" x14ac:dyDescent="0.25">
      <c r="A62">
        <v>61</v>
      </c>
      <c r="B62" t="s">
        <v>709</v>
      </c>
      <c r="C62" t="s">
        <v>133</v>
      </c>
      <c r="D62" t="s">
        <v>710</v>
      </c>
      <c r="E62" t="s">
        <v>711</v>
      </c>
      <c r="F62" t="s">
        <v>712</v>
      </c>
      <c r="G62">
        <v>24</v>
      </c>
      <c r="H62" t="s">
        <v>221</v>
      </c>
      <c r="I62" s="50">
        <v>45881.65902777778</v>
      </c>
      <c r="J62" s="50">
        <v>45881.65902777778</v>
      </c>
    </row>
    <row r="63" spans="1:10" x14ac:dyDescent="0.25">
      <c r="A63">
        <v>62</v>
      </c>
      <c r="B63" t="s">
        <v>713</v>
      </c>
      <c r="C63" t="s">
        <v>271</v>
      </c>
      <c r="D63" t="s">
        <v>714</v>
      </c>
      <c r="E63" t="s">
        <v>715</v>
      </c>
      <c r="F63" t="s">
        <v>716</v>
      </c>
      <c r="G63">
        <v>25</v>
      </c>
      <c r="H63" t="s">
        <v>229</v>
      </c>
      <c r="I63" s="50">
        <v>45881.659050925926</v>
      </c>
      <c r="J63" s="50">
        <v>45881.659050925926</v>
      </c>
    </row>
    <row r="64" spans="1:10" x14ac:dyDescent="0.25">
      <c r="A64">
        <v>63</v>
      </c>
      <c r="B64" t="s">
        <v>717</v>
      </c>
      <c r="C64" t="s">
        <v>123</v>
      </c>
      <c r="D64" t="s">
        <v>718</v>
      </c>
      <c r="E64" t="s">
        <v>719</v>
      </c>
      <c r="F64" t="s">
        <v>720</v>
      </c>
      <c r="G64">
        <v>25</v>
      </c>
      <c r="H64" t="s">
        <v>229</v>
      </c>
      <c r="I64" s="50">
        <v>45881.659062500003</v>
      </c>
      <c r="J64" s="50">
        <v>45881.659062500003</v>
      </c>
    </row>
    <row r="65" spans="1:10" x14ac:dyDescent="0.25">
      <c r="A65">
        <v>64</v>
      </c>
      <c r="B65" t="s">
        <v>721</v>
      </c>
      <c r="C65" t="s">
        <v>601</v>
      </c>
      <c r="D65" t="s">
        <v>722</v>
      </c>
      <c r="E65" t="s">
        <v>723</v>
      </c>
      <c r="F65" t="s">
        <v>724</v>
      </c>
      <c r="G65">
        <v>25</v>
      </c>
      <c r="H65" t="s">
        <v>229</v>
      </c>
      <c r="I65" s="50">
        <v>45881.659085648149</v>
      </c>
      <c r="J65" s="50">
        <v>45881.659085648149</v>
      </c>
    </row>
    <row r="66" spans="1:10" x14ac:dyDescent="0.25">
      <c r="A66">
        <v>65</v>
      </c>
      <c r="B66" t="s">
        <v>725</v>
      </c>
      <c r="C66" t="s">
        <v>693</v>
      </c>
      <c r="D66" t="s">
        <v>726</v>
      </c>
      <c r="E66" t="s">
        <v>727</v>
      </c>
      <c r="F66" t="s">
        <v>728</v>
      </c>
      <c r="G66">
        <v>26</v>
      </c>
      <c r="H66" t="s">
        <v>236</v>
      </c>
      <c r="I66" s="50">
        <v>45881.659108796295</v>
      </c>
      <c r="J66" s="50">
        <v>45881.659108796295</v>
      </c>
    </row>
    <row r="67" spans="1:10" x14ac:dyDescent="0.25">
      <c r="A67">
        <v>66</v>
      </c>
      <c r="B67" t="s">
        <v>729</v>
      </c>
      <c r="C67" t="s">
        <v>563</v>
      </c>
      <c r="D67" t="s">
        <v>730</v>
      </c>
      <c r="E67" t="s">
        <v>731</v>
      </c>
      <c r="F67" t="s">
        <v>732</v>
      </c>
      <c r="G67">
        <v>26</v>
      </c>
      <c r="H67" t="s">
        <v>236</v>
      </c>
      <c r="I67" s="50">
        <v>45881.659131944441</v>
      </c>
      <c r="J67" s="50">
        <v>45881.659131944441</v>
      </c>
    </row>
    <row r="68" spans="1:10" x14ac:dyDescent="0.25">
      <c r="A68">
        <v>67</v>
      </c>
      <c r="B68" t="s">
        <v>733</v>
      </c>
      <c r="C68" t="s">
        <v>271</v>
      </c>
      <c r="D68" t="s">
        <v>734</v>
      </c>
      <c r="E68" t="s">
        <v>735</v>
      </c>
      <c r="F68" t="s">
        <v>736</v>
      </c>
      <c r="G68">
        <v>27</v>
      </c>
      <c r="H68" t="s">
        <v>243</v>
      </c>
      <c r="I68" s="50">
        <v>45881.659155092595</v>
      </c>
      <c r="J68" s="50">
        <v>45881.659155092595</v>
      </c>
    </row>
    <row r="69" spans="1:10" x14ac:dyDescent="0.25">
      <c r="A69">
        <v>68</v>
      </c>
      <c r="B69" t="s">
        <v>737</v>
      </c>
      <c r="C69" t="s">
        <v>537</v>
      </c>
      <c r="D69" t="s">
        <v>738</v>
      </c>
      <c r="E69" t="s">
        <v>739</v>
      </c>
      <c r="F69" t="s">
        <v>740</v>
      </c>
      <c r="G69">
        <v>27</v>
      </c>
      <c r="H69" t="s">
        <v>243</v>
      </c>
      <c r="I69" s="50">
        <v>45881.659178240741</v>
      </c>
      <c r="J69" s="50">
        <v>45881.659178240741</v>
      </c>
    </row>
    <row r="70" spans="1:10" x14ac:dyDescent="0.25">
      <c r="A70">
        <v>69</v>
      </c>
      <c r="B70" t="s">
        <v>741</v>
      </c>
      <c r="C70" t="s">
        <v>499</v>
      </c>
      <c r="D70" t="s">
        <v>742</v>
      </c>
      <c r="E70" t="s">
        <v>743</v>
      </c>
      <c r="F70" t="s">
        <v>744</v>
      </c>
      <c r="G70">
        <v>28</v>
      </c>
      <c r="H70" t="s">
        <v>251</v>
      </c>
      <c r="I70" s="50">
        <v>45881.659189814818</v>
      </c>
      <c r="J70" s="50">
        <v>45881.659189814818</v>
      </c>
    </row>
    <row r="71" spans="1:10" x14ac:dyDescent="0.25">
      <c r="A71">
        <v>70</v>
      </c>
      <c r="B71" t="s">
        <v>745</v>
      </c>
      <c r="C71" t="s">
        <v>746</v>
      </c>
      <c r="D71" t="s">
        <v>747</v>
      </c>
      <c r="E71" t="s">
        <v>748</v>
      </c>
      <c r="F71" t="s">
        <v>749</v>
      </c>
      <c r="G71">
        <v>28</v>
      </c>
      <c r="H71" t="s">
        <v>251</v>
      </c>
      <c r="I71" s="50">
        <v>45881.659212962964</v>
      </c>
      <c r="J71" s="50">
        <v>45881.659212962964</v>
      </c>
    </row>
    <row r="72" spans="1:10" x14ac:dyDescent="0.25">
      <c r="A72">
        <v>71</v>
      </c>
      <c r="B72" t="s">
        <v>750</v>
      </c>
      <c r="C72" t="s">
        <v>746</v>
      </c>
      <c r="D72" t="s">
        <v>751</v>
      </c>
      <c r="E72" t="s">
        <v>752</v>
      </c>
      <c r="F72" t="s">
        <v>753</v>
      </c>
      <c r="G72">
        <v>29</v>
      </c>
      <c r="H72" t="s">
        <v>259</v>
      </c>
      <c r="I72" s="50">
        <v>45881.659236111111</v>
      </c>
      <c r="J72" s="50">
        <v>45881.659236111111</v>
      </c>
    </row>
    <row r="73" spans="1:10" x14ac:dyDescent="0.25">
      <c r="A73">
        <v>72</v>
      </c>
      <c r="B73" t="s">
        <v>754</v>
      </c>
      <c r="C73" t="s">
        <v>668</v>
      </c>
      <c r="D73" t="s">
        <v>755</v>
      </c>
      <c r="E73" t="s">
        <v>756</v>
      </c>
      <c r="F73" t="s">
        <v>757</v>
      </c>
      <c r="G73">
        <v>29</v>
      </c>
      <c r="H73" t="s">
        <v>259</v>
      </c>
      <c r="I73" s="50">
        <v>45881.659259259257</v>
      </c>
      <c r="J73" s="50">
        <v>45881.659259259257</v>
      </c>
    </row>
    <row r="74" spans="1:10" x14ac:dyDescent="0.25">
      <c r="A74">
        <v>73</v>
      </c>
      <c r="B74" t="s">
        <v>758</v>
      </c>
      <c r="C74" t="s">
        <v>639</v>
      </c>
      <c r="D74" t="s">
        <v>759</v>
      </c>
      <c r="E74" t="s">
        <v>760</v>
      </c>
      <c r="F74" t="s">
        <v>761</v>
      </c>
      <c r="G74">
        <v>30</v>
      </c>
      <c r="H74" t="s">
        <v>266</v>
      </c>
      <c r="I74" s="50">
        <v>45881.659282407411</v>
      </c>
      <c r="J74" s="50">
        <v>45881.659282407411</v>
      </c>
    </row>
    <row r="75" spans="1:10" x14ac:dyDescent="0.25">
      <c r="A75">
        <v>74</v>
      </c>
      <c r="B75" t="s">
        <v>762</v>
      </c>
      <c r="C75" t="s">
        <v>601</v>
      </c>
      <c r="D75" t="s">
        <v>763</v>
      </c>
      <c r="E75" t="s">
        <v>764</v>
      </c>
      <c r="F75" t="s">
        <v>765</v>
      </c>
      <c r="G75">
        <v>30</v>
      </c>
      <c r="H75" t="s">
        <v>266</v>
      </c>
      <c r="I75" s="50">
        <v>45881.659305555557</v>
      </c>
      <c r="J75" s="50">
        <v>45881.659305555557</v>
      </c>
    </row>
    <row r="76" spans="1:10" x14ac:dyDescent="0.25">
      <c r="A76">
        <v>75</v>
      </c>
      <c r="B76" t="s">
        <v>766</v>
      </c>
      <c r="C76" t="s">
        <v>537</v>
      </c>
      <c r="D76" t="s">
        <v>767</v>
      </c>
      <c r="E76" t="s">
        <v>768</v>
      </c>
      <c r="F76" t="s">
        <v>769</v>
      </c>
      <c r="G76">
        <v>30</v>
      </c>
      <c r="H76" t="s">
        <v>266</v>
      </c>
      <c r="I76" s="50">
        <v>45881.659328703703</v>
      </c>
      <c r="J76" s="50">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570312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50">
        <v>46157.659375000003</v>
      </c>
      <c r="E2" t="s">
        <v>419</v>
      </c>
      <c r="F2">
        <v>1</v>
      </c>
      <c r="G2" t="s">
        <v>91</v>
      </c>
      <c r="H2" s="50">
        <v>45881.660324074073</v>
      </c>
      <c r="I2" s="50">
        <v>45881.660324074073</v>
      </c>
    </row>
    <row r="3" spans="1:9" x14ac:dyDescent="0.25">
      <c r="A3">
        <v>2</v>
      </c>
      <c r="B3" t="s">
        <v>420</v>
      </c>
      <c r="C3" t="s">
        <v>98</v>
      </c>
      <c r="D3" s="50">
        <v>46150.659375000003</v>
      </c>
      <c r="E3" t="s">
        <v>421</v>
      </c>
      <c r="F3">
        <v>1</v>
      </c>
      <c r="G3" t="s">
        <v>91</v>
      </c>
      <c r="H3" s="50">
        <v>45881.66034722222</v>
      </c>
      <c r="I3" s="50">
        <v>45881.66034722222</v>
      </c>
    </row>
    <row r="4" spans="1:9" x14ac:dyDescent="0.25">
      <c r="A4">
        <v>3</v>
      </c>
      <c r="B4" t="s">
        <v>422</v>
      </c>
      <c r="C4" t="s">
        <v>166</v>
      </c>
      <c r="D4" s="50">
        <v>46143.659375000003</v>
      </c>
      <c r="E4" t="s">
        <v>423</v>
      </c>
      <c r="F4">
        <v>1</v>
      </c>
      <c r="G4" t="s">
        <v>91</v>
      </c>
      <c r="H4" s="50">
        <v>45881.660370370373</v>
      </c>
      <c r="I4" s="50">
        <v>45881.660370370373</v>
      </c>
    </row>
    <row r="5" spans="1:9" x14ac:dyDescent="0.25">
      <c r="A5">
        <v>4</v>
      </c>
      <c r="B5" t="s">
        <v>424</v>
      </c>
      <c r="C5" t="s">
        <v>101</v>
      </c>
      <c r="D5" s="50">
        <v>46136.659375000003</v>
      </c>
      <c r="E5" t="s">
        <v>423</v>
      </c>
      <c r="F5">
        <v>1</v>
      </c>
      <c r="G5" t="s">
        <v>91</v>
      </c>
      <c r="H5" s="50">
        <v>45881.660393518519</v>
      </c>
      <c r="I5" s="50">
        <v>45881.660393518519</v>
      </c>
    </row>
    <row r="6" spans="1:9" x14ac:dyDescent="0.25">
      <c r="A6">
        <v>5</v>
      </c>
      <c r="B6" t="s">
        <v>425</v>
      </c>
      <c r="C6" t="s">
        <v>157</v>
      </c>
      <c r="D6" s="50">
        <v>45975.659398148149</v>
      </c>
      <c r="E6" t="s">
        <v>421</v>
      </c>
      <c r="F6">
        <v>2</v>
      </c>
      <c r="G6" t="s">
        <v>94</v>
      </c>
      <c r="H6" s="50">
        <v>45881.660416666666</v>
      </c>
      <c r="I6" s="50">
        <v>45881.660416666666</v>
      </c>
    </row>
    <row r="7" spans="1:9" x14ac:dyDescent="0.25">
      <c r="A7">
        <v>6</v>
      </c>
      <c r="B7" t="s">
        <v>426</v>
      </c>
      <c r="C7" t="s">
        <v>145</v>
      </c>
      <c r="D7" s="50">
        <v>45965.659398148149</v>
      </c>
      <c r="E7" t="s">
        <v>421</v>
      </c>
      <c r="F7">
        <v>2</v>
      </c>
      <c r="G7" t="s">
        <v>94</v>
      </c>
      <c r="H7" s="50">
        <v>45881.660439814812</v>
      </c>
      <c r="I7" s="50">
        <v>45881.660439814812</v>
      </c>
    </row>
    <row r="8" spans="1:9" x14ac:dyDescent="0.25">
      <c r="A8">
        <v>7</v>
      </c>
      <c r="B8" t="s">
        <v>427</v>
      </c>
      <c r="C8" t="s">
        <v>273</v>
      </c>
      <c r="D8" s="50">
        <v>45955.701064814813</v>
      </c>
      <c r="E8" t="s">
        <v>423</v>
      </c>
      <c r="F8">
        <v>2</v>
      </c>
      <c r="G8" t="s">
        <v>94</v>
      </c>
      <c r="H8" s="50">
        <v>45881.660462962966</v>
      </c>
      <c r="I8" s="50">
        <v>45881.660462962966</v>
      </c>
    </row>
    <row r="9" spans="1:9" x14ac:dyDescent="0.25">
      <c r="A9">
        <v>8</v>
      </c>
      <c r="B9" t="s">
        <v>428</v>
      </c>
      <c r="C9" t="s">
        <v>429</v>
      </c>
      <c r="D9" s="50">
        <v>45945.701064814813</v>
      </c>
      <c r="E9" t="s">
        <v>423</v>
      </c>
      <c r="F9">
        <v>2</v>
      </c>
      <c r="G9" t="s">
        <v>94</v>
      </c>
      <c r="H9" s="50">
        <v>45881.660486111112</v>
      </c>
      <c r="I9" s="50">
        <v>45881.660486111112</v>
      </c>
    </row>
    <row r="10" spans="1:9" x14ac:dyDescent="0.25">
      <c r="A10">
        <v>9</v>
      </c>
      <c r="B10" t="s">
        <v>430</v>
      </c>
      <c r="C10" t="s">
        <v>98</v>
      </c>
      <c r="D10" s="50">
        <v>45935.701064814813</v>
      </c>
      <c r="E10" t="s">
        <v>423</v>
      </c>
      <c r="F10">
        <v>2</v>
      </c>
      <c r="G10" t="s">
        <v>94</v>
      </c>
      <c r="H10" s="50">
        <v>45881.660509259258</v>
      </c>
      <c r="I10" s="50">
        <v>45881.660509259258</v>
      </c>
    </row>
    <row r="11" spans="1:9" x14ac:dyDescent="0.25">
      <c r="A11">
        <v>10</v>
      </c>
      <c r="B11" t="s">
        <v>425</v>
      </c>
      <c r="C11" t="s">
        <v>98</v>
      </c>
      <c r="D11" s="50">
        <v>45918.659421296295</v>
      </c>
      <c r="E11" t="s">
        <v>421</v>
      </c>
      <c r="F11">
        <v>3</v>
      </c>
      <c r="G11" t="s">
        <v>97</v>
      </c>
      <c r="H11" s="50">
        <v>45881.660532407404</v>
      </c>
      <c r="I11" s="50">
        <v>45881.660532407404</v>
      </c>
    </row>
    <row r="12" spans="1:9" x14ac:dyDescent="0.25">
      <c r="A12">
        <v>11</v>
      </c>
      <c r="B12" t="s">
        <v>426</v>
      </c>
      <c r="C12" t="s">
        <v>150</v>
      </c>
      <c r="D12" s="50">
        <v>45908.659421296295</v>
      </c>
      <c r="E12" t="s">
        <v>421</v>
      </c>
      <c r="F12">
        <v>3</v>
      </c>
      <c r="G12" t="s">
        <v>97</v>
      </c>
      <c r="H12" s="50">
        <v>45881.660555555558</v>
      </c>
      <c r="I12" s="50">
        <v>45881.660555555558</v>
      </c>
    </row>
    <row r="13" spans="1:9" x14ac:dyDescent="0.25">
      <c r="A13">
        <v>12</v>
      </c>
      <c r="B13" t="s">
        <v>427</v>
      </c>
      <c r="C13" t="s">
        <v>98</v>
      </c>
      <c r="D13" s="50">
        <v>45898.659421296295</v>
      </c>
      <c r="E13" t="s">
        <v>423</v>
      </c>
      <c r="F13">
        <v>3</v>
      </c>
      <c r="G13" t="s">
        <v>97</v>
      </c>
      <c r="H13" s="50">
        <v>45881.660578703704</v>
      </c>
      <c r="I13" s="50">
        <v>45881.660578703704</v>
      </c>
    </row>
    <row r="14" spans="1:9" x14ac:dyDescent="0.25">
      <c r="A14">
        <v>13</v>
      </c>
      <c r="B14" t="s">
        <v>428</v>
      </c>
      <c r="C14" t="s">
        <v>92</v>
      </c>
      <c r="D14" s="50">
        <v>45888.659421296295</v>
      </c>
      <c r="E14" t="s">
        <v>423</v>
      </c>
      <c r="F14">
        <v>3</v>
      </c>
      <c r="G14" t="s">
        <v>97</v>
      </c>
      <c r="H14" s="50">
        <v>45881.660601851851</v>
      </c>
      <c r="I14" s="50">
        <v>45881.660601851851</v>
      </c>
    </row>
    <row r="15" spans="1:9" x14ac:dyDescent="0.25">
      <c r="A15">
        <v>14</v>
      </c>
      <c r="B15" t="s">
        <v>430</v>
      </c>
      <c r="C15" t="s">
        <v>431</v>
      </c>
      <c r="D15" s="50">
        <v>45903.660590277781</v>
      </c>
      <c r="E15" t="s">
        <v>423</v>
      </c>
      <c r="F15">
        <v>3</v>
      </c>
      <c r="G15" t="s">
        <v>97</v>
      </c>
      <c r="H15" s="50">
        <v>45881.660624999997</v>
      </c>
      <c r="I15" s="50">
        <v>45881.660624999997</v>
      </c>
    </row>
    <row r="16" spans="1:9" x14ac:dyDescent="0.25">
      <c r="A16">
        <v>15</v>
      </c>
      <c r="B16" t="s">
        <v>432</v>
      </c>
      <c r="C16" t="s">
        <v>393</v>
      </c>
      <c r="D16" s="50">
        <v>46009.659432870372</v>
      </c>
      <c r="E16" t="s">
        <v>419</v>
      </c>
      <c r="F16">
        <v>4</v>
      </c>
      <c r="G16" t="s">
        <v>100</v>
      </c>
      <c r="H16" s="50">
        <v>45881.66064814815</v>
      </c>
      <c r="I16" s="50">
        <v>45881.66064814815</v>
      </c>
    </row>
    <row r="17" spans="1:9" x14ac:dyDescent="0.25">
      <c r="A17">
        <v>16</v>
      </c>
      <c r="B17" t="s">
        <v>433</v>
      </c>
      <c r="C17" t="s">
        <v>92</v>
      </c>
      <c r="D17" s="50">
        <v>46002.659432870372</v>
      </c>
      <c r="E17" t="s">
        <v>421</v>
      </c>
      <c r="F17">
        <v>4</v>
      </c>
      <c r="G17" t="s">
        <v>100</v>
      </c>
      <c r="H17" s="50">
        <v>45881.660671296297</v>
      </c>
      <c r="I17" s="50">
        <v>45881.660671296297</v>
      </c>
    </row>
    <row r="18" spans="1:9" x14ac:dyDescent="0.25">
      <c r="A18">
        <v>17</v>
      </c>
      <c r="B18" t="s">
        <v>434</v>
      </c>
      <c r="C18" t="s">
        <v>101</v>
      </c>
      <c r="D18" s="50">
        <v>45995.659432870372</v>
      </c>
      <c r="E18" t="s">
        <v>423</v>
      </c>
      <c r="F18">
        <v>4</v>
      </c>
      <c r="G18" t="s">
        <v>100</v>
      </c>
      <c r="H18" s="50">
        <v>45881.660694444443</v>
      </c>
      <c r="I18" s="50">
        <v>45881.660694444443</v>
      </c>
    </row>
    <row r="19" spans="1:9" x14ac:dyDescent="0.25">
      <c r="A19">
        <v>18</v>
      </c>
      <c r="B19" t="s">
        <v>435</v>
      </c>
      <c r="C19" t="s">
        <v>273</v>
      </c>
      <c r="D19" s="50">
        <v>45979.659432870372</v>
      </c>
      <c r="E19" t="s">
        <v>423</v>
      </c>
      <c r="F19">
        <v>4</v>
      </c>
      <c r="G19" t="s">
        <v>100</v>
      </c>
      <c r="H19" s="50">
        <v>45881.660717592589</v>
      </c>
      <c r="I19" s="50">
        <v>45881.660717592589</v>
      </c>
    </row>
    <row r="20" spans="1:9" x14ac:dyDescent="0.25">
      <c r="A20">
        <v>19</v>
      </c>
      <c r="B20" t="s">
        <v>436</v>
      </c>
      <c r="C20" t="s">
        <v>437</v>
      </c>
      <c r="D20" s="50">
        <v>46352.659467592595</v>
      </c>
      <c r="E20" t="s">
        <v>419</v>
      </c>
      <c r="F20">
        <v>5</v>
      </c>
      <c r="G20" t="s">
        <v>103</v>
      </c>
      <c r="H20" s="50">
        <v>45881.660729166666</v>
      </c>
      <c r="I20" s="50">
        <v>45881.660729166666</v>
      </c>
    </row>
    <row r="21" spans="1:9" x14ac:dyDescent="0.25">
      <c r="A21">
        <v>20</v>
      </c>
      <c r="B21" t="s">
        <v>438</v>
      </c>
      <c r="C21" t="s">
        <v>95</v>
      </c>
      <c r="D21" s="50">
        <v>46345.659467592595</v>
      </c>
      <c r="E21" t="s">
        <v>421</v>
      </c>
      <c r="F21">
        <v>5</v>
      </c>
      <c r="G21" t="s">
        <v>103</v>
      </c>
      <c r="H21" s="50">
        <v>45881.660752314812</v>
      </c>
      <c r="I21" s="50">
        <v>45881.660752314812</v>
      </c>
    </row>
    <row r="22" spans="1:9" x14ac:dyDescent="0.25">
      <c r="A22">
        <v>21</v>
      </c>
      <c r="B22" t="s">
        <v>439</v>
      </c>
      <c r="C22" t="s">
        <v>431</v>
      </c>
      <c r="D22" s="50">
        <v>46338.659467592595</v>
      </c>
      <c r="E22" t="s">
        <v>421</v>
      </c>
      <c r="F22">
        <v>5</v>
      </c>
      <c r="G22" t="s">
        <v>103</v>
      </c>
      <c r="H22" s="50">
        <v>45881.660775462966</v>
      </c>
      <c r="I22" s="50">
        <v>45881.660775462966</v>
      </c>
    </row>
    <row r="23" spans="1:9" x14ac:dyDescent="0.25">
      <c r="A23">
        <v>22</v>
      </c>
      <c r="B23" t="s">
        <v>440</v>
      </c>
      <c r="C23" t="s">
        <v>418</v>
      </c>
      <c r="D23" s="50">
        <v>46331.659467592595</v>
      </c>
      <c r="E23" t="s">
        <v>423</v>
      </c>
      <c r="F23">
        <v>5</v>
      </c>
      <c r="G23" t="s">
        <v>103</v>
      </c>
      <c r="H23" s="50">
        <v>45881.660798611112</v>
      </c>
      <c r="I23" s="50">
        <v>45881.660798611112</v>
      </c>
    </row>
    <row r="24" spans="1:9" x14ac:dyDescent="0.25">
      <c r="A24">
        <v>23</v>
      </c>
      <c r="B24" t="s">
        <v>146</v>
      </c>
      <c r="C24" t="s">
        <v>429</v>
      </c>
      <c r="D24" s="50">
        <v>46324.70113425926</v>
      </c>
      <c r="E24" t="s">
        <v>423</v>
      </c>
      <c r="F24">
        <v>5</v>
      </c>
      <c r="G24" t="s">
        <v>103</v>
      </c>
      <c r="H24" s="50">
        <v>45881.660821759258</v>
      </c>
      <c r="I24" s="50">
        <v>45881.660821759258</v>
      </c>
    </row>
    <row r="25" spans="1:9" x14ac:dyDescent="0.25">
      <c r="A25">
        <v>24</v>
      </c>
      <c r="B25" t="s">
        <v>441</v>
      </c>
      <c r="C25" t="s">
        <v>92</v>
      </c>
      <c r="D25" s="50">
        <v>46140.659490740742</v>
      </c>
      <c r="E25" t="s">
        <v>419</v>
      </c>
      <c r="F25">
        <v>6</v>
      </c>
      <c r="G25" t="s">
        <v>147</v>
      </c>
      <c r="H25" s="50">
        <v>45881.660844907405</v>
      </c>
      <c r="I25" s="50">
        <v>45881.660844907405</v>
      </c>
    </row>
    <row r="26" spans="1:9" x14ac:dyDescent="0.25">
      <c r="A26">
        <v>25</v>
      </c>
      <c r="B26" t="s">
        <v>442</v>
      </c>
      <c r="C26" t="s">
        <v>98</v>
      </c>
      <c r="D26" s="50">
        <v>46110.659490740742</v>
      </c>
      <c r="E26" t="s">
        <v>421</v>
      </c>
      <c r="F26">
        <v>6</v>
      </c>
      <c r="G26" t="s">
        <v>147</v>
      </c>
      <c r="H26" s="50">
        <v>45881.660879629628</v>
      </c>
      <c r="I26" s="50">
        <v>45881.660879629628</v>
      </c>
    </row>
    <row r="27" spans="1:9" x14ac:dyDescent="0.25">
      <c r="A27">
        <v>26</v>
      </c>
      <c r="B27" t="s">
        <v>443</v>
      </c>
      <c r="C27" t="s">
        <v>95</v>
      </c>
      <c r="D27" s="50">
        <v>46080.617824074077</v>
      </c>
      <c r="E27" t="s">
        <v>423</v>
      </c>
      <c r="F27">
        <v>6</v>
      </c>
      <c r="G27" t="s">
        <v>147</v>
      </c>
      <c r="H27" s="50">
        <v>45881.660902777781</v>
      </c>
      <c r="I27" s="50">
        <v>45881.660902777781</v>
      </c>
    </row>
    <row r="28" spans="1:9" x14ac:dyDescent="0.25">
      <c r="A28">
        <v>27</v>
      </c>
      <c r="B28" t="s">
        <v>444</v>
      </c>
      <c r="C28" t="s">
        <v>157</v>
      </c>
      <c r="D28" s="50">
        <v>46050.617824074077</v>
      </c>
      <c r="E28" t="s">
        <v>423</v>
      </c>
      <c r="F28">
        <v>6</v>
      </c>
      <c r="G28" t="s">
        <v>147</v>
      </c>
      <c r="H28" s="50">
        <v>45881.660925925928</v>
      </c>
      <c r="I28" s="50">
        <v>45881.660925925928</v>
      </c>
    </row>
    <row r="29" spans="1:9" x14ac:dyDescent="0.25">
      <c r="A29">
        <v>28</v>
      </c>
      <c r="B29" t="s">
        <v>445</v>
      </c>
      <c r="C29" t="s">
        <v>157</v>
      </c>
      <c r="D29" s="50">
        <v>46040.617824074077</v>
      </c>
      <c r="E29" t="s">
        <v>423</v>
      </c>
      <c r="F29">
        <v>6</v>
      </c>
      <c r="G29" t="s">
        <v>147</v>
      </c>
      <c r="H29" s="50">
        <v>45881.660949074074</v>
      </c>
      <c r="I29" s="50">
        <v>45881.660949074074</v>
      </c>
    </row>
    <row r="30" spans="1:9" x14ac:dyDescent="0.25">
      <c r="A30">
        <v>29</v>
      </c>
      <c r="B30" t="s">
        <v>441</v>
      </c>
      <c r="C30" t="s">
        <v>429</v>
      </c>
      <c r="D30" s="50">
        <v>46330.659513888888</v>
      </c>
      <c r="E30" t="s">
        <v>419</v>
      </c>
      <c r="F30">
        <v>7</v>
      </c>
      <c r="G30" t="s">
        <v>149</v>
      </c>
      <c r="H30" s="50">
        <v>45881.660960648151</v>
      </c>
      <c r="I30" s="50">
        <v>45881.660960648151</v>
      </c>
    </row>
    <row r="31" spans="1:9" x14ac:dyDescent="0.25">
      <c r="A31">
        <v>30</v>
      </c>
      <c r="B31" t="s">
        <v>442</v>
      </c>
      <c r="C31" t="s">
        <v>98</v>
      </c>
      <c r="D31" s="50">
        <v>46300.701180555552</v>
      </c>
      <c r="E31" t="s">
        <v>421</v>
      </c>
      <c r="F31">
        <v>7</v>
      </c>
      <c r="G31" t="s">
        <v>149</v>
      </c>
      <c r="H31" s="50">
        <v>45881.660983796297</v>
      </c>
      <c r="I31" s="50">
        <v>45881.660983796297</v>
      </c>
    </row>
    <row r="32" spans="1:9" x14ac:dyDescent="0.25">
      <c r="A32">
        <v>31</v>
      </c>
      <c r="B32" t="s">
        <v>443</v>
      </c>
      <c r="C32" t="s">
        <v>92</v>
      </c>
      <c r="D32" s="50">
        <v>46270.701180555552</v>
      </c>
      <c r="E32" t="s">
        <v>423</v>
      </c>
      <c r="F32">
        <v>7</v>
      </c>
      <c r="G32" t="s">
        <v>149</v>
      </c>
      <c r="H32" s="50">
        <v>45881.661006944443</v>
      </c>
      <c r="I32" s="50">
        <v>45881.661006944443</v>
      </c>
    </row>
    <row r="33" spans="1:9" x14ac:dyDescent="0.25">
      <c r="A33">
        <v>32</v>
      </c>
      <c r="B33" t="s">
        <v>444</v>
      </c>
      <c r="C33" t="s">
        <v>101</v>
      </c>
      <c r="D33" s="50">
        <v>46240.701180555552</v>
      </c>
      <c r="E33" t="s">
        <v>423</v>
      </c>
      <c r="F33">
        <v>7</v>
      </c>
      <c r="G33" t="s">
        <v>149</v>
      </c>
      <c r="H33" s="50">
        <v>45881.661030092589</v>
      </c>
      <c r="I33" s="50">
        <v>45881.661030092589</v>
      </c>
    </row>
    <row r="34" spans="1:9" x14ac:dyDescent="0.25">
      <c r="A34">
        <v>33</v>
      </c>
      <c r="B34" t="s">
        <v>445</v>
      </c>
      <c r="C34" t="s">
        <v>157</v>
      </c>
      <c r="D34" s="50">
        <v>46230.701180555552</v>
      </c>
      <c r="E34" t="s">
        <v>423</v>
      </c>
      <c r="F34">
        <v>7</v>
      </c>
      <c r="G34" t="s">
        <v>149</v>
      </c>
      <c r="H34" s="50">
        <v>45881.661053240743</v>
      </c>
      <c r="I34" s="50">
        <v>45881.661053240743</v>
      </c>
    </row>
    <row r="35" spans="1:9" x14ac:dyDescent="0.25">
      <c r="A35">
        <v>34</v>
      </c>
      <c r="B35" t="s">
        <v>432</v>
      </c>
      <c r="C35" t="s">
        <v>98</v>
      </c>
      <c r="D35" s="50">
        <v>45937.659537037034</v>
      </c>
      <c r="E35" t="s">
        <v>419</v>
      </c>
      <c r="F35">
        <v>8</v>
      </c>
      <c r="G35" t="s">
        <v>152</v>
      </c>
      <c r="H35" s="50">
        <v>45881.661076388889</v>
      </c>
      <c r="I35" s="50">
        <v>45881.661076388889</v>
      </c>
    </row>
    <row r="36" spans="1:9" x14ac:dyDescent="0.25">
      <c r="A36">
        <v>35</v>
      </c>
      <c r="B36" t="s">
        <v>433</v>
      </c>
      <c r="C36" t="s">
        <v>166</v>
      </c>
      <c r="D36" s="50">
        <v>45930.659537037034</v>
      </c>
      <c r="E36" t="s">
        <v>421</v>
      </c>
      <c r="F36">
        <v>8</v>
      </c>
      <c r="G36" t="s">
        <v>152</v>
      </c>
      <c r="H36" s="50">
        <v>45881.661111111112</v>
      </c>
      <c r="I36" s="50">
        <v>45881.661111111112</v>
      </c>
    </row>
    <row r="37" spans="1:9" x14ac:dyDescent="0.25">
      <c r="A37">
        <v>36</v>
      </c>
      <c r="B37" t="s">
        <v>434</v>
      </c>
      <c r="C37" t="s">
        <v>437</v>
      </c>
      <c r="D37" s="50">
        <v>45923.659537037034</v>
      </c>
      <c r="E37" t="s">
        <v>423</v>
      </c>
      <c r="F37">
        <v>8</v>
      </c>
      <c r="G37" t="s">
        <v>152</v>
      </c>
      <c r="H37" s="50">
        <v>45881.661134259259</v>
      </c>
      <c r="I37" s="50">
        <v>45881.661134259259</v>
      </c>
    </row>
    <row r="38" spans="1:9" x14ac:dyDescent="0.25">
      <c r="A38">
        <v>37</v>
      </c>
      <c r="B38" t="s">
        <v>435</v>
      </c>
      <c r="C38" t="s">
        <v>418</v>
      </c>
      <c r="D38" s="50">
        <v>45907.659537037034</v>
      </c>
      <c r="E38" t="s">
        <v>423</v>
      </c>
      <c r="F38">
        <v>8</v>
      </c>
      <c r="G38" t="s">
        <v>152</v>
      </c>
      <c r="H38" s="50">
        <v>45881.661157407405</v>
      </c>
      <c r="I38" s="50">
        <v>45881.661157407405</v>
      </c>
    </row>
    <row r="39" spans="1:9" x14ac:dyDescent="0.25">
      <c r="A39">
        <v>38</v>
      </c>
      <c r="B39" t="s">
        <v>417</v>
      </c>
      <c r="C39" t="s">
        <v>95</v>
      </c>
      <c r="D39" s="50">
        <v>46139.659560185188</v>
      </c>
      <c r="E39" t="s">
        <v>419</v>
      </c>
      <c r="F39">
        <v>9</v>
      </c>
      <c r="G39" t="s">
        <v>154</v>
      </c>
      <c r="H39" s="50">
        <v>45881.661180555559</v>
      </c>
      <c r="I39" s="50">
        <v>45881.661180555559</v>
      </c>
    </row>
    <row r="40" spans="1:9" x14ac:dyDescent="0.25">
      <c r="A40">
        <v>39</v>
      </c>
      <c r="B40" t="s">
        <v>420</v>
      </c>
      <c r="C40" t="s">
        <v>437</v>
      </c>
      <c r="D40" s="50">
        <v>46132.659560185188</v>
      </c>
      <c r="E40" t="s">
        <v>421</v>
      </c>
      <c r="F40">
        <v>9</v>
      </c>
      <c r="G40" t="s">
        <v>154</v>
      </c>
      <c r="H40" s="50">
        <v>45881.661203703705</v>
      </c>
      <c r="I40" s="50">
        <v>45881.661203703705</v>
      </c>
    </row>
    <row r="41" spans="1:9" x14ac:dyDescent="0.25">
      <c r="A41">
        <v>40</v>
      </c>
      <c r="B41" t="s">
        <v>422</v>
      </c>
      <c r="C41" t="s">
        <v>166</v>
      </c>
      <c r="D41" s="50">
        <v>46125.659560185188</v>
      </c>
      <c r="E41" t="s">
        <v>423</v>
      </c>
      <c r="F41">
        <v>9</v>
      </c>
      <c r="G41" t="s">
        <v>154</v>
      </c>
      <c r="H41" s="50">
        <v>45881.661226851851</v>
      </c>
      <c r="I41" s="50">
        <v>45881.661226851851</v>
      </c>
    </row>
    <row r="42" spans="1:9" x14ac:dyDescent="0.25">
      <c r="A42">
        <v>41</v>
      </c>
      <c r="B42" t="s">
        <v>424</v>
      </c>
      <c r="C42" t="s">
        <v>393</v>
      </c>
      <c r="D42" s="50">
        <v>46118.659560185188</v>
      </c>
      <c r="E42" t="s">
        <v>423</v>
      </c>
      <c r="F42">
        <v>9</v>
      </c>
      <c r="G42" t="s">
        <v>154</v>
      </c>
      <c r="H42" s="50">
        <v>45881.661238425928</v>
      </c>
      <c r="I42" s="50">
        <v>45881.661238425928</v>
      </c>
    </row>
    <row r="43" spans="1:9" x14ac:dyDescent="0.25">
      <c r="A43">
        <v>42</v>
      </c>
      <c r="B43" t="s">
        <v>446</v>
      </c>
      <c r="C43" t="s">
        <v>104</v>
      </c>
      <c r="D43" s="50">
        <v>46063.659571759257</v>
      </c>
      <c r="E43" t="s">
        <v>421</v>
      </c>
      <c r="F43">
        <v>10</v>
      </c>
      <c r="G43" t="s">
        <v>155</v>
      </c>
      <c r="H43" s="50">
        <v>45881.661261574074</v>
      </c>
      <c r="I43" s="50">
        <v>45881.661261574074</v>
      </c>
    </row>
    <row r="44" spans="1:9" x14ac:dyDescent="0.25">
      <c r="A44">
        <v>43</v>
      </c>
      <c r="B44" t="s">
        <v>447</v>
      </c>
      <c r="C44" t="s">
        <v>273</v>
      </c>
      <c r="D44" s="50">
        <v>46056.659571759257</v>
      </c>
      <c r="E44" t="s">
        <v>421</v>
      </c>
      <c r="F44">
        <v>10</v>
      </c>
      <c r="G44" t="s">
        <v>155</v>
      </c>
      <c r="H44" s="50">
        <v>45881.66128472222</v>
      </c>
      <c r="I44" s="50">
        <v>45881.66128472222</v>
      </c>
    </row>
    <row r="45" spans="1:9" x14ac:dyDescent="0.25">
      <c r="A45">
        <v>44</v>
      </c>
      <c r="B45" t="s">
        <v>448</v>
      </c>
      <c r="C45" t="s">
        <v>150</v>
      </c>
      <c r="D45" s="50">
        <v>46049.659571759257</v>
      </c>
      <c r="E45" t="s">
        <v>423</v>
      </c>
      <c r="F45">
        <v>10</v>
      </c>
      <c r="G45" t="s">
        <v>155</v>
      </c>
      <c r="H45" s="50">
        <v>45881.661307870374</v>
      </c>
      <c r="I45" s="50">
        <v>45881.661307870374</v>
      </c>
    </row>
    <row r="46" spans="1:9" x14ac:dyDescent="0.25">
      <c r="A46">
        <v>45</v>
      </c>
      <c r="B46" t="s">
        <v>449</v>
      </c>
      <c r="C46" t="s">
        <v>95</v>
      </c>
      <c r="D46" s="50">
        <v>46042.659571759257</v>
      </c>
      <c r="E46" t="s">
        <v>423</v>
      </c>
      <c r="F46">
        <v>10</v>
      </c>
      <c r="G46" t="s">
        <v>155</v>
      </c>
      <c r="H46" s="50">
        <v>45881.66133101852</v>
      </c>
      <c r="I46" s="50">
        <v>45881.66133101852</v>
      </c>
    </row>
    <row r="47" spans="1:9" x14ac:dyDescent="0.25">
      <c r="A47">
        <v>46</v>
      </c>
      <c r="B47" t="s">
        <v>446</v>
      </c>
      <c r="C47" t="s">
        <v>95</v>
      </c>
      <c r="D47" s="50">
        <v>46318.659594907411</v>
      </c>
      <c r="E47" t="s">
        <v>421</v>
      </c>
      <c r="F47">
        <v>11</v>
      </c>
      <c r="G47" t="s">
        <v>156</v>
      </c>
      <c r="H47" s="50">
        <v>45881.661354166667</v>
      </c>
      <c r="I47" s="50">
        <v>45881.661354166667</v>
      </c>
    </row>
    <row r="48" spans="1:9" x14ac:dyDescent="0.25">
      <c r="A48">
        <v>47</v>
      </c>
      <c r="B48" t="s">
        <v>447</v>
      </c>
      <c r="C48" t="s">
        <v>95</v>
      </c>
      <c r="D48" s="50">
        <v>46311.659594907411</v>
      </c>
      <c r="E48" t="s">
        <v>421</v>
      </c>
      <c r="F48">
        <v>11</v>
      </c>
      <c r="G48" t="s">
        <v>156</v>
      </c>
      <c r="H48" s="50">
        <v>45881.661365740743</v>
      </c>
      <c r="I48" s="50">
        <v>45881.661365740743</v>
      </c>
    </row>
    <row r="49" spans="1:9" x14ac:dyDescent="0.25">
      <c r="A49">
        <v>48</v>
      </c>
      <c r="B49" t="s">
        <v>448</v>
      </c>
      <c r="C49" t="s">
        <v>393</v>
      </c>
      <c r="D49" s="50">
        <v>46304.659594907411</v>
      </c>
      <c r="E49" t="s">
        <v>423</v>
      </c>
      <c r="F49">
        <v>11</v>
      </c>
      <c r="G49" t="s">
        <v>156</v>
      </c>
      <c r="H49" s="50">
        <v>45881.66138888889</v>
      </c>
      <c r="I49" s="50">
        <v>45881.66138888889</v>
      </c>
    </row>
    <row r="50" spans="1:9" x14ac:dyDescent="0.25">
      <c r="A50">
        <v>49</v>
      </c>
      <c r="B50" t="s">
        <v>449</v>
      </c>
      <c r="C50" t="s">
        <v>437</v>
      </c>
      <c r="D50" s="50">
        <v>46297.659594907411</v>
      </c>
      <c r="E50" t="s">
        <v>423</v>
      </c>
      <c r="F50">
        <v>11</v>
      </c>
      <c r="G50" t="s">
        <v>156</v>
      </c>
      <c r="H50" s="50">
        <v>45881.661412037036</v>
      </c>
      <c r="I50" s="50">
        <v>45881.661412037036</v>
      </c>
    </row>
    <row r="51" spans="1:9" x14ac:dyDescent="0.25">
      <c r="A51">
        <v>50</v>
      </c>
      <c r="B51" t="s">
        <v>441</v>
      </c>
      <c r="C51" t="s">
        <v>150</v>
      </c>
      <c r="D51" s="50">
        <v>46226.659618055557</v>
      </c>
      <c r="E51" t="s">
        <v>419</v>
      </c>
      <c r="F51">
        <v>12</v>
      </c>
      <c r="G51" t="s">
        <v>158</v>
      </c>
      <c r="H51" s="50">
        <v>45881.661435185182</v>
      </c>
      <c r="I51" s="50">
        <v>45881.661435185182</v>
      </c>
    </row>
    <row r="52" spans="1:9" x14ac:dyDescent="0.25">
      <c r="A52">
        <v>51</v>
      </c>
      <c r="B52" t="s">
        <v>442</v>
      </c>
      <c r="C52" t="s">
        <v>104</v>
      </c>
      <c r="D52" s="50">
        <v>46196.659618055557</v>
      </c>
      <c r="E52" t="s">
        <v>421</v>
      </c>
      <c r="F52">
        <v>12</v>
      </c>
      <c r="G52" t="s">
        <v>158</v>
      </c>
      <c r="H52" s="50">
        <v>45881.661446759259</v>
      </c>
      <c r="I52" s="50">
        <v>45881.661446759259</v>
      </c>
    </row>
    <row r="53" spans="1:9" x14ac:dyDescent="0.25">
      <c r="A53">
        <v>52</v>
      </c>
      <c r="B53" t="s">
        <v>443</v>
      </c>
      <c r="C53" t="s">
        <v>273</v>
      </c>
      <c r="D53" s="50">
        <v>46166.659618055557</v>
      </c>
      <c r="E53" t="s">
        <v>423</v>
      </c>
      <c r="F53">
        <v>12</v>
      </c>
      <c r="G53" t="s">
        <v>158</v>
      </c>
      <c r="H53" s="50">
        <v>45881.661469907405</v>
      </c>
      <c r="I53" s="50">
        <v>45881.661469907405</v>
      </c>
    </row>
    <row r="54" spans="1:9" x14ac:dyDescent="0.25">
      <c r="A54">
        <v>53</v>
      </c>
      <c r="B54" t="s">
        <v>444</v>
      </c>
      <c r="C54" t="s">
        <v>431</v>
      </c>
      <c r="D54" s="50">
        <v>46136.659618055557</v>
      </c>
      <c r="E54" t="s">
        <v>423</v>
      </c>
      <c r="F54">
        <v>12</v>
      </c>
      <c r="G54" t="s">
        <v>158</v>
      </c>
      <c r="H54" s="50">
        <v>45881.661493055559</v>
      </c>
      <c r="I54" s="50">
        <v>45881.661493055559</v>
      </c>
    </row>
    <row r="55" spans="1:9" x14ac:dyDescent="0.25">
      <c r="A55">
        <v>54</v>
      </c>
      <c r="B55" t="s">
        <v>445</v>
      </c>
      <c r="C55" t="s">
        <v>418</v>
      </c>
      <c r="D55" s="50">
        <v>46126.659618055557</v>
      </c>
      <c r="E55" t="s">
        <v>423</v>
      </c>
      <c r="F55">
        <v>12</v>
      </c>
      <c r="G55" t="s">
        <v>158</v>
      </c>
      <c r="H55" s="50">
        <v>45881.661516203705</v>
      </c>
      <c r="I55" s="50">
        <v>45881.661516203705</v>
      </c>
    </row>
    <row r="56" spans="1:9" x14ac:dyDescent="0.25">
      <c r="A56">
        <v>55</v>
      </c>
      <c r="B56" t="s">
        <v>446</v>
      </c>
      <c r="C56" t="s">
        <v>101</v>
      </c>
      <c r="D56" s="50">
        <v>46246.659641203703</v>
      </c>
      <c r="E56" t="s">
        <v>421</v>
      </c>
      <c r="F56">
        <v>13</v>
      </c>
      <c r="G56" t="s">
        <v>160</v>
      </c>
      <c r="H56" s="50">
        <v>45881.661539351851</v>
      </c>
      <c r="I56" s="50">
        <v>45881.661539351851</v>
      </c>
    </row>
    <row r="57" spans="1:9" x14ac:dyDescent="0.25">
      <c r="A57">
        <v>56</v>
      </c>
      <c r="B57" t="s">
        <v>447</v>
      </c>
      <c r="C57" t="s">
        <v>92</v>
      </c>
      <c r="D57" s="50">
        <v>46239.659641203703</v>
      </c>
      <c r="E57" t="s">
        <v>421</v>
      </c>
      <c r="F57">
        <v>13</v>
      </c>
      <c r="G57" t="s">
        <v>160</v>
      </c>
      <c r="H57" s="50">
        <v>45881.661562499998</v>
      </c>
      <c r="I57" s="50">
        <v>45881.661562499998</v>
      </c>
    </row>
    <row r="58" spans="1:9" x14ac:dyDescent="0.25">
      <c r="A58">
        <v>57</v>
      </c>
      <c r="B58" t="s">
        <v>448</v>
      </c>
      <c r="C58" t="s">
        <v>166</v>
      </c>
      <c r="D58" s="50">
        <v>46232.659641203703</v>
      </c>
      <c r="E58" t="s">
        <v>423</v>
      </c>
      <c r="F58">
        <v>13</v>
      </c>
      <c r="G58" t="s">
        <v>160</v>
      </c>
      <c r="H58" s="50">
        <v>45881.661585648151</v>
      </c>
      <c r="I58" s="50">
        <v>45881.661585648151</v>
      </c>
    </row>
    <row r="59" spans="1:9" x14ac:dyDescent="0.25">
      <c r="A59">
        <v>58</v>
      </c>
      <c r="B59" t="s">
        <v>449</v>
      </c>
      <c r="C59" t="s">
        <v>104</v>
      </c>
      <c r="D59" s="50">
        <v>46225.659641203703</v>
      </c>
      <c r="E59" t="s">
        <v>423</v>
      </c>
      <c r="F59">
        <v>13</v>
      </c>
      <c r="G59" t="s">
        <v>160</v>
      </c>
      <c r="H59" s="50">
        <v>45881.661597222221</v>
      </c>
      <c r="I59" s="50">
        <v>45881.661597222221</v>
      </c>
    </row>
    <row r="60" spans="1:9" x14ac:dyDescent="0.25">
      <c r="A60">
        <v>59</v>
      </c>
      <c r="B60" t="s">
        <v>417</v>
      </c>
      <c r="C60" t="s">
        <v>145</v>
      </c>
      <c r="D60" s="50">
        <v>46204.65966435185</v>
      </c>
      <c r="E60" t="s">
        <v>419</v>
      </c>
      <c r="F60">
        <v>14</v>
      </c>
      <c r="G60" t="s">
        <v>161</v>
      </c>
      <c r="H60" s="50">
        <v>45881.661620370367</v>
      </c>
      <c r="I60" s="50">
        <v>45881.661620370367</v>
      </c>
    </row>
    <row r="61" spans="1:9" x14ac:dyDescent="0.25">
      <c r="A61">
        <v>60</v>
      </c>
      <c r="B61" t="s">
        <v>420</v>
      </c>
      <c r="C61" t="s">
        <v>157</v>
      </c>
      <c r="D61" s="50">
        <v>46197.65966435185</v>
      </c>
      <c r="E61" t="s">
        <v>421</v>
      </c>
      <c r="F61">
        <v>14</v>
      </c>
      <c r="G61" t="s">
        <v>161</v>
      </c>
      <c r="H61" s="50">
        <v>45881.661643518521</v>
      </c>
      <c r="I61" s="50">
        <v>45881.661643518521</v>
      </c>
    </row>
    <row r="62" spans="1:9" x14ac:dyDescent="0.25">
      <c r="A62">
        <v>61</v>
      </c>
      <c r="B62" t="s">
        <v>422</v>
      </c>
      <c r="C62" t="s">
        <v>418</v>
      </c>
      <c r="D62" s="50">
        <v>46190.65966435185</v>
      </c>
      <c r="E62" t="s">
        <v>423</v>
      </c>
      <c r="F62">
        <v>14</v>
      </c>
      <c r="G62" t="s">
        <v>161</v>
      </c>
      <c r="H62" s="50">
        <v>45881.661666666667</v>
      </c>
      <c r="I62" s="50">
        <v>45881.661666666667</v>
      </c>
    </row>
    <row r="63" spans="1:9" x14ac:dyDescent="0.25">
      <c r="A63">
        <v>62</v>
      </c>
      <c r="B63" t="s">
        <v>424</v>
      </c>
      <c r="C63" t="s">
        <v>95</v>
      </c>
      <c r="D63" s="50">
        <v>46183.65966435185</v>
      </c>
      <c r="E63" t="s">
        <v>423</v>
      </c>
      <c r="F63">
        <v>14</v>
      </c>
      <c r="G63" t="s">
        <v>161</v>
      </c>
      <c r="H63" s="50">
        <v>45881.661678240744</v>
      </c>
      <c r="I63" s="50">
        <v>45881.661678240744</v>
      </c>
    </row>
    <row r="64" spans="1:9" x14ac:dyDescent="0.25">
      <c r="A64">
        <v>63</v>
      </c>
      <c r="B64" t="s">
        <v>441</v>
      </c>
      <c r="C64" t="s">
        <v>92</v>
      </c>
      <c r="D64" s="50">
        <v>46377.659687500003</v>
      </c>
      <c r="E64" t="s">
        <v>419</v>
      </c>
      <c r="F64">
        <v>15</v>
      </c>
      <c r="G64" t="s">
        <v>162</v>
      </c>
      <c r="H64" s="50">
        <v>45881.66170138889</v>
      </c>
      <c r="I64" s="50">
        <v>45881.66170138889</v>
      </c>
    </row>
    <row r="65" spans="1:9" x14ac:dyDescent="0.25">
      <c r="A65">
        <v>64</v>
      </c>
      <c r="B65" t="s">
        <v>442</v>
      </c>
      <c r="C65" t="s">
        <v>95</v>
      </c>
      <c r="D65" s="50">
        <v>46347.659687500003</v>
      </c>
      <c r="E65" t="s">
        <v>421</v>
      </c>
      <c r="F65">
        <v>15</v>
      </c>
      <c r="G65" t="s">
        <v>162</v>
      </c>
      <c r="H65" s="50">
        <v>45881.661724537036</v>
      </c>
      <c r="I65" s="50">
        <v>45881.661724537036</v>
      </c>
    </row>
    <row r="66" spans="1:9" x14ac:dyDescent="0.25">
      <c r="A66">
        <v>65</v>
      </c>
      <c r="B66" t="s">
        <v>443</v>
      </c>
      <c r="C66" t="s">
        <v>92</v>
      </c>
      <c r="D66" s="50">
        <v>46317.701354166667</v>
      </c>
      <c r="E66" t="s">
        <v>423</v>
      </c>
      <c r="F66">
        <v>15</v>
      </c>
      <c r="G66" t="s">
        <v>162</v>
      </c>
      <c r="H66" s="50">
        <v>45881.661747685182</v>
      </c>
      <c r="I66" s="50">
        <v>45881.661747685182</v>
      </c>
    </row>
    <row r="67" spans="1:9" x14ac:dyDescent="0.25">
      <c r="A67">
        <v>66</v>
      </c>
      <c r="B67" t="s">
        <v>444</v>
      </c>
      <c r="C67" t="s">
        <v>437</v>
      </c>
      <c r="D67" s="50">
        <v>46287.701354166667</v>
      </c>
      <c r="E67" t="s">
        <v>423</v>
      </c>
      <c r="F67">
        <v>15</v>
      </c>
      <c r="G67" t="s">
        <v>162</v>
      </c>
      <c r="H67" s="50">
        <v>45881.661770833336</v>
      </c>
      <c r="I67" s="50">
        <v>45881.661770833336</v>
      </c>
    </row>
    <row r="68" spans="1:9" x14ac:dyDescent="0.25">
      <c r="A68">
        <v>67</v>
      </c>
      <c r="B68" t="s">
        <v>445</v>
      </c>
      <c r="C68" t="s">
        <v>95</v>
      </c>
      <c r="D68" s="50">
        <v>46277.701354166667</v>
      </c>
      <c r="E68" t="s">
        <v>423</v>
      </c>
      <c r="F68">
        <v>15</v>
      </c>
      <c r="G68" t="s">
        <v>162</v>
      </c>
      <c r="H68" s="50">
        <v>45881.661782407406</v>
      </c>
      <c r="I68" s="50">
        <v>45881.661782407406</v>
      </c>
    </row>
    <row r="69" spans="1:9" x14ac:dyDescent="0.25">
      <c r="A69">
        <v>68</v>
      </c>
      <c r="B69" t="s">
        <v>436</v>
      </c>
      <c r="C69" t="s">
        <v>98</v>
      </c>
      <c r="D69" s="50">
        <v>46059.659710648149</v>
      </c>
      <c r="E69" t="s">
        <v>419</v>
      </c>
      <c r="F69">
        <v>16</v>
      </c>
      <c r="G69" t="s">
        <v>163</v>
      </c>
      <c r="H69" s="50">
        <v>45881.661817129629</v>
      </c>
      <c r="I69" s="50">
        <v>45881.661817129629</v>
      </c>
    </row>
    <row r="70" spans="1:9" x14ac:dyDescent="0.25">
      <c r="A70">
        <v>69</v>
      </c>
      <c r="B70" t="s">
        <v>438</v>
      </c>
      <c r="C70" t="s">
        <v>166</v>
      </c>
      <c r="D70" s="50">
        <v>46052.659710648149</v>
      </c>
      <c r="E70" t="s">
        <v>421</v>
      </c>
      <c r="F70">
        <v>16</v>
      </c>
      <c r="G70" t="s">
        <v>163</v>
      </c>
      <c r="H70" s="50">
        <v>45881.661828703705</v>
      </c>
      <c r="I70" s="50">
        <v>45881.661828703705</v>
      </c>
    </row>
    <row r="71" spans="1:9" x14ac:dyDescent="0.25">
      <c r="A71">
        <v>70</v>
      </c>
      <c r="B71" t="s">
        <v>439</v>
      </c>
      <c r="C71" t="s">
        <v>429</v>
      </c>
      <c r="D71" s="50">
        <v>46045.659710648149</v>
      </c>
      <c r="E71" t="s">
        <v>421</v>
      </c>
      <c r="F71">
        <v>16</v>
      </c>
      <c r="G71" t="s">
        <v>163</v>
      </c>
      <c r="H71" s="50">
        <v>45881.661851851852</v>
      </c>
      <c r="I71" s="50">
        <v>45881.661851851852</v>
      </c>
    </row>
    <row r="72" spans="1:9" x14ac:dyDescent="0.25">
      <c r="A72">
        <v>71</v>
      </c>
      <c r="B72" t="s">
        <v>440</v>
      </c>
      <c r="C72" t="s">
        <v>418</v>
      </c>
      <c r="D72" s="50">
        <v>46038.659710648149</v>
      </c>
      <c r="E72" t="s">
        <v>423</v>
      </c>
      <c r="F72">
        <v>16</v>
      </c>
      <c r="G72" t="s">
        <v>163</v>
      </c>
      <c r="H72" s="50">
        <v>45881.661874999998</v>
      </c>
      <c r="I72" s="50">
        <v>45881.661874999998</v>
      </c>
    </row>
    <row r="73" spans="1:9" x14ac:dyDescent="0.25">
      <c r="A73">
        <v>72</v>
      </c>
      <c r="B73" t="s">
        <v>146</v>
      </c>
      <c r="C73" t="s">
        <v>393</v>
      </c>
      <c r="D73" s="50">
        <v>46031.659710648149</v>
      </c>
      <c r="E73" t="s">
        <v>423</v>
      </c>
      <c r="F73">
        <v>16</v>
      </c>
      <c r="G73" t="s">
        <v>163</v>
      </c>
      <c r="H73" s="50">
        <v>45881.661898148152</v>
      </c>
      <c r="I73" s="50">
        <v>45881.661898148152</v>
      </c>
    </row>
    <row r="74" spans="1:9" x14ac:dyDescent="0.25">
      <c r="A74">
        <v>73</v>
      </c>
      <c r="B74" t="s">
        <v>446</v>
      </c>
      <c r="C74" t="s">
        <v>437</v>
      </c>
      <c r="D74" s="50">
        <v>46287.659733796296</v>
      </c>
      <c r="E74" t="s">
        <v>421</v>
      </c>
      <c r="F74">
        <v>17</v>
      </c>
      <c r="G74" t="s">
        <v>164</v>
      </c>
      <c r="H74" s="50">
        <v>45881.661909722221</v>
      </c>
      <c r="I74" s="50">
        <v>45881.661909722221</v>
      </c>
    </row>
    <row r="75" spans="1:9" x14ac:dyDescent="0.25">
      <c r="A75">
        <v>74</v>
      </c>
      <c r="B75" t="s">
        <v>447</v>
      </c>
      <c r="C75" t="s">
        <v>101</v>
      </c>
      <c r="D75" s="50">
        <v>46280.659733796296</v>
      </c>
      <c r="E75" t="s">
        <v>421</v>
      </c>
      <c r="F75">
        <v>17</v>
      </c>
      <c r="G75" t="s">
        <v>164</v>
      </c>
      <c r="H75" s="50">
        <v>45881.661932870367</v>
      </c>
      <c r="I75" s="50">
        <v>45881.661932870367</v>
      </c>
    </row>
    <row r="76" spans="1:9" x14ac:dyDescent="0.25">
      <c r="A76">
        <v>75</v>
      </c>
      <c r="B76" t="s">
        <v>448</v>
      </c>
      <c r="C76" t="s">
        <v>150</v>
      </c>
      <c r="D76" s="50">
        <v>46273.659733796296</v>
      </c>
      <c r="E76" t="s">
        <v>423</v>
      </c>
      <c r="F76">
        <v>17</v>
      </c>
      <c r="G76" t="s">
        <v>164</v>
      </c>
      <c r="H76" s="50">
        <v>45881.661956018521</v>
      </c>
      <c r="I76" s="50">
        <v>45881.661956018521</v>
      </c>
    </row>
    <row r="77" spans="1:9" x14ac:dyDescent="0.25">
      <c r="A77">
        <v>76</v>
      </c>
      <c r="B77" t="s">
        <v>449</v>
      </c>
      <c r="C77" t="s">
        <v>95</v>
      </c>
      <c r="D77" s="50">
        <v>46266.659733796296</v>
      </c>
      <c r="E77" t="s">
        <v>423</v>
      </c>
      <c r="F77">
        <v>17</v>
      </c>
      <c r="G77" t="s">
        <v>164</v>
      </c>
      <c r="H77" s="50">
        <v>45881.661979166667</v>
      </c>
      <c r="I77" s="50">
        <v>45881.661979166667</v>
      </c>
    </row>
    <row r="78" spans="1:9" x14ac:dyDescent="0.25">
      <c r="A78">
        <v>77</v>
      </c>
      <c r="B78" t="s">
        <v>417</v>
      </c>
      <c r="C78" t="s">
        <v>393</v>
      </c>
      <c r="D78" s="50">
        <v>46153.659756944442</v>
      </c>
      <c r="E78" t="s">
        <v>419</v>
      </c>
      <c r="F78">
        <v>18</v>
      </c>
      <c r="G78" t="s">
        <v>165</v>
      </c>
      <c r="H78" s="50">
        <v>45881.662002314813</v>
      </c>
      <c r="I78" s="50">
        <v>45881.662002314813</v>
      </c>
    </row>
    <row r="79" spans="1:9" x14ac:dyDescent="0.25">
      <c r="A79">
        <v>78</v>
      </c>
      <c r="B79" t="s">
        <v>420</v>
      </c>
      <c r="C79" t="s">
        <v>437</v>
      </c>
      <c r="D79" s="50">
        <v>46146.659756944442</v>
      </c>
      <c r="E79" t="s">
        <v>421</v>
      </c>
      <c r="F79">
        <v>18</v>
      </c>
      <c r="G79" t="s">
        <v>165</v>
      </c>
      <c r="H79" s="50">
        <v>45881.66202546296</v>
      </c>
      <c r="I79" s="50">
        <v>45881.66202546296</v>
      </c>
    </row>
    <row r="80" spans="1:9" x14ac:dyDescent="0.25">
      <c r="A80">
        <v>79</v>
      </c>
      <c r="B80" t="s">
        <v>422</v>
      </c>
      <c r="C80" t="s">
        <v>150</v>
      </c>
      <c r="D80" s="50">
        <v>46139.659756944442</v>
      </c>
      <c r="E80" t="s">
        <v>423</v>
      </c>
      <c r="F80">
        <v>18</v>
      </c>
      <c r="G80" t="s">
        <v>165</v>
      </c>
      <c r="H80" s="50">
        <v>45881.662048611113</v>
      </c>
      <c r="I80" s="50">
        <v>45881.662048611113</v>
      </c>
    </row>
    <row r="81" spans="1:9" x14ac:dyDescent="0.25">
      <c r="A81">
        <v>80</v>
      </c>
      <c r="B81" t="s">
        <v>424</v>
      </c>
      <c r="C81" t="s">
        <v>150</v>
      </c>
      <c r="D81" s="50">
        <v>46132.659756944442</v>
      </c>
      <c r="E81" t="s">
        <v>423</v>
      </c>
      <c r="F81">
        <v>18</v>
      </c>
      <c r="G81" t="s">
        <v>165</v>
      </c>
      <c r="H81" s="50">
        <v>45881.66207175926</v>
      </c>
      <c r="I81" s="50">
        <v>45881.66207175926</v>
      </c>
    </row>
    <row r="82" spans="1:9" x14ac:dyDescent="0.25">
      <c r="A82">
        <v>81</v>
      </c>
      <c r="B82" t="s">
        <v>446</v>
      </c>
      <c r="C82" t="s">
        <v>92</v>
      </c>
      <c r="D82" s="50">
        <v>45943.659768518519</v>
      </c>
      <c r="E82" t="s">
        <v>421</v>
      </c>
      <c r="F82">
        <v>19</v>
      </c>
      <c r="G82" t="s">
        <v>167</v>
      </c>
      <c r="H82" s="50">
        <v>45881.662094907406</v>
      </c>
      <c r="I82" s="50">
        <v>45881.662094907406</v>
      </c>
    </row>
    <row r="83" spans="1:9" x14ac:dyDescent="0.25">
      <c r="A83">
        <v>82</v>
      </c>
      <c r="B83" t="s">
        <v>447</v>
      </c>
      <c r="C83" t="s">
        <v>101</v>
      </c>
      <c r="D83" s="50">
        <v>45936.659768518519</v>
      </c>
      <c r="E83" t="s">
        <v>421</v>
      </c>
      <c r="F83">
        <v>19</v>
      </c>
      <c r="G83" t="s">
        <v>167</v>
      </c>
      <c r="H83" s="50">
        <v>45881.662118055552</v>
      </c>
      <c r="I83" s="50">
        <v>45881.662118055552</v>
      </c>
    </row>
    <row r="84" spans="1:9" x14ac:dyDescent="0.25">
      <c r="A84">
        <v>83</v>
      </c>
      <c r="B84" t="s">
        <v>448</v>
      </c>
      <c r="C84" t="s">
        <v>418</v>
      </c>
      <c r="D84" s="50">
        <v>45929.659768518519</v>
      </c>
      <c r="E84" t="s">
        <v>423</v>
      </c>
      <c r="F84">
        <v>19</v>
      </c>
      <c r="G84" t="s">
        <v>167</v>
      </c>
      <c r="H84" s="50">
        <v>45881.662129629629</v>
      </c>
      <c r="I84" s="50">
        <v>45881.662129629629</v>
      </c>
    </row>
    <row r="85" spans="1:9" x14ac:dyDescent="0.25">
      <c r="A85">
        <v>84</v>
      </c>
      <c r="B85" t="s">
        <v>449</v>
      </c>
      <c r="C85" t="s">
        <v>431</v>
      </c>
      <c r="D85" s="50">
        <v>45922.659768518519</v>
      </c>
      <c r="E85" t="s">
        <v>423</v>
      </c>
      <c r="F85">
        <v>19</v>
      </c>
      <c r="G85" t="s">
        <v>167</v>
      </c>
      <c r="H85" s="50">
        <v>45881.662152777775</v>
      </c>
      <c r="I85" s="50">
        <v>45881.662152777775</v>
      </c>
    </row>
    <row r="86" spans="1:9" x14ac:dyDescent="0.25">
      <c r="A86">
        <v>85</v>
      </c>
      <c r="B86" t="s">
        <v>436</v>
      </c>
      <c r="C86" t="s">
        <v>418</v>
      </c>
      <c r="D86" s="50">
        <v>46016.659791666665</v>
      </c>
      <c r="E86" t="s">
        <v>419</v>
      </c>
      <c r="F86">
        <v>20</v>
      </c>
      <c r="G86" t="s">
        <v>168</v>
      </c>
      <c r="H86" s="50">
        <v>45881.662175925929</v>
      </c>
      <c r="I86" s="50">
        <v>45881.662175925929</v>
      </c>
    </row>
    <row r="87" spans="1:9" x14ac:dyDescent="0.25">
      <c r="A87">
        <v>86</v>
      </c>
      <c r="B87" t="s">
        <v>438</v>
      </c>
      <c r="C87" t="s">
        <v>98</v>
      </c>
      <c r="D87" s="50">
        <v>46009.659791666665</v>
      </c>
      <c r="E87" t="s">
        <v>421</v>
      </c>
      <c r="F87">
        <v>20</v>
      </c>
      <c r="G87" t="s">
        <v>168</v>
      </c>
      <c r="H87" s="50">
        <v>45881.662199074075</v>
      </c>
      <c r="I87" s="50">
        <v>45881.662199074075</v>
      </c>
    </row>
    <row r="88" spans="1:9" x14ac:dyDescent="0.25">
      <c r="A88">
        <v>87</v>
      </c>
      <c r="B88" t="s">
        <v>439</v>
      </c>
      <c r="C88" t="s">
        <v>431</v>
      </c>
      <c r="D88" s="50">
        <v>46002.659791666665</v>
      </c>
      <c r="E88" t="s">
        <v>421</v>
      </c>
      <c r="F88">
        <v>20</v>
      </c>
      <c r="G88" t="s">
        <v>168</v>
      </c>
      <c r="H88" s="50">
        <v>45881.662222222221</v>
      </c>
      <c r="I88" s="50">
        <v>45881.662222222221</v>
      </c>
    </row>
    <row r="89" spans="1:9" x14ac:dyDescent="0.25">
      <c r="A89">
        <v>88</v>
      </c>
      <c r="B89" t="s">
        <v>440</v>
      </c>
      <c r="C89" t="s">
        <v>104</v>
      </c>
      <c r="D89" s="50">
        <v>45995.659791666665</v>
      </c>
      <c r="E89" t="s">
        <v>423</v>
      </c>
      <c r="F89">
        <v>20</v>
      </c>
      <c r="G89" t="s">
        <v>168</v>
      </c>
      <c r="H89" s="50">
        <v>45881.662245370368</v>
      </c>
      <c r="I89" s="50">
        <v>45881.662245370368</v>
      </c>
    </row>
    <row r="90" spans="1:9" x14ac:dyDescent="0.25">
      <c r="A90">
        <v>89</v>
      </c>
      <c r="B90" t="s">
        <v>146</v>
      </c>
      <c r="C90" t="s">
        <v>95</v>
      </c>
      <c r="D90" s="50">
        <v>45988.659791666665</v>
      </c>
      <c r="E90" t="s">
        <v>423</v>
      </c>
      <c r="F90">
        <v>20</v>
      </c>
      <c r="G90" t="s">
        <v>168</v>
      </c>
      <c r="H90" s="50">
        <v>45881.662256944444</v>
      </c>
      <c r="I90" s="50">
        <v>45881.662256944444</v>
      </c>
    </row>
    <row r="91" spans="1:9" x14ac:dyDescent="0.25">
      <c r="A91">
        <v>90</v>
      </c>
      <c r="B91" t="s">
        <v>432</v>
      </c>
      <c r="C91" t="s">
        <v>95</v>
      </c>
      <c r="D91" s="50">
        <v>46013.659826388888</v>
      </c>
      <c r="E91" t="s">
        <v>419</v>
      </c>
      <c r="F91">
        <v>21</v>
      </c>
      <c r="G91" t="s">
        <v>169</v>
      </c>
      <c r="H91" s="50">
        <v>45881.662280092591</v>
      </c>
      <c r="I91" s="50">
        <v>45881.662280092591</v>
      </c>
    </row>
    <row r="92" spans="1:9" x14ac:dyDescent="0.25">
      <c r="A92">
        <v>91</v>
      </c>
      <c r="B92" t="s">
        <v>433</v>
      </c>
      <c r="C92" t="s">
        <v>95</v>
      </c>
      <c r="D92" s="50">
        <v>46006.659826388888</v>
      </c>
      <c r="E92" t="s">
        <v>421</v>
      </c>
      <c r="F92">
        <v>21</v>
      </c>
      <c r="G92" t="s">
        <v>169</v>
      </c>
      <c r="H92" s="50">
        <v>45881.662303240744</v>
      </c>
      <c r="I92" s="50">
        <v>45881.662303240744</v>
      </c>
    </row>
    <row r="93" spans="1:9" x14ac:dyDescent="0.25">
      <c r="A93">
        <v>92</v>
      </c>
      <c r="B93" t="s">
        <v>434</v>
      </c>
      <c r="C93" t="s">
        <v>101</v>
      </c>
      <c r="D93" s="50">
        <v>45999.659826388888</v>
      </c>
      <c r="E93" t="s">
        <v>423</v>
      </c>
      <c r="F93">
        <v>21</v>
      </c>
      <c r="G93" t="s">
        <v>169</v>
      </c>
      <c r="H93" s="50">
        <v>45881.662326388891</v>
      </c>
      <c r="I93" s="50">
        <v>45881.662326388891</v>
      </c>
    </row>
    <row r="94" spans="1:9" x14ac:dyDescent="0.25">
      <c r="A94">
        <v>93</v>
      </c>
      <c r="B94" t="s">
        <v>435</v>
      </c>
      <c r="C94" t="s">
        <v>393</v>
      </c>
      <c r="D94" s="50">
        <v>45983.659826388888</v>
      </c>
      <c r="E94" t="s">
        <v>423</v>
      </c>
      <c r="F94">
        <v>21</v>
      </c>
      <c r="G94" t="s">
        <v>169</v>
      </c>
      <c r="H94" s="50">
        <v>45881.66233796296</v>
      </c>
      <c r="I94" s="50">
        <v>45881.66233796296</v>
      </c>
    </row>
    <row r="95" spans="1:9" x14ac:dyDescent="0.25">
      <c r="A95">
        <v>94</v>
      </c>
      <c r="B95" t="s">
        <v>436</v>
      </c>
      <c r="C95" t="s">
        <v>431</v>
      </c>
      <c r="D95" s="50">
        <v>46167.659849537034</v>
      </c>
      <c r="E95" t="s">
        <v>419</v>
      </c>
      <c r="F95">
        <v>22</v>
      </c>
      <c r="G95" t="s">
        <v>170</v>
      </c>
      <c r="H95" s="50">
        <v>45881.662361111114</v>
      </c>
      <c r="I95" s="50">
        <v>45881.662361111114</v>
      </c>
    </row>
    <row r="96" spans="1:9" x14ac:dyDescent="0.25">
      <c r="A96">
        <v>95</v>
      </c>
      <c r="B96" t="s">
        <v>438</v>
      </c>
      <c r="C96" t="s">
        <v>157</v>
      </c>
      <c r="D96" s="50">
        <v>46160.659849537034</v>
      </c>
      <c r="E96" t="s">
        <v>421</v>
      </c>
      <c r="F96">
        <v>22</v>
      </c>
      <c r="G96" t="s">
        <v>170</v>
      </c>
      <c r="H96" s="50">
        <v>45881.66238425926</v>
      </c>
      <c r="I96" s="50">
        <v>45881.66238425926</v>
      </c>
    </row>
    <row r="97" spans="1:9" x14ac:dyDescent="0.25">
      <c r="A97">
        <v>96</v>
      </c>
      <c r="B97" t="s">
        <v>439</v>
      </c>
      <c r="C97" t="s">
        <v>104</v>
      </c>
      <c r="D97" s="50">
        <v>46153.659849537034</v>
      </c>
      <c r="E97" t="s">
        <v>421</v>
      </c>
      <c r="F97">
        <v>22</v>
      </c>
      <c r="G97" t="s">
        <v>170</v>
      </c>
      <c r="H97" s="50">
        <v>45881.662407407406</v>
      </c>
      <c r="I97" s="50">
        <v>45881.662407407406</v>
      </c>
    </row>
    <row r="98" spans="1:9" x14ac:dyDescent="0.25">
      <c r="A98">
        <v>97</v>
      </c>
      <c r="B98" t="s">
        <v>440</v>
      </c>
      <c r="C98" t="s">
        <v>104</v>
      </c>
      <c r="D98" s="50">
        <v>46146.659849537034</v>
      </c>
      <c r="E98" t="s">
        <v>423</v>
      </c>
      <c r="F98">
        <v>22</v>
      </c>
      <c r="G98" t="s">
        <v>170</v>
      </c>
      <c r="H98" s="50">
        <v>45881.662418981483</v>
      </c>
      <c r="I98" s="50">
        <v>45881.662418981483</v>
      </c>
    </row>
    <row r="99" spans="1:9" x14ac:dyDescent="0.25">
      <c r="A99">
        <v>98</v>
      </c>
      <c r="B99" t="s">
        <v>146</v>
      </c>
      <c r="C99" t="s">
        <v>104</v>
      </c>
      <c r="D99" s="50">
        <v>46139.659849537034</v>
      </c>
      <c r="E99" t="s">
        <v>423</v>
      </c>
      <c r="F99">
        <v>22</v>
      </c>
      <c r="G99" t="s">
        <v>170</v>
      </c>
      <c r="H99" s="50">
        <v>45881.662442129629</v>
      </c>
      <c r="I99" s="50">
        <v>45881.662442129629</v>
      </c>
    </row>
    <row r="100" spans="1:9" x14ac:dyDescent="0.25">
      <c r="A100">
        <v>99</v>
      </c>
      <c r="B100" t="s">
        <v>446</v>
      </c>
      <c r="C100" t="s">
        <v>145</v>
      </c>
      <c r="D100" s="50">
        <v>45909.659861111111</v>
      </c>
      <c r="E100" t="s">
        <v>421</v>
      </c>
      <c r="F100">
        <v>23</v>
      </c>
      <c r="G100" t="s">
        <v>171</v>
      </c>
      <c r="H100" s="50">
        <v>45881.662465277775</v>
      </c>
      <c r="I100" s="50">
        <v>45881.662465277775</v>
      </c>
    </row>
    <row r="101" spans="1:9" x14ac:dyDescent="0.25">
      <c r="A101">
        <v>100</v>
      </c>
      <c r="B101" t="s">
        <v>447</v>
      </c>
      <c r="C101" t="s">
        <v>418</v>
      </c>
      <c r="D101" s="50">
        <v>45902.659861111111</v>
      </c>
      <c r="E101" t="s">
        <v>421</v>
      </c>
      <c r="F101">
        <v>23</v>
      </c>
      <c r="G101" t="s">
        <v>171</v>
      </c>
      <c r="H101" s="50">
        <v>45881.662488425929</v>
      </c>
      <c r="I101" s="50">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P18"/>
  <sheetViews>
    <sheetView showGridLines="0" workbookViewId="0">
      <selection activeCell="D24" sqref="D24"/>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9.7109375" customWidth="1"/>
    <col min="6" max="6" width="5.85546875" bestFit="1" customWidth="1"/>
    <col min="7" max="7" width="25.5703125" bestFit="1" customWidth="1"/>
    <col min="8" max="8" width="146.5703125" bestFit="1" customWidth="1"/>
    <col min="10" max="10" width="17.42578125" bestFit="1" customWidth="1"/>
    <col min="11" max="11" width="8.28515625" bestFit="1" customWidth="1"/>
    <col min="12" max="12" width="20" bestFit="1" customWidth="1"/>
    <col min="13" max="13" width="19.42578125" bestFit="1" customWidth="1"/>
    <col min="14" max="14" width="20" bestFit="1" customWidth="1"/>
    <col min="15" max="15" width="15.5703125" customWidth="1"/>
  </cols>
  <sheetData>
    <row r="1" spans="1:16" x14ac:dyDescent="0.25">
      <c r="A1" s="42" t="s">
        <v>394</v>
      </c>
      <c r="C1" s="19" t="s">
        <v>47</v>
      </c>
      <c r="D1" s="29">
        <v>45839</v>
      </c>
      <c r="G1" s="47" t="s">
        <v>397</v>
      </c>
      <c r="H1" s="42" t="s">
        <v>395</v>
      </c>
    </row>
    <row r="2" spans="1:16" x14ac:dyDescent="0.25">
      <c r="A2" s="46" t="str">
        <f>HYPERLINK("https://github.com/pgaljan/funneler/blob/main/docs/manual-deploy.md","Citizen Developer Guide")</f>
        <v>Citizen Developer Guide</v>
      </c>
      <c r="G2" s="48" t="s">
        <v>407</v>
      </c>
      <c r="H2" s="44" t="s">
        <v>392</v>
      </c>
    </row>
    <row r="3" spans="1:16" x14ac:dyDescent="0.25">
      <c r="A3" s="46" t="str">
        <f>HYPERLINK("https://github.com/pgaljan/funneler/blob/main/docs/auto-deploy.md","Operator Guide")</f>
        <v>Operator Guide</v>
      </c>
      <c r="C3" s="12" t="s">
        <v>79</v>
      </c>
      <c r="D3" s="12" t="s">
        <v>87</v>
      </c>
      <c r="G3" s="48" t="s">
        <v>398</v>
      </c>
      <c r="H3" s="43" t="str" cm="1">
        <f t="array" ref="H3">"./Deploy-Lists.ps1"&amp; psAftermetter</f>
        <v>./Deploy-Lists.ps1 -SiteUrl "https://cleansheet5.sharepoint.com/sites/SalesFunnel/" -ListPrefix "auto12" -ClientId "4f2cadf3-cdfe-4c73-819d-6e8141ad5b51"</v>
      </c>
    </row>
    <row r="4" spans="1:16" x14ac:dyDescent="0.25">
      <c r="A4" s="46" t="str">
        <f>HYPERLINK("https://github.com/pgaljan/funneler/blob/main/docs/security.md","Security &amp; Governance")</f>
        <v>Security &amp; Governance</v>
      </c>
      <c r="C4" s="31" t="s">
        <v>84</v>
      </c>
      <c r="D4" s="35">
        <v>0.2</v>
      </c>
      <c r="H4" s="43" t="str" cm="1">
        <f t="array" ref="H4">"./Set-Required-Fields.ps1" &amp;psAftermetter</f>
        <v>./Set-Required-Fields.ps1 -SiteUrl "https://cleansheet5.sharepoint.com/sites/SalesFunnel/" -ListPrefix "auto12" -ClientId "4f2cadf3-cdfe-4c73-819d-6e8141ad5b51"</v>
      </c>
    </row>
    <row r="5" spans="1:16" x14ac:dyDescent="0.25">
      <c r="A5" s="46" t="str">
        <f>HYPERLINK("https://github.com/pgaljan/funneler/blob/main/docs/code-guide.md","Code Guide")</f>
        <v>Code Guide</v>
      </c>
      <c r="C5" s="31" t="s">
        <v>82</v>
      </c>
      <c r="D5" s="35">
        <v>0.4</v>
      </c>
      <c r="H5" s="43" t="str" cm="1">
        <f t="array" ref="H5">"./Add-Comment-Log.ps1"&amp;psAftermetter</f>
        <v>./Add-Comment-Log.ps1 -SiteUrl "https://cleansheet5.sharepoint.com/sites/SalesFunnel/" -ListPrefix "auto12" -ClientId "4f2cadf3-cdfe-4c73-819d-6e8141ad5b51"</v>
      </c>
    </row>
    <row r="6" spans="1:16" x14ac:dyDescent="0.25">
      <c r="A6" s="46" t="str">
        <f>HYPERLINK("https://github.com/pgaljan/funneler/blob/main/docs/form-body-json.md","Form Body JSON")</f>
        <v>Form Body JSON</v>
      </c>
      <c r="C6" s="31" t="s">
        <v>83</v>
      </c>
      <c r="D6" s="35">
        <v>0.9</v>
      </c>
      <c r="H6" s="43" t="str" cm="1">
        <f t="array" ref="H6">"./Populate-Sample-Data.ps1"&amp;psAftermetter</f>
        <v>./Populate-Sample-Data.ps1 -SiteUrl "https://cleansheet5.sharepoint.com/sites/SalesFunnel/" -ListPrefix "auto12" -ClientId "4f2cadf3-cdfe-4c73-819d-6e8141ad5b51"</v>
      </c>
    </row>
    <row r="7" spans="1:16" x14ac:dyDescent="0.25">
      <c r="A7" s="34"/>
      <c r="H7" s="42" t="s">
        <v>396</v>
      </c>
    </row>
    <row r="8" spans="1:16" x14ac:dyDescent="0.25">
      <c r="A8" s="34"/>
      <c r="H8" s="43" t="str" cm="1">
        <f t="array" ref="H8">"./Audit-List-Security.ps1"&amp;psAftermetter</f>
        <v>./Audit-List-Security.ps1 -SiteUrl "https://cleansheet5.sharepoint.com/sites/SalesFunnel/" -ListPrefix "auto12" -ClientId "4f2cadf3-cdfe-4c73-819d-6e8141ad5b51"</v>
      </c>
    </row>
    <row r="9" spans="1:16" x14ac:dyDescent="0.25">
      <c r="H9" s="43" t="str" cm="1">
        <f t="array" ref="H9">"./Delete-Lists.ps1"&amp;psAftermetter</f>
        <v>./Delete-Lists.ps1 -SiteUrl "https://cleansheet5.sharepoint.com/sites/SalesFunnel/" -ListPrefix "auto12" -ClientId "4f2cadf3-cdfe-4c73-819d-6e8141ad5b51"</v>
      </c>
    </row>
    <row r="10" spans="1:16" x14ac:dyDescent="0.25">
      <c r="C10" s="53" t="s">
        <v>49</v>
      </c>
      <c r="D10" s="54" t="s">
        <v>50</v>
      </c>
      <c r="E10" s="52"/>
    </row>
    <row r="11" spans="1:16" x14ac:dyDescent="0.25">
      <c r="C11" s="53" t="s">
        <v>143</v>
      </c>
      <c r="D11" s="55" t="s">
        <v>410</v>
      </c>
      <c r="E11" s="52"/>
    </row>
    <row r="12" spans="1:16" x14ac:dyDescent="0.25">
      <c r="B12" s="32" t="str">
        <f>HYPERLINK(siteUrl&amp;"/Lists/"&amp;custList,"Test")</f>
        <v>Test</v>
      </c>
      <c r="C12" s="53" t="s">
        <v>144</v>
      </c>
      <c r="D12" s="56" t="str">
        <f>listPrefix &amp; custListAppend</f>
        <v>auto12Customers</v>
      </c>
      <c r="E12" s="52"/>
      <c r="M12" s="12" t="s">
        <v>33</v>
      </c>
      <c r="N12" s="12" t="s">
        <v>400</v>
      </c>
      <c r="O12" s="12" t="s">
        <v>86</v>
      </c>
      <c r="P12" s="12" t="s">
        <v>377</v>
      </c>
    </row>
    <row r="13" spans="1:16" ht="20.25" x14ac:dyDescent="0.3">
      <c r="B13" s="32" t="str">
        <f>HYPERLINK(siteUrl&amp;"/Lists/"&amp;oppList,"Test")</f>
        <v>Test</v>
      </c>
      <c r="C13" s="53" t="s">
        <v>48</v>
      </c>
      <c r="D13" s="56" t="str">
        <f>listPrefix &amp; oppListAppend</f>
        <v>auto12Opportunities</v>
      </c>
      <c r="E13" s="52"/>
      <c r="M13" s="30">
        <v>1</v>
      </c>
      <c r="N13" s="49" t="s">
        <v>401</v>
      </c>
      <c r="O13" s="30" t="s">
        <v>20</v>
      </c>
      <c r="P13" s="30" t="str">
        <f>stage[[#This Row],[Symbol]]&amp;" - "&amp;stage[[#This Row],[Stage Name]]</f>
        <v>➀ - Lead Qualification</v>
      </c>
    </row>
    <row r="14" spans="1:16" ht="20.25" x14ac:dyDescent="0.3">
      <c r="B14" s="32" t="str">
        <f>HYPERLINK(siteUrl&amp;"/Lists/"&amp;contactList,"Test")</f>
        <v>Test</v>
      </c>
      <c r="C14" s="53" t="s">
        <v>408</v>
      </c>
      <c r="D14" s="56" t="str">
        <f>listPrefix &amp; contactListAppend</f>
        <v>auto12Contacts</v>
      </c>
      <c r="E14" s="52"/>
      <c r="M14" s="30">
        <v>2</v>
      </c>
      <c r="N14" s="49" t="s">
        <v>402</v>
      </c>
      <c r="O14" s="30" t="s">
        <v>23</v>
      </c>
      <c r="P14" s="30" t="str">
        <f>stage[[#This Row],[Symbol]]&amp;" - "&amp;stage[[#This Row],[Stage Name]]</f>
        <v>➁ - Nurturing</v>
      </c>
    </row>
    <row r="15" spans="1:16" ht="20.25" x14ac:dyDescent="0.3">
      <c r="B15" s="32" t="str">
        <f>HYPERLINK(siteUrl&amp;"/Lists/"&amp;milestoneList,"Test")</f>
        <v>Test</v>
      </c>
      <c r="C15" s="53" t="s">
        <v>409</v>
      </c>
      <c r="D15" s="56" t="str">
        <f>listPrefix &amp; milestoneListAppend</f>
        <v>auto12Milestones</v>
      </c>
      <c r="E15" s="52"/>
      <c r="M15" s="30">
        <v>3</v>
      </c>
      <c r="N15" s="49" t="s">
        <v>403</v>
      </c>
      <c r="O15" s="30" t="s">
        <v>22</v>
      </c>
      <c r="P15" s="30" t="str">
        <f>stage[[#This Row],[Symbol]]&amp;" - "&amp;stage[[#This Row],[Stage Name]]</f>
        <v>➂ - Proposal</v>
      </c>
    </row>
    <row r="16" spans="1:16" ht="20.25" x14ac:dyDescent="0.3">
      <c r="C16" s="53" t="s">
        <v>390</v>
      </c>
      <c r="D16" s="55" t="s">
        <v>391</v>
      </c>
      <c r="E16" s="52"/>
      <c r="M16" s="30">
        <v>4</v>
      </c>
      <c r="N16" s="49" t="s">
        <v>404</v>
      </c>
      <c r="O16" s="30" t="s">
        <v>18</v>
      </c>
      <c r="P16" s="30" t="str">
        <f>stage[[#This Row],[Symbol]]&amp;" - "&amp;stage[[#This Row],[Stage Name]]</f>
        <v>➃ - Negotiation</v>
      </c>
    </row>
    <row r="17" spans="13:16" ht="20.25" x14ac:dyDescent="0.3">
      <c r="M17" s="30">
        <v>5</v>
      </c>
      <c r="N17" s="49" t="s">
        <v>405</v>
      </c>
      <c r="O17" s="30" t="s">
        <v>21</v>
      </c>
      <c r="P17" s="30" t="str">
        <f>stage[[#This Row],[Symbol]]&amp;" - "&amp;stage[[#This Row],[Stage Name]]</f>
        <v>➄ - Project Execution</v>
      </c>
    </row>
    <row r="18" spans="13:16" ht="20.25" x14ac:dyDescent="0.3">
      <c r="M18" s="30">
        <v>6</v>
      </c>
      <c r="N18" s="49" t="s">
        <v>406</v>
      </c>
      <c r="O18" s="30" t="s">
        <v>24</v>
      </c>
      <c r="P18" s="30" t="str">
        <f>stage[[#This Row],[Symbol]]&amp;" - "&amp;stage[[#This Row],[Stage Name]]</f>
        <v>➅ - Closeout</v>
      </c>
    </row>
  </sheetData>
  <hyperlinks>
    <hyperlink ref="D10" r:id="rId1" xr:uid="{5E8860C9-D945-4D2C-8E62-DBDFC7016757}"/>
  </hyperlinks>
  <pageMargins left="0.7" right="0.7" top="0.75" bottom="0.75" header="0.3" footer="0.3"/>
  <pageSetup orientation="portrait"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zoomScale="85" zoomScaleNormal="85" workbookViewId="0">
      <selection activeCell="B45" sqref="B45:B85"/>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14.85546875" bestFit="1" customWidth="1"/>
    <col min="15" max="15" width="12" bestFit="1"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0" width="17.7109375" bestFit="1" customWidth="1"/>
    <col min="31" max="31" width="26.140625" bestFit="1" customWidth="1"/>
    <col min="32" max="32" width="81.140625" bestFit="1" customWidth="1"/>
    <col min="33" max="33" width="9.7109375" bestFit="1" customWidth="1"/>
    <col min="34" max="34" width="16" bestFit="1" customWidth="1"/>
    <col min="35" max="35" width="9" bestFit="1" customWidth="1"/>
    <col min="36" max="36" width="8.85546875" bestFit="1" customWidth="1"/>
    <col min="37" max="37" width="81.140625" bestFit="1" customWidth="1"/>
    <col min="38" max="38" width="15.7109375" bestFit="1" customWidth="1"/>
    <col min="39" max="39" width="20" bestFit="1" customWidth="1"/>
    <col min="40" max="40" width="13.42578125" bestFit="1" customWidth="1"/>
    <col min="41" max="41" width="14.5703125" bestFit="1" customWidth="1"/>
    <col min="42" max="42" width="15" bestFit="1" customWidth="1"/>
    <col min="43" max="43" width="14" bestFit="1" customWidth="1"/>
    <col min="44" max="44" width="13.28515625" bestFit="1" customWidth="1"/>
    <col min="45" max="45" width="13.85546875" bestFit="1" customWidth="1"/>
    <col min="46" max="47" width="13.42578125" bestFit="1" customWidth="1"/>
    <col min="48" max="48" width="21.85546875" bestFit="1" customWidth="1"/>
    <col min="49" max="49" width="18" bestFit="1" customWidth="1"/>
    <col min="50" max="50" width="25" bestFit="1" customWidth="1"/>
    <col min="51" max="51"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800</v>
      </c>
      <c r="N1" t="s">
        <v>801</v>
      </c>
      <c r="O1" t="s">
        <v>802</v>
      </c>
      <c r="P1" t="s">
        <v>31</v>
      </c>
      <c r="Q1" t="s">
        <v>32</v>
      </c>
      <c r="R1" t="s">
        <v>29</v>
      </c>
      <c r="S1" t="s">
        <v>35</v>
      </c>
      <c r="T1" t="s">
        <v>36</v>
      </c>
      <c r="U1" t="s">
        <v>41</v>
      </c>
      <c r="V1" t="s">
        <v>74</v>
      </c>
      <c r="W1" t="s">
        <v>85</v>
      </c>
      <c r="X1" t="s">
        <v>142</v>
      </c>
      <c r="Y1" t="s">
        <v>44</v>
      </c>
      <c r="Z1" t="s">
        <v>377</v>
      </c>
      <c r="AA1" t="s">
        <v>30</v>
      </c>
      <c r="AB1" t="s">
        <v>387</v>
      </c>
      <c r="AC1" t="s">
        <v>399</v>
      </c>
      <c r="AD1" t="s">
        <v>28</v>
      </c>
    </row>
    <row r="2" spans="1:30" x14ac:dyDescent="0.25">
      <c r="A2">
        <v>1</v>
      </c>
      <c r="B2" t="s">
        <v>91</v>
      </c>
      <c r="C2" t="s">
        <v>19</v>
      </c>
      <c r="D2" t="s">
        <v>20</v>
      </c>
      <c r="E2">
        <v>1488043</v>
      </c>
      <c r="F2" t="s">
        <v>84</v>
      </c>
      <c r="G2" s="36">
        <v>46157</v>
      </c>
      <c r="H2" s="36">
        <v>45898</v>
      </c>
      <c r="I2" t="s">
        <v>151</v>
      </c>
      <c r="J2">
        <v>18</v>
      </c>
      <c r="L2" t="s">
        <v>393</v>
      </c>
      <c r="M2" t="s">
        <v>803</v>
      </c>
      <c r="N2">
        <v>49</v>
      </c>
      <c r="O2" s="36">
        <v>46190</v>
      </c>
      <c r="P2" t="str">
        <f>" FY"&amp;RIGHT(IF(MONTH(Opportunities[[#This Row],[Close]])&gt;=7,YEAR(Opportunities[[#This Row],[Close]])+1,YEAR(Opportunities[[#This Row],[Close]])),2)&amp;"-Q"&amp;IF(MONTH(Opportunities[[#This Row],[Close]])&gt;=7,CEILING((MONTH(Opportunities[[#This Row],[Close]])-6)/3,1),CEILING((MONTH(Opportunities[[#This Row],[Close]])+6)/3,1))</f>
        <v xml:space="preserve"> FY26-Q4</v>
      </c>
      <c r="Q2" t="str">
        <f>"CY"&amp;RIGHT(YEAR(Opportunities[[#This Row],[Close]]),2)&amp;"-Q"&amp;ROUNDUP(MONTH(Opportunities[[#This Row],[Close]])/3, 0)</f>
        <v>CY26-Q2</v>
      </c>
      <c r="R2" t="str">
        <f>siteUrl&amp;"/Lists/"&amp;oppList&amp;"/DispForm.aspx?ID="&amp;Opportunities[[#This Row],[ID]]</f>
        <v>https://cleansheet5.sharepoint.com/sites/SalesFunnel//Lists/auto12Opportunities/DispForm.aspx?ID=1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297608.60000000003</v>
      </c>
      <c r="V2" t="str" cm="1">
        <f t="array" ref="V2">_xlfn.SWITCH(Opportunities[[#This Row],[Status]],"At Risk","⚠","Active","✓","⮾")</f>
        <v>✓</v>
      </c>
      <c r="W2" t="str">
        <f>_xlfn.XLOOKUP(Opportunities[[#This Row],[CustomerId]],Customers[Id],Customers[Customer Name])</f>
        <v>Agricultural Systems</v>
      </c>
      <c r="X2" t="str">
        <f>_xlfn.XLOOKUP(Opportunities[[#This Row],[CustomerId]],Customers[Id],Customers[CustomerRecordUrl])</f>
        <v>https://cleansheet5.sharepoint.com/sites/SalesFunnel//Lists/auto12Customers/DispForm.aspx?ID=18</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 t="str" cm="1">
        <f t="array" ref="AC2">_xlfn.SWITCH(Opportunities[[#This Row],[Probability]],"High","↖","Medium","←","Low","↙")&amp;" " &amp;Opportunities[[#This Row],[Probability]]</f>
        <v>↙ Low</v>
      </c>
      <c r="AD2" t="b">
        <f>Opportunities[[#This Row],[WinProbDisplay]]="↖ High"</f>
        <v>0</v>
      </c>
    </row>
    <row r="3" spans="1:30" x14ac:dyDescent="0.25">
      <c r="A3">
        <v>2</v>
      </c>
      <c r="B3" t="s">
        <v>94</v>
      </c>
      <c r="C3" t="s">
        <v>19</v>
      </c>
      <c r="D3" t="s">
        <v>23</v>
      </c>
      <c r="E3">
        <v>1781938</v>
      </c>
      <c r="F3" t="s">
        <v>82</v>
      </c>
      <c r="G3" s="36">
        <v>45975</v>
      </c>
      <c r="H3" s="36">
        <v>45904</v>
      </c>
      <c r="I3" t="s">
        <v>153</v>
      </c>
      <c r="J3">
        <v>10</v>
      </c>
      <c r="L3" t="s">
        <v>157</v>
      </c>
      <c r="M3" t="s">
        <v>804</v>
      </c>
      <c r="N3">
        <v>35</v>
      </c>
      <c r="O3" s="36">
        <v>46008</v>
      </c>
      <c r="P3" t="str">
        <f>" FY"&amp;RIGHT(IF(MONTH(Opportunities[[#This Row],[Close]])&gt;=7,YEAR(Opportunities[[#This Row],[Close]])+1,YEAR(Opportunities[[#This Row],[Close]])),2)&amp;"-Q"&amp;IF(MONTH(Opportunities[[#This Row],[Close]])&gt;=7,CEILING((MONTH(Opportunities[[#This Row],[Close]])-6)/3,1),CEILING((MONTH(Opportunities[[#This Row],[Close]])+6)/3,1))</f>
        <v xml:space="preserve"> FY26-Q2</v>
      </c>
      <c r="Q3" t="str">
        <f>"CY"&amp;RIGHT(YEAR(Opportunities[[#This Row],[Close]]),2)&amp;"-Q"&amp;ROUNDUP(MONTH(Opportunities[[#This Row],[Close]])/3, 0)</f>
        <v>CY25-Q4</v>
      </c>
      <c r="R3" t="str">
        <f>siteUrl&amp;"/Lists/"&amp;oppList&amp;"/DispForm.aspx?ID="&amp;Opportunities[[#This Row],[ID]]</f>
        <v>https://cleansheet5.sharepoint.com/sites/SalesFunnel//Lists/auto12Opportunities/DispForm.aspx?ID=2</v>
      </c>
      <c r="S3">
        <f>_xlfn.XLOOKUP(Opportunities[[#This Row],[Stage]],stage[Stage Name],stage[Index],"")</f>
        <v>2</v>
      </c>
      <c r="T3" t="str">
        <f>_xlfn.XLOOKUP(Opportunities[[#This Row],[StageNumber]],stage[Index],stage[Display])</f>
        <v>➁ - Nurturing</v>
      </c>
      <c r="U3">
        <f>Opportunities[[#This Row],[Amount]]*_xlfn.XLOOKUP(Opportunities[[#This Row],[Probability]],prob[Win Probability],prob[Value])</f>
        <v>712775.20000000007</v>
      </c>
      <c r="V3" t="str" cm="1">
        <f t="array" ref="V3">_xlfn.SWITCH(Opportunities[[#This Row],[Status]],"At Risk","⚠","Active","✓","⮾")</f>
        <v>✓</v>
      </c>
      <c r="W3" t="str">
        <f>_xlfn.XLOOKUP(Opportunities[[#This Row],[CustomerId]],Customers[Id],Customers[Customer Name])</f>
        <v>Education First</v>
      </c>
      <c r="X3" t="str">
        <f>_xlfn.XLOOKUP(Opportunities[[#This Row],[CustomerId]],Customers[Id],Customers[CustomerRecordUrl])</f>
        <v>https://cleansheet5.sharepoint.com/sites/SalesFunnel//Lists/auto12Customers/DispForm.aspx?ID=10</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 t="str" cm="1">
        <f t="array" ref="AC3">_xlfn.SWITCH(Opportunities[[#This Row],[Probability]],"High","↖","Medium","←","Low","↙")&amp;" " &amp;Opportunities[[#This Row],[Probability]]</f>
        <v>← Medium</v>
      </c>
      <c r="AD3" t="b">
        <f>Opportunities[[#This Row],[WinProbDisplay]]="↖ High"</f>
        <v>0</v>
      </c>
    </row>
    <row r="4" spans="1:30" x14ac:dyDescent="0.25">
      <c r="A4">
        <v>3</v>
      </c>
      <c r="B4" t="s">
        <v>97</v>
      </c>
      <c r="C4" t="s">
        <v>19</v>
      </c>
      <c r="D4" t="s">
        <v>23</v>
      </c>
      <c r="E4">
        <v>1153725</v>
      </c>
      <c r="F4" t="s">
        <v>82</v>
      </c>
      <c r="G4" s="36">
        <v>45918</v>
      </c>
      <c r="H4" s="36">
        <v>45925</v>
      </c>
      <c r="I4" t="s">
        <v>93</v>
      </c>
      <c r="J4">
        <v>16</v>
      </c>
      <c r="L4" t="s">
        <v>166</v>
      </c>
      <c r="M4" t="s">
        <v>805</v>
      </c>
      <c r="N4">
        <v>53</v>
      </c>
      <c r="O4" s="36">
        <v>45925</v>
      </c>
      <c r="P4" t="str">
        <f>" FY"&amp;RIGHT(IF(MONTH(Opportunities[[#This Row],[Close]])&gt;=7,YEAR(Opportunities[[#This Row],[Close]])+1,YEAR(Opportunities[[#This Row],[Close]])),2)&amp;"-Q"&amp;IF(MONTH(Opportunities[[#This Row],[Close]])&gt;=7,CEILING((MONTH(Opportunities[[#This Row],[Close]])-6)/3,1),CEILING((MONTH(Opportunities[[#This Row],[Close]])+6)/3,1))</f>
        <v xml:space="preserve"> FY26-Q1</v>
      </c>
      <c r="Q4" t="str">
        <f>"CY"&amp;RIGHT(YEAR(Opportunities[[#This Row],[Close]]),2)&amp;"-Q"&amp;ROUNDUP(MONTH(Opportunities[[#This Row],[Close]])/3, 0)</f>
        <v>CY25-Q3</v>
      </c>
      <c r="R4" t="str">
        <f>siteUrl&amp;"/Lists/"&amp;oppList&amp;"/DispForm.aspx?ID="&amp;Opportunities[[#This Row],[ID]]</f>
        <v>https://cleansheet5.sharepoint.com/sites/SalesFunnel//Lists/auto12Opportunities/DispForm.aspx?ID=3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461490</v>
      </c>
      <c r="V4" t="str" cm="1">
        <f t="array" ref="V4">_xlfn.SWITCH(Opportunities[[#This Row],[Status]],"At Risk","⚠","Active","✓","⮾")</f>
        <v>✓</v>
      </c>
      <c r="W4" t="str">
        <f>_xlfn.XLOOKUP(Opportunities[[#This Row],[CustomerId]],Customers[Id],Customers[Customer Name])</f>
        <v>Real Estate Ventures</v>
      </c>
      <c r="X4" t="str">
        <f>_xlfn.XLOOKUP(Opportunities[[#This Row],[CustomerId]],Customers[Id],Customers[CustomerRecordUrl])</f>
        <v>https://cleansheet5.sharepoint.com/sites/SalesFunnel//Lists/auto12Customers/DispForm.aspx?ID=16</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4" t="str" cm="1">
        <f t="array" ref="AC4">_xlfn.SWITCH(Opportunities[[#This Row],[Probability]],"High","↖","Medium","←","Low","↙")&amp;" " &amp;Opportunities[[#This Row],[Probability]]</f>
        <v>← Medium</v>
      </c>
      <c r="AD4" t="b">
        <f>Opportunities[[#This Row],[WinProbDisplay]]="↖ High"</f>
        <v>0</v>
      </c>
    </row>
    <row r="5" spans="1:30" x14ac:dyDescent="0.25">
      <c r="A5">
        <v>4</v>
      </c>
      <c r="B5" t="s">
        <v>100</v>
      </c>
      <c r="C5" t="s">
        <v>19</v>
      </c>
      <c r="D5" t="s">
        <v>24</v>
      </c>
      <c r="E5">
        <v>744799</v>
      </c>
      <c r="F5" t="s">
        <v>82</v>
      </c>
      <c r="G5" s="36">
        <v>46009</v>
      </c>
      <c r="H5" s="36">
        <v>45894</v>
      </c>
      <c r="I5" t="s">
        <v>146</v>
      </c>
      <c r="J5">
        <v>12</v>
      </c>
      <c r="L5" t="s">
        <v>157</v>
      </c>
      <c r="M5" t="s">
        <v>803</v>
      </c>
      <c r="N5">
        <v>32</v>
      </c>
      <c r="O5" s="36">
        <v>46096</v>
      </c>
      <c r="P5" t="str">
        <f>" FY"&amp;RIGHT(IF(MONTH(Opportunities[[#This Row],[Close]])&gt;=7,YEAR(Opportunities[[#This Row],[Close]])+1,YEAR(Opportunities[[#This Row],[Close]])),2)&amp;"-Q"&amp;IF(MONTH(Opportunities[[#This Row],[Close]])&gt;=7,CEILING((MONTH(Opportunities[[#This Row],[Close]])-6)/3,1),CEILING((MONTH(Opportunities[[#This Row],[Close]])+6)/3,1))</f>
        <v xml:space="preserve"> FY26-Q2</v>
      </c>
      <c r="Q5" t="str">
        <f>"CY"&amp;RIGHT(YEAR(Opportunities[[#This Row],[Close]]),2)&amp;"-Q"&amp;ROUNDUP(MONTH(Opportunities[[#This Row],[Close]])/3, 0)</f>
        <v>CY25-Q4</v>
      </c>
      <c r="R5" t="str">
        <f>siteUrl&amp;"/Lists/"&amp;oppList&amp;"/DispForm.aspx?ID="&amp;Opportunities[[#This Row],[ID]]</f>
        <v>https://cleansheet5.sharepoint.com/sites/SalesFunnel//Lists/auto12Opportunities/DispForm.aspx?ID=4</v>
      </c>
      <c r="S5">
        <f>_xlfn.XLOOKUP(Opportunities[[#This Row],[Stage]],stage[Stage Name],stage[Index],"")</f>
        <v>6</v>
      </c>
      <c r="T5" t="str">
        <f>_xlfn.XLOOKUP(Opportunities[[#This Row],[StageNumber]],stage[Index],stage[Display])</f>
        <v>➅ - Closeout</v>
      </c>
      <c r="U5">
        <f>Opportunities[[#This Row],[Amount]]*_xlfn.XLOOKUP(Opportunities[[#This Row],[Probability]],prob[Win Probability],prob[Value])</f>
        <v>297919.60000000003</v>
      </c>
      <c r="V5" t="str" cm="1">
        <f t="array" ref="V5">_xlfn.SWITCH(Opportunities[[#This Row],[Status]],"At Risk","⚠","Active","✓","⮾")</f>
        <v>✓</v>
      </c>
      <c r="W5" t="str">
        <f>_xlfn.XLOOKUP(Opportunities[[#This Row],[CustomerId]],Customers[Id],Customers[Customer Name])</f>
        <v>Food Service Partners</v>
      </c>
      <c r="X5" t="str">
        <f>_xlfn.XLOOKUP(Opportunities[[#This Row],[CustomerId]],Customers[Id],Customers[CustomerRecordUrl])</f>
        <v>https://cleansheet5.sharepoint.com/sites/SalesFunnel//Lists/auto12Customers/DispForm.aspx?ID=12</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5" t="str" cm="1">
        <f t="array" ref="AC5">_xlfn.SWITCH(Opportunities[[#This Row],[Probability]],"High","↖","Medium","←","Low","↙")&amp;" " &amp;Opportunities[[#This Row],[Probability]]</f>
        <v>← Medium</v>
      </c>
      <c r="AD5" t="b">
        <f>Opportunities[[#This Row],[WinProbDisplay]]="↖ High"</f>
        <v>0</v>
      </c>
    </row>
    <row r="6" spans="1:30" x14ac:dyDescent="0.25">
      <c r="A6">
        <v>5</v>
      </c>
      <c r="B6" t="s">
        <v>103</v>
      </c>
      <c r="C6" t="s">
        <v>19</v>
      </c>
      <c r="D6" t="s">
        <v>22</v>
      </c>
      <c r="E6">
        <v>1248522</v>
      </c>
      <c r="F6" t="s">
        <v>82</v>
      </c>
      <c r="G6" s="36">
        <v>46352</v>
      </c>
      <c r="H6" s="36">
        <v>45895</v>
      </c>
      <c r="I6" t="s">
        <v>153</v>
      </c>
      <c r="J6">
        <v>12</v>
      </c>
      <c r="L6" t="s">
        <v>393</v>
      </c>
      <c r="M6" t="s">
        <v>806</v>
      </c>
      <c r="N6">
        <v>20</v>
      </c>
      <c r="O6" s="36">
        <v>46441</v>
      </c>
      <c r="P6" t="str">
        <f>" FY"&amp;RIGHT(IF(MONTH(Opportunities[[#This Row],[Close]])&gt;=7,YEAR(Opportunities[[#This Row],[Close]])+1,YEAR(Opportunities[[#This Row],[Close]])),2)&amp;"-Q"&amp;IF(MONTH(Opportunities[[#This Row],[Close]])&gt;=7,CEILING((MONTH(Opportunities[[#This Row],[Close]])-6)/3,1),CEILING((MONTH(Opportunities[[#This Row],[Close]])+6)/3,1))</f>
        <v xml:space="preserve"> FY27-Q2</v>
      </c>
      <c r="Q6" t="str">
        <f>"CY"&amp;RIGHT(YEAR(Opportunities[[#This Row],[Close]]),2)&amp;"-Q"&amp;ROUNDUP(MONTH(Opportunities[[#This Row],[Close]])/3, 0)</f>
        <v>CY26-Q4</v>
      </c>
      <c r="R6" t="str">
        <f>siteUrl&amp;"/Lists/"&amp;oppList&amp;"/DispForm.aspx?ID="&amp;Opportunities[[#This Row],[ID]]</f>
        <v>https://cleansheet5.sharepoint.com/sites/SalesFunnel//Lists/auto12Opportunities/DispForm.aspx?ID=5</v>
      </c>
      <c r="S6">
        <f>_xlfn.XLOOKUP(Opportunities[[#This Row],[Stage]],stage[Stage Name],stage[Index],"")</f>
        <v>3</v>
      </c>
      <c r="T6" t="str">
        <f>_xlfn.XLOOKUP(Opportunities[[#This Row],[StageNumber]],stage[Index],stage[Display])</f>
        <v>➂ - Proposal</v>
      </c>
      <c r="U6">
        <f>Opportunities[[#This Row],[Amount]]*_xlfn.XLOOKUP(Opportunities[[#This Row],[Probability]],prob[Win Probability],prob[Value])</f>
        <v>499408.80000000005</v>
      </c>
      <c r="V6" t="str" cm="1">
        <f t="array" ref="V6">_xlfn.SWITCH(Opportunities[[#This Row],[Status]],"At Risk","⚠","Active","✓","⮾")</f>
        <v>✓</v>
      </c>
      <c r="W6" t="str">
        <f>_xlfn.XLOOKUP(Opportunities[[#This Row],[CustomerId]],Customers[Id],Customers[Customer Name])</f>
        <v>Food Service Partners</v>
      </c>
      <c r="X6" t="str">
        <f>_xlfn.XLOOKUP(Opportunities[[#This Row],[CustomerId]],Customers[Id],Customers[CustomerRecordUrl])</f>
        <v>https://cleansheet5.sharepoint.com/sites/SalesFunnel//Lists/auto12Customers/DispForm.aspx?ID=12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6" t="str" cm="1">
        <f t="array" ref="AC6">_xlfn.SWITCH(Opportunities[[#This Row],[Probability]],"High","↖","Medium","←","Low","↙")&amp;" " &amp;Opportunities[[#This Row],[Probability]]</f>
        <v>← Medium</v>
      </c>
      <c r="AD6" t="b">
        <f>Opportunities[[#This Row],[WinProbDisplay]]="↖ High"</f>
        <v>0</v>
      </c>
    </row>
    <row r="7" spans="1:30" x14ac:dyDescent="0.25">
      <c r="A7">
        <v>6</v>
      </c>
      <c r="B7" t="s">
        <v>147</v>
      </c>
      <c r="C7" t="s">
        <v>19</v>
      </c>
      <c r="D7" t="s">
        <v>21</v>
      </c>
      <c r="E7">
        <v>826105</v>
      </c>
      <c r="F7" t="s">
        <v>82</v>
      </c>
      <c r="G7" s="36">
        <v>46140</v>
      </c>
      <c r="H7" s="36">
        <v>45898</v>
      </c>
      <c r="I7" t="s">
        <v>159</v>
      </c>
      <c r="J7">
        <v>13</v>
      </c>
      <c r="L7" t="s">
        <v>157</v>
      </c>
      <c r="M7" t="s">
        <v>806</v>
      </c>
      <c r="N7">
        <v>14</v>
      </c>
      <c r="O7" s="36">
        <v>46199</v>
      </c>
      <c r="P7" t="str">
        <f>" FY"&amp;RIGHT(IF(MONTH(Opportunities[[#This Row],[Close]])&gt;=7,YEAR(Opportunities[[#This Row],[Close]])+1,YEAR(Opportunities[[#This Row],[Close]])),2)&amp;"-Q"&amp;IF(MONTH(Opportunities[[#This Row],[Close]])&gt;=7,CEILING((MONTH(Opportunities[[#This Row],[Close]])-6)/3,1),CEILING((MONTH(Opportunities[[#This Row],[Close]])+6)/3,1))</f>
        <v xml:space="preserve"> FY26-Q4</v>
      </c>
      <c r="Q7" t="str">
        <f>"CY"&amp;RIGHT(YEAR(Opportunities[[#This Row],[Close]]),2)&amp;"-Q"&amp;ROUNDUP(MONTH(Opportunities[[#This Row],[Close]])/3, 0)</f>
        <v>CY26-Q2</v>
      </c>
      <c r="R7" t="str">
        <f>siteUrl&amp;"/Lists/"&amp;oppList&amp;"/DispForm.aspx?ID="&amp;Opportunities[[#This Row],[ID]]</f>
        <v>https://cleansheet5.sharepoint.com/sites/SalesFunnel//Lists/auto12Opportunities/DispForm.aspx?ID=6</v>
      </c>
      <c r="S7">
        <f>_xlfn.XLOOKUP(Opportunities[[#This Row],[Stage]],stage[Stage Name],stage[Index],"")</f>
        <v>5</v>
      </c>
      <c r="T7" t="str">
        <f>_xlfn.XLOOKUP(Opportunities[[#This Row],[StageNumber]],stage[Index],stage[Display])</f>
        <v>➄ - Project Execution</v>
      </c>
      <c r="U7">
        <f>Opportunities[[#This Row],[Amount]]*_xlfn.XLOOKUP(Opportunities[[#This Row],[Probability]],prob[Win Probability],prob[Value])</f>
        <v>330442</v>
      </c>
      <c r="V7" t="str" cm="1">
        <f t="array" ref="V7">_xlfn.SWITCH(Opportunities[[#This Row],[Status]],"At Risk","⚠","Active","✓","⮾")</f>
        <v>✓</v>
      </c>
      <c r="W7" t="str">
        <f>_xlfn.XLOOKUP(Opportunities[[#This Row],[CustomerId]],Customers[Id],Customers[Customer Name])</f>
        <v>Professional Services Group</v>
      </c>
      <c r="X7" t="str">
        <f>_xlfn.XLOOKUP(Opportunities[[#This Row],[CustomerId]],Customers[Id],Customers[CustomerRecordUrl])</f>
        <v>https://cleansheet5.sharepoint.com/sites/SalesFunnel//Lists/auto12Customers/DispForm.aspx?ID=13</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7" t="str" cm="1">
        <f t="array" ref="AC7">_xlfn.SWITCH(Opportunities[[#This Row],[Probability]],"High","↖","Medium","←","Low","↙")&amp;" " &amp;Opportunities[[#This Row],[Probability]]</f>
        <v>← Medium</v>
      </c>
      <c r="AD7" t="b">
        <f>Opportunities[[#This Row],[WinProbDisplay]]="↖ High"</f>
        <v>0</v>
      </c>
    </row>
    <row r="8" spans="1:30" x14ac:dyDescent="0.25">
      <c r="A8">
        <v>7</v>
      </c>
      <c r="B8" t="s">
        <v>149</v>
      </c>
      <c r="C8" t="s">
        <v>19</v>
      </c>
      <c r="D8" t="s">
        <v>21</v>
      </c>
      <c r="E8">
        <v>1002514</v>
      </c>
      <c r="F8" t="s">
        <v>82</v>
      </c>
      <c r="G8" s="36">
        <v>46330</v>
      </c>
      <c r="H8" s="36">
        <v>45888</v>
      </c>
      <c r="I8" t="s">
        <v>153</v>
      </c>
      <c r="J8">
        <v>14</v>
      </c>
      <c r="L8" t="s">
        <v>104</v>
      </c>
      <c r="M8" t="s">
        <v>807</v>
      </c>
      <c r="N8">
        <v>22</v>
      </c>
      <c r="O8" s="36">
        <v>46413</v>
      </c>
      <c r="P8" t="str">
        <f>" FY"&amp;RIGHT(IF(MONTH(Opportunities[[#This Row],[Close]])&gt;=7,YEAR(Opportunities[[#This Row],[Close]])+1,YEAR(Opportunities[[#This Row],[Close]])),2)&amp;"-Q"&amp;IF(MONTH(Opportunities[[#This Row],[Close]])&gt;=7,CEILING((MONTH(Opportunities[[#This Row],[Close]])-6)/3,1),CEILING((MONTH(Opportunities[[#This Row],[Close]])+6)/3,1))</f>
        <v xml:space="preserve"> FY27-Q2</v>
      </c>
      <c r="Q8" t="str">
        <f>"CY"&amp;RIGHT(YEAR(Opportunities[[#This Row],[Close]]),2)&amp;"-Q"&amp;ROUNDUP(MONTH(Opportunities[[#This Row],[Close]])/3, 0)</f>
        <v>CY26-Q4</v>
      </c>
      <c r="R8" t="str">
        <f>siteUrl&amp;"/Lists/"&amp;oppList&amp;"/DispForm.aspx?ID="&amp;Opportunities[[#This Row],[ID]]</f>
        <v>https://cleansheet5.sharepoint.com/sites/SalesFunnel//Lists/auto12Opportunities/DispForm.aspx?ID=7</v>
      </c>
      <c r="S8">
        <f>_xlfn.XLOOKUP(Opportunities[[#This Row],[Stage]],stage[Stage Name],stage[Index],"")</f>
        <v>5</v>
      </c>
      <c r="T8" t="str">
        <f>_xlfn.XLOOKUP(Opportunities[[#This Row],[StageNumber]],stage[Index],stage[Display])</f>
        <v>➄ - Project Execution</v>
      </c>
      <c r="U8">
        <f>Opportunities[[#This Row],[Amount]]*_xlfn.XLOOKUP(Opportunities[[#This Row],[Probability]],prob[Win Probability],prob[Value])</f>
        <v>401005.60000000003</v>
      </c>
      <c r="V8" t="str" cm="1">
        <f t="array" ref="V8">_xlfn.SWITCH(Opportunities[[#This Row],[Status]],"At Risk","⚠","Active","✓","⮾")</f>
        <v>✓</v>
      </c>
      <c r="W8" t="str">
        <f>_xlfn.XLOOKUP(Opportunities[[#This Row],[CustomerId]],Customers[Id],Customers[Customer Name])</f>
        <v>Media Communications</v>
      </c>
      <c r="X8" t="str">
        <f>_xlfn.XLOOKUP(Opportunities[[#This Row],[CustomerId]],Customers[Id],Customers[CustomerRecordUrl])</f>
        <v>https://cleansheet5.sharepoint.com/sites/SalesFunnel//Lists/auto12Customers/DispForm.aspx?ID=14</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1003602</v>
      </c>
      <c r="F9" t="s">
        <v>82</v>
      </c>
      <c r="G9" s="36">
        <v>45937</v>
      </c>
      <c r="H9" s="36">
        <v>45897</v>
      </c>
      <c r="I9" t="s">
        <v>93</v>
      </c>
      <c r="J9">
        <v>13</v>
      </c>
      <c r="L9" t="s">
        <v>95</v>
      </c>
      <c r="M9" t="s">
        <v>806</v>
      </c>
      <c r="N9">
        <v>15</v>
      </c>
      <c r="O9" s="36">
        <v>46027</v>
      </c>
      <c r="P9" t="str">
        <f>" FY"&amp;RIGHT(IF(MONTH(Opportunities[[#This Row],[Close]])&gt;=7,YEAR(Opportunities[[#This Row],[Close]])+1,YEAR(Opportunities[[#This Row],[Close]])),2)&amp;"-Q"&amp;IF(MONTH(Opportunities[[#This Row],[Close]])&gt;=7,CEILING((MONTH(Opportunities[[#This Row],[Close]])-6)/3,1),CEILING((MONTH(Opportunities[[#This Row],[Close]])+6)/3,1))</f>
        <v xml:space="preserve"> FY26-Q2</v>
      </c>
      <c r="Q9" t="str">
        <f>"CY"&amp;RIGHT(YEAR(Opportunities[[#This Row],[Close]]),2)&amp;"-Q"&amp;ROUNDUP(MONTH(Opportunities[[#This Row],[Close]])/3, 0)</f>
        <v>CY25-Q4</v>
      </c>
      <c r="R9" t="str">
        <f>siteUrl&amp;"/Lists/"&amp;oppList&amp;"/DispForm.aspx?ID="&amp;Opportunities[[#This Row],[ID]]</f>
        <v>https://cleansheet5.sharepoint.com/sites/SalesFunnel//Lists/auto12Opportunities/DispForm.aspx?ID=8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401440.80000000005</v>
      </c>
      <c r="V9" t="str" cm="1">
        <f t="array" ref="V9">_xlfn.SWITCH(Opportunities[[#This Row],[Status]],"At Risk","⚠","Active","✓","⮾")</f>
        <v>✓</v>
      </c>
      <c r="W9" t="str">
        <f>_xlfn.XLOOKUP(Opportunities[[#This Row],[CustomerId]],Customers[Id],Customers[Customer Name])</f>
        <v>Professional Services Group</v>
      </c>
      <c r="X9" t="str">
        <f>_xlfn.XLOOKUP(Opportunities[[#This Row],[CustomerId]],Customers[Id],Customers[CustomerRecordUrl])</f>
        <v>https://cleansheet5.sharepoint.com/sites/SalesFunnel//Lists/auto12Customers/DispForm.aspx?ID=13</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20</v>
      </c>
      <c r="E10">
        <v>1310673</v>
      </c>
      <c r="F10" t="s">
        <v>84</v>
      </c>
      <c r="G10" s="36">
        <v>46139</v>
      </c>
      <c r="H10" s="36">
        <v>45931</v>
      </c>
      <c r="I10" t="s">
        <v>99</v>
      </c>
      <c r="J10">
        <v>26</v>
      </c>
      <c r="L10" t="s">
        <v>101</v>
      </c>
      <c r="M10" t="s">
        <v>803</v>
      </c>
      <c r="N10">
        <v>25</v>
      </c>
      <c r="O10" s="36">
        <v>46222</v>
      </c>
      <c r="P10" t="str">
        <f>" FY"&amp;RIGHT(IF(MONTH(Opportunities[[#This Row],[Close]])&gt;=7,YEAR(Opportunities[[#This Row],[Close]])+1,YEAR(Opportunities[[#This Row],[Close]])),2)&amp;"-Q"&amp;IF(MONTH(Opportunities[[#This Row],[Close]])&gt;=7,CEILING((MONTH(Opportunities[[#This Row],[Close]])-6)/3,1),CEILING((MONTH(Opportunities[[#This Row],[Close]])+6)/3,1))</f>
        <v xml:space="preserve"> FY26-Q4</v>
      </c>
      <c r="Q10" t="str">
        <f>"CY"&amp;RIGHT(YEAR(Opportunities[[#This Row],[Close]]),2)&amp;"-Q"&amp;ROUNDUP(MONTH(Opportunities[[#This Row],[Close]])/3, 0)</f>
        <v>CY26-Q2</v>
      </c>
      <c r="R10" t="str">
        <f>siteUrl&amp;"/Lists/"&amp;oppList&amp;"/DispForm.aspx?ID="&amp;Opportunities[[#This Row],[ID]]</f>
        <v>https://cleansheet5.sharepoint.com/sites/SalesFunnel//Lists/auto12Opportunities/DispForm.aspx?ID=9</v>
      </c>
      <c r="S10">
        <f>_xlfn.XLOOKUP(Opportunities[[#This Row],[Stage]],stage[Stage Name],stage[Index],"")</f>
        <v>1</v>
      </c>
      <c r="T10" t="str">
        <f>_xlfn.XLOOKUP(Opportunities[[#This Row],[StageNumber]],stage[Index],stage[Display])</f>
        <v>➀ - Lead Qualification</v>
      </c>
      <c r="U10">
        <f>Opportunities[[#This Row],[Amount]]*_xlfn.XLOOKUP(Opportunities[[#This Row],[Probability]],prob[Win Probability],prob[Value])</f>
        <v>262134.6</v>
      </c>
      <c r="V10" t="str" cm="1">
        <f t="array" ref="V10">_xlfn.SWITCH(Opportunities[[#This Row],[Status]],"At Risk","⚠","Active","✓","⮾")</f>
        <v>⚠</v>
      </c>
      <c r="W10" t="str">
        <f>_xlfn.XLOOKUP(Opportunities[[#This Row],[CustomerId]],Customers[Id],Customers[Customer Name])</f>
        <v>Publishing House</v>
      </c>
      <c r="X10" t="str">
        <f>_xlfn.XLOOKUP(Opportunities[[#This Row],[CustomerId]],Customers[Id],Customers[CustomerRecordUrl])</f>
        <v>https://cleansheet5.sharepoint.com/sites/SalesFunnel//Lists/auto12Customers/DispForm.aspx?ID=26</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0" t="str" cm="1">
        <f t="array" ref="AC10">_xlfn.SWITCH(Opportunities[[#This Row],[Probability]],"High","↖","Medium","←","Low","↙")&amp;" " &amp;Opportunities[[#This Row],[Probability]]</f>
        <v>↙ Low</v>
      </c>
      <c r="AD10" t="b">
        <f>Opportunities[[#This Row],[WinProbDisplay]]="↖ High"</f>
        <v>0</v>
      </c>
    </row>
    <row r="11" spans="1:30" x14ac:dyDescent="0.25">
      <c r="A11">
        <v>10</v>
      </c>
      <c r="B11" t="s">
        <v>155</v>
      </c>
      <c r="C11" t="s">
        <v>19</v>
      </c>
      <c r="D11" t="s">
        <v>18</v>
      </c>
      <c r="E11">
        <v>1085176</v>
      </c>
      <c r="F11" t="s">
        <v>82</v>
      </c>
      <c r="G11" s="36">
        <v>46063</v>
      </c>
      <c r="H11" s="36">
        <v>45928</v>
      </c>
      <c r="I11" t="s">
        <v>99</v>
      </c>
      <c r="J11">
        <v>30</v>
      </c>
      <c r="L11" t="s">
        <v>393</v>
      </c>
      <c r="M11" t="s">
        <v>805</v>
      </c>
      <c r="N11">
        <v>57</v>
      </c>
      <c r="O11" s="36">
        <v>46150</v>
      </c>
      <c r="P11" t="str">
        <f>" FY"&amp;RIGHT(IF(MONTH(Opportunities[[#This Row],[Close]])&gt;=7,YEAR(Opportunities[[#This Row],[Close]])+1,YEAR(Opportunities[[#This Row],[Close]])),2)&amp;"-Q"&amp;IF(MONTH(Opportunities[[#This Row],[Close]])&gt;=7,CEILING((MONTH(Opportunities[[#This Row],[Close]])-6)/3,1),CEILING((MONTH(Opportunities[[#This Row],[Close]])+6)/3,1))</f>
        <v xml:space="preserve"> FY26-Q3</v>
      </c>
      <c r="Q11" t="str">
        <f>"CY"&amp;RIGHT(YEAR(Opportunities[[#This Row],[Close]]),2)&amp;"-Q"&amp;ROUNDUP(MONTH(Opportunities[[#This Row],[Close]])/3, 0)</f>
        <v>CY26-Q1</v>
      </c>
      <c r="R11" t="str">
        <f>siteUrl&amp;"/Lists/"&amp;oppList&amp;"/DispForm.aspx?ID="&amp;Opportunities[[#This Row],[ID]]</f>
        <v>https://cleansheet5.sharepoint.com/sites/SalesFunnel//Lists/auto12Opportunities/DispForm.aspx?ID=10</v>
      </c>
      <c r="S11">
        <f>_xlfn.XLOOKUP(Opportunities[[#This Row],[Stage]],stage[Stage Name],stage[Index],"")</f>
        <v>4</v>
      </c>
      <c r="T11" t="str">
        <f>_xlfn.XLOOKUP(Opportunities[[#This Row],[StageNumber]],stage[Index],stage[Display])</f>
        <v>➃ - Negotiation</v>
      </c>
      <c r="U11">
        <f>Opportunities[[#This Row],[Amount]]*_xlfn.XLOOKUP(Opportunities[[#This Row],[Probability]],prob[Win Probability],prob[Value])</f>
        <v>434070.4</v>
      </c>
      <c r="V11" t="str" cm="1">
        <f t="array" ref="V11">_xlfn.SWITCH(Opportunities[[#This Row],[Status]],"At Risk","⚠","Active","✓","⮾")</f>
        <v>✓</v>
      </c>
      <c r="W11" t="str">
        <f>_xlfn.XLOOKUP(Opportunities[[#This Row],[CustomerId]],Customers[Id],Customers[Customer Name])</f>
        <v>Consulting Experts</v>
      </c>
      <c r="X11" t="str">
        <f>_xlfn.XLOOKUP(Opportunities[[#This Row],[CustomerId]],Customers[Id],Customers[CustomerRecordUrl])</f>
        <v>https://cleansheet5.sharepoint.com/sites/SalesFunnel//Lists/auto12Customers/DispForm.aspx?ID=30</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1" t="str" cm="1">
        <f t="array" ref="AC11">_xlfn.SWITCH(Opportunities[[#This Row],[Probability]],"High","↖","Medium","←","Low","↙")&amp;" " &amp;Opportunities[[#This Row],[Probability]]</f>
        <v>← Medium</v>
      </c>
      <c r="AD11" t="b">
        <f>Opportunities[[#This Row],[WinProbDisplay]]="↖ High"</f>
        <v>0</v>
      </c>
    </row>
    <row r="12" spans="1:30" x14ac:dyDescent="0.25">
      <c r="A12">
        <v>11</v>
      </c>
      <c r="B12" t="s">
        <v>156</v>
      </c>
      <c r="C12" t="s">
        <v>17</v>
      </c>
      <c r="D12" t="s">
        <v>18</v>
      </c>
      <c r="E12">
        <v>2017080</v>
      </c>
      <c r="F12" t="s">
        <v>83</v>
      </c>
      <c r="G12" s="36">
        <v>46318</v>
      </c>
      <c r="H12" s="36">
        <v>45923</v>
      </c>
      <c r="I12" t="s">
        <v>99</v>
      </c>
      <c r="J12">
        <v>3</v>
      </c>
      <c r="L12" t="s">
        <v>166</v>
      </c>
      <c r="M12" t="s">
        <v>807</v>
      </c>
      <c r="N12">
        <v>56</v>
      </c>
      <c r="O12" s="36">
        <v>46400</v>
      </c>
      <c r="P12" t="str">
        <f>" FY"&amp;RIGHT(IF(MONTH(Opportunities[[#This Row],[Close]])&gt;=7,YEAR(Opportunities[[#This Row],[Close]])+1,YEAR(Opportunities[[#This Row],[Close]])),2)&amp;"-Q"&amp;IF(MONTH(Opportunities[[#This Row],[Close]])&gt;=7,CEILING((MONTH(Opportunities[[#This Row],[Close]])-6)/3,1),CEILING((MONTH(Opportunities[[#This Row],[Close]])+6)/3,1))</f>
        <v xml:space="preserve"> FY27-Q2</v>
      </c>
      <c r="Q12" t="str">
        <f>"CY"&amp;RIGHT(YEAR(Opportunities[[#This Row],[Close]]),2)&amp;"-Q"&amp;ROUNDUP(MONTH(Opportunities[[#This Row],[Close]])/3, 0)</f>
        <v>CY26-Q4</v>
      </c>
      <c r="R12" t="str">
        <f>siteUrl&amp;"/Lists/"&amp;oppList&amp;"/DispForm.aspx?ID="&amp;Opportunities[[#This Row],[ID]]</f>
        <v>https://cleansheet5.sharepoint.com/sites/SalesFunnel//Lists/auto12Opportunities/DispForm.aspx?ID=11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1815372</v>
      </c>
      <c r="V12" t="str" cm="1">
        <f t="array" ref="V12">_xlfn.SWITCH(Opportunities[[#This Row],[Status]],"At Risk","⚠","Active","✓","⮾")</f>
        <v>⚠</v>
      </c>
      <c r="W12" t="str">
        <f>_xlfn.XLOOKUP(Opportunities[[#This Row],[CustomerId]],Customers[Id],Customers[Customer Name])</f>
        <v>Tech Solutions Inc</v>
      </c>
      <c r="X12" t="str">
        <f>_xlfn.XLOOKUP(Opportunities[[#This Row],[CustomerId]],Customers[Id],Customers[CustomerRecordUrl])</f>
        <v>https://cleansheet5.sharepoint.com/sites/SalesFunnel//Lists/auto12Customers/DispForm.aspx?ID=3</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2" t="str" cm="1">
        <f t="array" ref="AC12">_xlfn.SWITCH(Opportunities[[#This Row],[Probability]],"High","↖","Medium","←","Low","↙")&amp;" " &amp;Opportunities[[#This Row],[Probability]]</f>
        <v>↖ High</v>
      </c>
      <c r="AD12" t="b">
        <f>Opportunities[[#This Row],[WinProbDisplay]]="↖ High"</f>
        <v>1</v>
      </c>
    </row>
    <row r="13" spans="1:30" x14ac:dyDescent="0.25">
      <c r="A13">
        <v>12</v>
      </c>
      <c r="B13" t="s">
        <v>158</v>
      </c>
      <c r="C13" t="s">
        <v>19</v>
      </c>
      <c r="D13" t="s">
        <v>21</v>
      </c>
      <c r="E13">
        <v>1087125</v>
      </c>
      <c r="F13" t="s">
        <v>82</v>
      </c>
      <c r="G13" s="36">
        <v>46226</v>
      </c>
      <c r="H13" s="36">
        <v>45910</v>
      </c>
      <c r="I13" t="s">
        <v>146</v>
      </c>
      <c r="J13">
        <v>17</v>
      </c>
      <c r="L13" t="s">
        <v>104</v>
      </c>
      <c r="M13" t="s">
        <v>803</v>
      </c>
      <c r="N13">
        <v>13</v>
      </c>
      <c r="O13" s="36">
        <v>46313</v>
      </c>
      <c r="P13" t="str">
        <f>" FY"&amp;RIGHT(IF(MONTH(Opportunities[[#This Row],[Close]])&gt;=7,YEAR(Opportunities[[#This Row],[Close]])+1,YEAR(Opportunities[[#This Row],[Close]])),2)&amp;"-Q"&amp;IF(MONTH(Opportunities[[#This Row],[Close]])&gt;=7,CEILING((MONTH(Opportunities[[#This Row],[Close]])-6)/3,1),CEILING((MONTH(Opportunities[[#This Row],[Close]])+6)/3,1))</f>
        <v xml:space="preserve"> FY27-Q1</v>
      </c>
      <c r="Q13" t="str">
        <f>"CY"&amp;RIGHT(YEAR(Opportunities[[#This Row],[Close]]),2)&amp;"-Q"&amp;ROUNDUP(MONTH(Opportunities[[#This Row],[Close]])/3, 0)</f>
        <v>CY26-Q3</v>
      </c>
      <c r="R13" t="str">
        <f>siteUrl&amp;"/Lists/"&amp;oppList&amp;"/DispForm.aspx?ID="&amp;Opportunities[[#This Row],[ID]]</f>
        <v>https://cleansheet5.sharepoint.com/sites/SalesFunnel//Lists/auto12Opportunities/DispForm.aspx?ID=12</v>
      </c>
      <c r="S13">
        <f>_xlfn.XLOOKUP(Opportunities[[#This Row],[Stage]],stage[Stage Name],stage[Index],"")</f>
        <v>5</v>
      </c>
      <c r="T13" t="str">
        <f>_xlfn.XLOOKUP(Opportunities[[#This Row],[StageNumber]],stage[Index],stage[Display])</f>
        <v>➄ - Project Execution</v>
      </c>
      <c r="U13">
        <f>Opportunities[[#This Row],[Amount]]*_xlfn.XLOOKUP(Opportunities[[#This Row],[Probability]],prob[Win Probability],prob[Value])</f>
        <v>434850</v>
      </c>
      <c r="V13" t="str" cm="1">
        <f t="array" ref="V13">_xlfn.SWITCH(Opportunities[[#This Row],[Status]],"At Risk","⚠","Active","✓","⮾")</f>
        <v>✓</v>
      </c>
      <c r="W13" t="str">
        <f>_xlfn.XLOOKUP(Opportunities[[#This Row],[CustomerId]],Customers[Id],Customers[Customer Name])</f>
        <v>Insurance Specialists</v>
      </c>
      <c r="X13" t="str">
        <f>_xlfn.XLOOKUP(Opportunities[[#This Row],[CustomerId]],Customers[Id],Customers[CustomerRecordUrl])</f>
        <v>https://cleansheet5.sharepoint.com/sites/SalesFunnel//Lists/auto12Customers/DispForm.aspx?ID=17</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3" t="str" cm="1">
        <f t="array" ref="AC13">_xlfn.SWITCH(Opportunities[[#This Row],[Probability]],"High","↖","Medium","←","Low","↙")&amp;" " &amp;Opportunities[[#This Row],[Probability]]</f>
        <v>← Medium</v>
      </c>
      <c r="AD13" t="b">
        <f>Opportunities[[#This Row],[WinProbDisplay]]="↖ High"</f>
        <v>0</v>
      </c>
    </row>
    <row r="14" spans="1:30" x14ac:dyDescent="0.25">
      <c r="A14">
        <v>13</v>
      </c>
      <c r="B14" t="s">
        <v>160</v>
      </c>
      <c r="C14" t="s">
        <v>19</v>
      </c>
      <c r="D14" t="s">
        <v>18</v>
      </c>
      <c r="E14">
        <v>1236637</v>
      </c>
      <c r="F14" t="s">
        <v>82</v>
      </c>
      <c r="G14" s="36">
        <v>46246</v>
      </c>
      <c r="H14" s="36">
        <v>45939</v>
      </c>
      <c r="I14" t="s">
        <v>148</v>
      </c>
      <c r="J14">
        <v>2</v>
      </c>
      <c r="L14" t="s">
        <v>101</v>
      </c>
      <c r="M14" t="s">
        <v>808</v>
      </c>
      <c r="N14">
        <v>36</v>
      </c>
      <c r="O14" s="36">
        <v>46317</v>
      </c>
      <c r="P14" t="str">
        <f>" FY"&amp;RIGHT(IF(MONTH(Opportunities[[#This Row],[Close]])&gt;=7,YEAR(Opportunities[[#This Row],[Close]])+1,YEAR(Opportunities[[#This Row],[Close]])),2)&amp;"-Q"&amp;IF(MONTH(Opportunities[[#This Row],[Close]])&gt;=7,CEILING((MONTH(Opportunities[[#This Row],[Close]])-6)/3,1),CEILING((MONTH(Opportunities[[#This Row],[Close]])+6)/3,1))</f>
        <v xml:space="preserve"> FY27-Q1</v>
      </c>
      <c r="Q14" t="str">
        <f>"CY"&amp;RIGHT(YEAR(Opportunities[[#This Row],[Close]]),2)&amp;"-Q"&amp;ROUNDUP(MONTH(Opportunities[[#This Row],[Close]])/3, 0)</f>
        <v>CY26-Q3</v>
      </c>
      <c r="R14" t="str">
        <f>siteUrl&amp;"/Lists/"&amp;oppList&amp;"/DispForm.aspx?ID="&amp;Opportunities[[#This Row],[ID]]</f>
        <v>https://cleansheet5.sharepoint.com/sites/SalesFunnel//Lists/auto12Opportunities/DispForm.aspx?ID=13</v>
      </c>
      <c r="S14">
        <f>_xlfn.XLOOKUP(Opportunities[[#This Row],[Stage]],stage[Stage Name],stage[Index],"")</f>
        <v>4</v>
      </c>
      <c r="T14" t="str">
        <f>_xlfn.XLOOKUP(Opportunities[[#This Row],[StageNumber]],stage[Index],stage[Display])</f>
        <v>➃ - Negotiation</v>
      </c>
      <c r="U14">
        <f>Opportunities[[#This Row],[Amount]]*_xlfn.XLOOKUP(Opportunities[[#This Row],[Probability]],prob[Win Probability],prob[Value])</f>
        <v>494654.80000000005</v>
      </c>
      <c r="V14" t="str" cm="1">
        <f t="array" ref="V14">_xlfn.SWITCH(Opportunities[[#This Row],[Status]],"At Risk","⚠","Active","✓","⮾")</f>
        <v>✓</v>
      </c>
      <c r="W14" t="str">
        <f>_xlfn.XLOOKUP(Opportunities[[#This Row],[CustomerId]],Customers[Id],Customers[Customer Name])</f>
        <v>Global Industries</v>
      </c>
      <c r="X14" t="str">
        <f>_xlfn.XLOOKUP(Opportunities[[#This Row],[CustomerId]],Customers[Id],Customers[CustomerRecordUrl])</f>
        <v>https://cleansheet5.sharepoint.com/sites/SalesFunnel//Lists/auto12Customers/DispForm.aspx?ID=2</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4" t="str" cm="1">
        <f t="array" ref="AC14">_xlfn.SWITCH(Opportunities[[#This Row],[Probability]],"High","↖","Medium","←","Low","↙")&amp;" " &amp;Opportunities[[#This Row],[Probability]]</f>
        <v>← Medium</v>
      </c>
      <c r="AD14" t="b">
        <f>Opportunities[[#This Row],[WinProbDisplay]]="↖ High"</f>
        <v>0</v>
      </c>
    </row>
    <row r="15" spans="1:30" x14ac:dyDescent="0.25">
      <c r="A15">
        <v>14</v>
      </c>
      <c r="B15" t="s">
        <v>161</v>
      </c>
      <c r="C15" t="s">
        <v>19</v>
      </c>
      <c r="D15" t="s">
        <v>20</v>
      </c>
      <c r="E15">
        <v>1061325</v>
      </c>
      <c r="F15" t="s">
        <v>82</v>
      </c>
      <c r="G15" s="36">
        <v>46204</v>
      </c>
      <c r="H15" s="36">
        <v>45892</v>
      </c>
      <c r="I15" t="s">
        <v>148</v>
      </c>
      <c r="J15">
        <v>2</v>
      </c>
      <c r="L15" t="s">
        <v>92</v>
      </c>
      <c r="M15" t="s">
        <v>803</v>
      </c>
      <c r="N15">
        <v>11</v>
      </c>
      <c r="O15" s="36">
        <v>46235</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https://cleansheet5.sharepoint.com/sites/SalesFunnel//Lists/auto12Opportunities/DispForm.aspx?ID=14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424530</v>
      </c>
      <c r="V15" t="str" cm="1">
        <f t="array" ref="V15">_xlfn.SWITCH(Opportunities[[#This Row],[Status]],"At Risk","⚠","Active","✓","⮾")</f>
        <v>✓</v>
      </c>
      <c r="W15" t="str">
        <f>_xlfn.XLOOKUP(Opportunities[[#This Row],[CustomerId]],Customers[Id],Customers[Customer Name])</f>
        <v>Global Industries</v>
      </c>
      <c r="X15" t="str">
        <f>_xlfn.XLOOKUP(Opportunities[[#This Row],[CustomerId]],Customers[Id],Customers[CustomerRecordUrl])</f>
        <v>https://cleansheet5.sharepoint.com/sites/SalesFunnel//Lists/auto12Customers/DispForm.aspx?ID=2</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Medium</v>
      </c>
      <c r="AD15" t="b">
        <f>Opportunities[[#This Row],[WinProbDisplay]]="↖ High"</f>
        <v>0</v>
      </c>
    </row>
    <row r="16" spans="1:30" x14ac:dyDescent="0.25">
      <c r="A16">
        <v>15</v>
      </c>
      <c r="B16" t="s">
        <v>162</v>
      </c>
      <c r="C16" t="s">
        <v>19</v>
      </c>
      <c r="D16" t="s">
        <v>21</v>
      </c>
      <c r="E16">
        <v>1525787</v>
      </c>
      <c r="F16" t="s">
        <v>83</v>
      </c>
      <c r="G16" s="36">
        <v>46377</v>
      </c>
      <c r="H16" s="36">
        <v>45913</v>
      </c>
      <c r="I16" t="s">
        <v>153</v>
      </c>
      <c r="J16">
        <v>24</v>
      </c>
      <c r="L16" t="s">
        <v>95</v>
      </c>
      <c r="M16" t="s">
        <v>808</v>
      </c>
      <c r="N16">
        <v>53</v>
      </c>
      <c r="O16" s="36">
        <v>46394</v>
      </c>
      <c r="P16" t="str">
        <f>" FY"&amp;RIGHT(IF(MONTH(Opportunities[[#This Row],[Close]])&gt;=7,YEAR(Opportunities[[#This Row],[Close]])+1,YEAR(Opportunities[[#This Row],[Close]])),2)&amp;"-Q"&amp;IF(MONTH(Opportunities[[#This Row],[Close]])&gt;=7,CEILING((MONTH(Opportunities[[#This Row],[Close]])-6)/3,1),CEILING((MONTH(Opportunities[[#This Row],[Close]])+6)/3,1))</f>
        <v xml:space="preserve"> FY27-Q2</v>
      </c>
      <c r="Q16" t="str">
        <f>"CY"&amp;RIGHT(YEAR(Opportunities[[#This Row],[Close]]),2)&amp;"-Q"&amp;ROUNDUP(MONTH(Opportunities[[#This Row],[Close]])/3, 0)</f>
        <v>CY26-Q4</v>
      </c>
      <c r="R16" t="str">
        <f>siteUrl&amp;"/Lists/"&amp;oppList&amp;"/DispForm.aspx?ID="&amp;Opportunities[[#This Row],[ID]]</f>
        <v>https://cleansheet5.sharepoint.com/sites/SalesFunnel//Lists/auto12Opportunities/DispForm.aspx?ID=15</v>
      </c>
      <c r="S16">
        <f>_xlfn.XLOOKUP(Opportunities[[#This Row],[Stage]],stage[Stage Name],stage[Index],"")</f>
        <v>5</v>
      </c>
      <c r="T16" t="str">
        <f>_xlfn.XLOOKUP(Opportunities[[#This Row],[StageNumber]],stage[Index],stage[Display])</f>
        <v>➄ - Project Execution</v>
      </c>
      <c r="U16">
        <f>Opportunities[[#This Row],[Amount]]*_xlfn.XLOOKUP(Opportunities[[#This Row],[Probability]],prob[Win Probability],prob[Value])</f>
        <v>1373208.3</v>
      </c>
      <c r="V16" t="str" cm="1">
        <f t="array" ref="V16">_xlfn.SWITCH(Opportunities[[#This Row],[Status]],"At Risk","⚠","Active","✓","⮾")</f>
        <v>✓</v>
      </c>
      <c r="W16" t="str">
        <f>_xlfn.XLOOKUP(Opportunities[[#This Row],[CustomerId]],Customers[Id],Customers[Customer Name])</f>
        <v>Security Solutions</v>
      </c>
      <c r="X16" t="str">
        <f>_xlfn.XLOOKUP(Opportunities[[#This Row],[CustomerId]],Customers[Id],Customers[CustomerRecordUrl])</f>
        <v>https://cleansheet5.sharepoint.com/sites/SalesFunnel//Lists/auto12Customers/DispForm.aspx?ID=24</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6" t="str" cm="1">
        <f t="array" ref="AC16">_xlfn.SWITCH(Opportunities[[#This Row],[Probability]],"High","↖","Medium","←","Low","↙")&amp;" " &amp;Opportunities[[#This Row],[Probability]]</f>
        <v>↖ High</v>
      </c>
      <c r="AD16" t="b">
        <f>Opportunities[[#This Row],[WinProbDisplay]]="↖ High"</f>
        <v>1</v>
      </c>
    </row>
    <row r="17" spans="1:30" x14ac:dyDescent="0.25">
      <c r="A17">
        <v>16</v>
      </c>
      <c r="B17" t="s">
        <v>163</v>
      </c>
      <c r="C17" t="s">
        <v>17</v>
      </c>
      <c r="D17" t="s">
        <v>22</v>
      </c>
      <c r="E17">
        <v>945284</v>
      </c>
      <c r="F17" t="s">
        <v>82</v>
      </c>
      <c r="G17" s="36">
        <v>46059</v>
      </c>
      <c r="H17" s="36">
        <v>45933</v>
      </c>
      <c r="I17" t="s">
        <v>102</v>
      </c>
      <c r="J17">
        <v>22</v>
      </c>
      <c r="L17" t="s">
        <v>92</v>
      </c>
      <c r="M17" t="s">
        <v>807</v>
      </c>
      <c r="N17">
        <v>32</v>
      </c>
      <c r="O17" s="36">
        <v>46123</v>
      </c>
      <c r="P17" t="str">
        <f>" FY"&amp;RIGHT(IF(MONTH(Opportunities[[#This Row],[Close]])&gt;=7,YEAR(Opportunities[[#This Row],[Close]])+1,YEAR(Opportunities[[#This Row],[Close]])),2)&amp;"-Q"&amp;IF(MONTH(Opportunities[[#This Row],[Close]])&gt;=7,CEILING((MONTH(Opportunities[[#This Row],[Close]])-6)/3,1),CEILING((MONTH(Opportunities[[#This Row],[Close]])+6)/3,1))</f>
        <v xml:space="preserve"> FY26-Q3</v>
      </c>
      <c r="Q17" t="str">
        <f>"CY"&amp;RIGHT(YEAR(Opportunities[[#This Row],[Close]]),2)&amp;"-Q"&amp;ROUNDUP(MONTH(Opportunities[[#This Row],[Close]])/3, 0)</f>
        <v>CY26-Q1</v>
      </c>
      <c r="R17" t="str">
        <f>siteUrl&amp;"/Lists/"&amp;oppList&amp;"/DispForm.aspx?ID="&amp;Opportunities[[#This Row],[ID]]</f>
        <v>https://cleansheet5.sharepoint.com/sites/SalesFunnel//Lists/auto12Opportunities/DispForm.aspx?ID=16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378113.60000000003</v>
      </c>
      <c r="V17" t="str" cm="1">
        <f t="array" ref="V17">_xlfn.SWITCH(Opportunities[[#This Row],[Status]],"At Risk","⚠","Active","✓","⮾")</f>
        <v>⚠</v>
      </c>
      <c r="W17" t="str">
        <f>_xlfn.XLOOKUP(Opportunities[[#This Row],[CustomerId]],Customers[Id],Customers[Customer Name])</f>
        <v>Environmental Services</v>
      </c>
      <c r="X17" t="str">
        <f>_xlfn.XLOOKUP(Opportunities[[#This Row],[CustomerId]],Customers[Id],Customers[CustomerRecordUrl])</f>
        <v>https://cleansheet5.sharepoint.com/sites/SalesFunnel//Lists/auto12Customers/DispForm.aspx?ID=22</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7" t="str" cm="1">
        <f t="array" ref="AC17">_xlfn.SWITCH(Opportunities[[#This Row],[Probability]],"High","↖","Medium","←","Low","↙")&amp;" " &amp;Opportunities[[#This Row],[Probability]]</f>
        <v>← Medium</v>
      </c>
      <c r="AD17" t="b">
        <f>Opportunities[[#This Row],[WinProbDisplay]]="↖ High"</f>
        <v>0</v>
      </c>
    </row>
    <row r="18" spans="1:30" x14ac:dyDescent="0.25">
      <c r="A18">
        <v>17</v>
      </c>
      <c r="B18" t="s">
        <v>164</v>
      </c>
      <c r="C18" t="s">
        <v>19</v>
      </c>
      <c r="D18" t="s">
        <v>18</v>
      </c>
      <c r="E18">
        <v>1668102</v>
      </c>
      <c r="F18" t="s">
        <v>84</v>
      </c>
      <c r="G18" s="36">
        <v>46287</v>
      </c>
      <c r="H18" s="36">
        <v>45925</v>
      </c>
      <c r="I18" t="s">
        <v>93</v>
      </c>
      <c r="J18">
        <v>19</v>
      </c>
      <c r="L18" t="s">
        <v>145</v>
      </c>
      <c r="M18" t="s">
        <v>805</v>
      </c>
      <c r="N18">
        <v>19</v>
      </c>
      <c r="O18" s="36">
        <v>46329</v>
      </c>
      <c r="P18" t="str">
        <f>" FY"&amp;RIGHT(IF(MONTH(Opportunities[[#This Row],[Close]])&gt;=7,YEAR(Opportunities[[#This Row],[Close]])+1,YEAR(Opportunities[[#This Row],[Close]])),2)&amp;"-Q"&amp;IF(MONTH(Opportunities[[#This Row],[Close]])&gt;=7,CEILING((MONTH(Opportunities[[#This Row],[Close]])-6)/3,1),CEILING((MONTH(Opportunities[[#This Row],[Close]])+6)/3,1))</f>
        <v xml:space="preserve"> FY27-Q1</v>
      </c>
      <c r="Q18" t="str">
        <f>"CY"&amp;RIGHT(YEAR(Opportunities[[#This Row],[Close]]),2)&amp;"-Q"&amp;ROUNDUP(MONTH(Opportunities[[#This Row],[Close]])/3, 0)</f>
        <v>CY26-Q3</v>
      </c>
      <c r="R18" t="str">
        <f>siteUrl&amp;"/Lists/"&amp;oppList&amp;"/DispForm.aspx?ID="&amp;Opportunities[[#This Row],[ID]]</f>
        <v>https://cleansheet5.sharepoint.com/sites/SalesFunnel//Lists/auto12Opportunities/DispForm.aspx?ID=17</v>
      </c>
      <c r="S18">
        <f>_xlfn.XLOOKUP(Opportunities[[#This Row],[Stage]],stage[Stage Name],stage[Index],"")</f>
        <v>4</v>
      </c>
      <c r="T18" t="str">
        <f>_xlfn.XLOOKUP(Opportunities[[#This Row],[StageNumber]],stage[Index],stage[Display])</f>
        <v>➃ - Negotiation</v>
      </c>
      <c r="U18">
        <f>Opportunities[[#This Row],[Amount]]*_xlfn.XLOOKUP(Opportunities[[#This Row],[Probability]],prob[Win Probability],prob[Value])</f>
        <v>333620.40000000002</v>
      </c>
      <c r="V18" t="str" cm="1">
        <f t="array" ref="V18">_xlfn.SWITCH(Opportunities[[#This Row],[Status]],"At Risk","⚠","Active","✓","⮾")</f>
        <v>✓</v>
      </c>
      <c r="W18" t="str">
        <f>_xlfn.XLOOKUP(Opportunities[[#This Row],[CustomerId]],Customers[Id],Customers[Customer Name])</f>
        <v>Hotel Management Group</v>
      </c>
      <c r="X18" t="str">
        <f>_xlfn.XLOOKUP(Opportunities[[#This Row],[CustomerId]],Customers[Id],Customers[CustomerRecordUrl])</f>
        <v>https://cleansheet5.sharepoint.com/sites/SalesFunnel//Lists/auto12Customers/DispForm.aspx?ID=19</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19</v>
      </c>
      <c r="D19" t="s">
        <v>20</v>
      </c>
      <c r="E19">
        <v>2218128</v>
      </c>
      <c r="F19" t="s">
        <v>82</v>
      </c>
      <c r="G19" s="36">
        <v>46153</v>
      </c>
      <c r="H19" s="36">
        <v>45926</v>
      </c>
      <c r="I19" t="s">
        <v>105</v>
      </c>
      <c r="J19">
        <v>9</v>
      </c>
      <c r="L19" t="s">
        <v>104</v>
      </c>
      <c r="M19" t="s">
        <v>806</v>
      </c>
      <c r="N19">
        <v>12</v>
      </c>
      <c r="O19" s="36">
        <v>46231</v>
      </c>
      <c r="P19" t="str">
        <f>" FY"&amp;RIGHT(IF(MONTH(Opportunities[[#This Row],[Close]])&gt;=7,YEAR(Opportunities[[#This Row],[Close]])+1,YEAR(Opportunities[[#This Row],[Close]])),2)&amp;"-Q"&amp;IF(MONTH(Opportunities[[#This Row],[Close]])&gt;=7,CEILING((MONTH(Opportunities[[#This Row],[Close]])-6)/3,1),CEILING((MONTH(Opportunities[[#This Row],[Close]])+6)/3,1))</f>
        <v xml:space="preserve"> FY26-Q4</v>
      </c>
      <c r="Q19" t="str">
        <f>"CY"&amp;RIGHT(YEAR(Opportunities[[#This Row],[Close]]),2)&amp;"-Q"&amp;ROUNDUP(MONTH(Opportunities[[#This Row],[Close]])/3, 0)</f>
        <v>CY26-Q2</v>
      </c>
      <c r="R19" t="str">
        <f>siteUrl&amp;"/Lists/"&amp;oppList&amp;"/DispForm.aspx?ID="&amp;Opportunities[[#This Row],[ID]]</f>
        <v>https://cleansheet5.sharepoint.com/sites/SalesFunnel//Lists/auto12Opportunities/DispForm.aspx?ID=18</v>
      </c>
      <c r="S19">
        <f>_xlfn.XLOOKUP(Opportunities[[#This Row],[Stage]],stage[Stage Name],stage[Index],"")</f>
        <v>1</v>
      </c>
      <c r="T19" t="str">
        <f>_xlfn.XLOOKUP(Opportunities[[#This Row],[StageNumber]],stage[Index],stage[Display])</f>
        <v>➀ - Lead Qualification</v>
      </c>
      <c r="U19">
        <f>Opportunities[[#This Row],[Amount]]*_xlfn.XLOOKUP(Opportunities[[#This Row],[Probability]],prob[Win Probability],prob[Value])</f>
        <v>887251.20000000007</v>
      </c>
      <c r="V19" t="str" cm="1">
        <f t="array" ref="V19">_xlfn.SWITCH(Opportunities[[#This Row],[Status]],"At Risk","⚠","Active","✓","⮾")</f>
        <v>✓</v>
      </c>
      <c r="W19" t="str">
        <f>_xlfn.XLOOKUP(Opportunities[[#This Row],[CustomerId]],Customers[Id],Customers[Customer Name])</f>
        <v>Construction Dynamics</v>
      </c>
      <c r="X19" t="str">
        <f>_xlfn.XLOOKUP(Opportunities[[#This Row],[CustomerId]],Customers[Id],Customers[CustomerRecordUrl])</f>
        <v>https://cleansheet5.sharepoint.com/sites/SalesFunnel//Lists/auto12Customers/DispForm.aspx?ID=9</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18</v>
      </c>
      <c r="E20">
        <v>890632</v>
      </c>
      <c r="F20" t="s">
        <v>84</v>
      </c>
      <c r="G20" s="36">
        <v>45943</v>
      </c>
      <c r="H20" s="36">
        <v>45886</v>
      </c>
      <c r="I20" t="s">
        <v>159</v>
      </c>
      <c r="J20">
        <v>23</v>
      </c>
      <c r="L20" t="s">
        <v>150</v>
      </c>
      <c r="M20" t="s">
        <v>805</v>
      </c>
      <c r="N20">
        <v>5</v>
      </c>
      <c r="O20" s="36">
        <v>46023</v>
      </c>
      <c r="P20" t="str">
        <f>" FY"&amp;RIGHT(IF(MONTH(Opportunities[[#This Row],[Close]])&gt;=7,YEAR(Opportunities[[#This Row],[Close]])+1,YEAR(Opportunities[[#This Row],[Close]])),2)&amp;"-Q"&amp;IF(MONTH(Opportunities[[#This Row],[Close]])&gt;=7,CEILING((MONTH(Opportunities[[#This Row],[Close]])-6)/3,1),CEILING((MONTH(Opportunities[[#This Row],[Close]])+6)/3,1))</f>
        <v xml:space="preserve"> FY26-Q2</v>
      </c>
      <c r="Q20" t="str">
        <f>"CY"&amp;RIGHT(YEAR(Opportunities[[#This Row],[Close]]),2)&amp;"-Q"&amp;ROUNDUP(MONTH(Opportunities[[#This Row],[Close]])/3, 0)</f>
        <v>CY25-Q4</v>
      </c>
      <c r="R20" t="str">
        <f>siteUrl&amp;"/Lists/"&amp;oppList&amp;"/DispForm.aspx?ID="&amp;Opportunities[[#This Row],[ID]]</f>
        <v>https://cleansheet5.sharepoint.com/sites/SalesFunnel//Lists/auto12Opportunities/DispForm.aspx?ID=19</v>
      </c>
      <c r="S20">
        <f>_xlfn.XLOOKUP(Opportunities[[#This Row],[Stage]],stage[Stage Name],stage[Index],"")</f>
        <v>4</v>
      </c>
      <c r="T20" t="str">
        <f>_xlfn.XLOOKUP(Opportunities[[#This Row],[StageNumber]],stage[Index],stage[Display])</f>
        <v>➃ - Negotiation</v>
      </c>
      <c r="U20">
        <f>Opportunities[[#This Row],[Amount]]*_xlfn.XLOOKUP(Opportunities[[#This Row],[Probability]],prob[Win Probability],prob[Value])</f>
        <v>178126.40000000002</v>
      </c>
      <c r="V20" t="str" cm="1">
        <f t="array" ref="V20">_xlfn.SWITCH(Opportunities[[#This Row],[Status]],"At Risk","⚠","Active","✓","⮾")</f>
        <v>✓</v>
      </c>
      <c r="W20" t="str">
        <f>_xlfn.XLOOKUP(Opportunities[[#This Row],[CustomerId]],Customers[Id],Customers[Customer Name])</f>
        <v>Sports &amp; Recreation</v>
      </c>
      <c r="X20" t="str">
        <f>_xlfn.XLOOKUP(Opportunities[[#This Row],[CustomerId]],Customers[Id],Customers[CustomerRecordUrl])</f>
        <v>https://cleansheet5.sharepoint.com/sites/SalesFunnel//Lists/auto12Customers/DispForm.aspx?ID=23</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0" t="str" cm="1">
        <f t="array" ref="AC20">_xlfn.SWITCH(Opportunities[[#This Row],[Probability]],"High","↖","Medium","←","Low","↙")&amp;" " &amp;Opportunities[[#This Row],[Probability]]</f>
        <v>↙ Low</v>
      </c>
      <c r="AD20" t="b">
        <f>Opportunities[[#This Row],[WinProbDisplay]]="↖ High"</f>
        <v>0</v>
      </c>
    </row>
    <row r="21" spans="1:30" x14ac:dyDescent="0.25">
      <c r="A21">
        <v>20</v>
      </c>
      <c r="B21" t="s">
        <v>168</v>
      </c>
      <c r="C21" t="s">
        <v>25</v>
      </c>
      <c r="D21" t="s">
        <v>22</v>
      </c>
      <c r="E21">
        <v>1161426</v>
      </c>
      <c r="F21" t="s">
        <v>82</v>
      </c>
      <c r="G21" s="36">
        <v>46016</v>
      </c>
      <c r="H21" s="36">
        <v>45890</v>
      </c>
      <c r="I21" t="s">
        <v>159</v>
      </c>
      <c r="J21">
        <v>28</v>
      </c>
      <c r="L21" t="s">
        <v>393</v>
      </c>
      <c r="M21" t="s">
        <v>803</v>
      </c>
      <c r="N21">
        <v>5</v>
      </c>
      <c r="O21" s="36">
        <v>46106</v>
      </c>
      <c r="P21" t="str">
        <f>" FY"&amp;RIGHT(IF(MONTH(Opportunities[[#This Row],[Close]])&gt;=7,YEAR(Opportunities[[#This Row],[Close]])+1,YEAR(Opportunities[[#This Row],[Close]])),2)&amp;"-Q"&amp;IF(MONTH(Opportunities[[#This Row],[Close]])&gt;=7,CEILING((MONTH(Opportunities[[#This Row],[Close]])-6)/3,1),CEILING((MONTH(Opportunities[[#This Row],[Close]])+6)/3,1))</f>
        <v xml:space="preserve"> FY26-Q2</v>
      </c>
      <c r="Q21" t="str">
        <f>"CY"&amp;RIGHT(YEAR(Opportunities[[#This Row],[Close]]),2)&amp;"-Q"&amp;ROUNDUP(MONTH(Opportunities[[#This Row],[Close]])/3, 0)</f>
        <v>CY25-Q4</v>
      </c>
      <c r="R21" t="str">
        <f>siteUrl&amp;"/Lists/"&amp;oppList&amp;"/DispForm.aspx?ID="&amp;Opportunities[[#This Row],[ID]]</f>
        <v>https://cleansheet5.sharepoint.com/sites/SalesFunnel//Lists/auto12Opportunities/DispForm.aspx?ID=20</v>
      </c>
      <c r="S21">
        <f>_xlfn.XLOOKUP(Opportunities[[#This Row],[Stage]],stage[Stage Name],stage[Index],"")</f>
        <v>3</v>
      </c>
      <c r="T21" t="str">
        <f>_xlfn.XLOOKUP(Opportunities[[#This Row],[StageNumber]],stage[Index],stage[Display])</f>
        <v>➂ - Proposal</v>
      </c>
      <c r="U21">
        <f>Opportunities[[#This Row],[Amount]]*_xlfn.XLOOKUP(Opportunities[[#This Row],[Probability]],prob[Win Probability],prob[Value])</f>
        <v>464570.4</v>
      </c>
      <c r="V21" t="str" cm="1">
        <f t="array" ref="V21">_xlfn.SWITCH(Opportunities[[#This Row],[Status]],"At Risk","⚠","Active","✓","⮾")</f>
        <v>⮾</v>
      </c>
      <c r="W21" t="str">
        <f>_xlfn.XLOOKUP(Opportunities[[#This Row],[CustomerId]],Customers[Id],Customers[Customer Name])</f>
        <v>Telecommunications Inc</v>
      </c>
      <c r="X21" t="str">
        <f>_xlfn.XLOOKUP(Opportunities[[#This Row],[CustomerId]],Customers[Id],Customers[CustomerRecordUrl])</f>
        <v>https://cleansheet5.sharepoint.com/sites/SalesFunnel//Lists/auto12Customers/DispForm.aspx?ID=28</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24</v>
      </c>
      <c r="E22">
        <v>1002288</v>
      </c>
      <c r="F22" t="s">
        <v>84</v>
      </c>
      <c r="G22" s="36">
        <v>46013</v>
      </c>
      <c r="H22" s="36">
        <v>45939</v>
      </c>
      <c r="I22" t="s">
        <v>151</v>
      </c>
      <c r="J22">
        <v>1</v>
      </c>
      <c r="L22" t="s">
        <v>145</v>
      </c>
      <c r="M22" t="s">
        <v>806</v>
      </c>
      <c r="N22">
        <v>35</v>
      </c>
      <c r="O22" s="36">
        <v>46095</v>
      </c>
      <c r="P22" t="str">
        <f>" FY"&amp;RIGHT(IF(MONTH(Opportunities[[#This Row],[Close]])&gt;=7,YEAR(Opportunities[[#This Row],[Close]])+1,YEAR(Opportunities[[#This Row],[Close]])),2)&amp;"-Q"&amp;IF(MONTH(Opportunities[[#This Row],[Close]])&gt;=7,CEILING((MONTH(Opportunities[[#This Row],[Close]])-6)/3,1),CEILING((MONTH(Opportunities[[#This Row],[Close]])+6)/3,1))</f>
        <v xml:space="preserve"> FY26-Q2</v>
      </c>
      <c r="Q22" t="str">
        <f>"CY"&amp;RIGHT(YEAR(Opportunities[[#This Row],[Close]]),2)&amp;"-Q"&amp;ROUNDUP(MONTH(Opportunities[[#This Row],[Close]])/3, 0)</f>
        <v>CY25-Q4</v>
      </c>
      <c r="R22" t="str">
        <f>siteUrl&amp;"/Lists/"&amp;oppList&amp;"/DispForm.aspx?ID="&amp;Opportunities[[#This Row],[ID]]</f>
        <v>https://cleansheet5.sharepoint.com/sites/SalesFunnel//Lists/auto12Opportunities/DispForm.aspx?ID=21</v>
      </c>
      <c r="S22">
        <f>_xlfn.XLOOKUP(Opportunities[[#This Row],[Stage]],stage[Stage Name],stage[Index],"")</f>
        <v>6</v>
      </c>
      <c r="T22" t="str">
        <f>_xlfn.XLOOKUP(Opportunities[[#This Row],[StageNumber]],stage[Index],stage[Display])</f>
        <v>➅ - Closeout</v>
      </c>
      <c r="U22">
        <f>Opportunities[[#This Row],[Amount]]*_xlfn.XLOOKUP(Opportunities[[#This Row],[Probability]],prob[Win Probability],prob[Value])</f>
        <v>200457.60000000001</v>
      </c>
      <c r="V22" t="str" cm="1">
        <f t="array" ref="V22">_xlfn.SWITCH(Opportunities[[#This Row],[Status]],"At Risk","⚠","Active","✓","⮾")</f>
        <v>✓</v>
      </c>
      <c r="W22" t="str">
        <f>_xlfn.XLOOKUP(Opportunities[[#This Row],[CustomerId]],Customers[Id],Customers[Customer Name])</f>
        <v>ACME Corporation</v>
      </c>
      <c r="X22" t="str">
        <f>_xlfn.XLOOKUP(Opportunities[[#This Row],[CustomerId]],Customers[Id],Customers[CustomerRecordUrl])</f>
        <v>https://cleansheet5.sharepoint.com/sites/SalesFunnel//Lists/auto12Customers/DispForm.aspx?ID=1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2" t="str" cm="1">
        <f t="array" ref="AC22">_xlfn.SWITCH(Opportunities[[#This Row],[Probability]],"High","↖","Medium","←","Low","↙")&amp;" " &amp;Opportunities[[#This Row],[Probability]]</f>
        <v>↙ Low</v>
      </c>
      <c r="AD22" t="b">
        <f>Opportunities[[#This Row],[WinProbDisplay]]="↖ High"</f>
        <v>0</v>
      </c>
    </row>
    <row r="23" spans="1:30" x14ac:dyDescent="0.25">
      <c r="A23">
        <v>22</v>
      </c>
      <c r="B23" t="s">
        <v>170</v>
      </c>
      <c r="C23" t="s">
        <v>19</v>
      </c>
      <c r="D23" t="s">
        <v>22</v>
      </c>
      <c r="E23">
        <v>1524787</v>
      </c>
      <c r="F23" t="s">
        <v>83</v>
      </c>
      <c r="G23" s="36">
        <v>46167</v>
      </c>
      <c r="H23" s="36">
        <v>45928</v>
      </c>
      <c r="I23" t="s">
        <v>102</v>
      </c>
      <c r="J23">
        <v>11</v>
      </c>
      <c r="L23" t="s">
        <v>95</v>
      </c>
      <c r="M23" t="s">
        <v>804</v>
      </c>
      <c r="N23">
        <v>5</v>
      </c>
      <c r="O23" s="36">
        <v>46245</v>
      </c>
      <c r="P23" t="str">
        <f>" FY"&amp;RIGHT(IF(MONTH(Opportunities[[#This Row],[Close]])&gt;=7,YEAR(Opportunities[[#This Row],[Close]])+1,YEAR(Opportunities[[#This Row],[Close]])),2)&amp;"-Q"&amp;IF(MONTH(Opportunities[[#This Row],[Close]])&gt;=7,CEILING((MONTH(Opportunities[[#This Row],[Close]])-6)/3,1),CEILING((MONTH(Opportunities[[#This Row],[Close]])+6)/3,1))</f>
        <v xml:space="preserve"> FY26-Q4</v>
      </c>
      <c r="Q23" t="str">
        <f>"CY"&amp;RIGHT(YEAR(Opportunities[[#This Row],[Close]]),2)&amp;"-Q"&amp;ROUNDUP(MONTH(Opportunities[[#This Row],[Close]])/3, 0)</f>
        <v>CY26-Q2</v>
      </c>
      <c r="R23" t="str">
        <f>siteUrl&amp;"/Lists/"&amp;oppList&amp;"/DispForm.aspx?ID="&amp;Opportunities[[#This Row],[ID]]</f>
        <v>https://cleansheet5.sharepoint.com/sites/SalesFunnel//Lists/auto12Opportunities/DispForm.aspx?ID=22</v>
      </c>
      <c r="S23">
        <f>_xlfn.XLOOKUP(Opportunities[[#This Row],[Stage]],stage[Stage Name],stage[Index],"")</f>
        <v>3</v>
      </c>
      <c r="T23" t="str">
        <f>_xlfn.XLOOKUP(Opportunities[[#This Row],[StageNumber]],stage[Index],stage[Display])</f>
        <v>➂ - Proposal</v>
      </c>
      <c r="U23">
        <f>Opportunities[[#This Row],[Amount]]*_xlfn.XLOOKUP(Opportunities[[#This Row],[Probability]],prob[Win Probability],prob[Value])</f>
        <v>1372308.3</v>
      </c>
      <c r="V23" t="str" cm="1">
        <f t="array" ref="V23">_xlfn.SWITCH(Opportunities[[#This Row],[Status]],"At Risk","⚠","Active","✓","⮾")</f>
        <v>✓</v>
      </c>
      <c r="W23" t="str">
        <f>_xlfn.XLOOKUP(Opportunities[[#This Row],[CustomerId]],Customers[Id],Customers[Customer Name])</f>
        <v>Transport Logistics</v>
      </c>
      <c r="X23" t="str">
        <f>_xlfn.XLOOKUP(Opportunities[[#This Row],[CustomerId]],Customers[Id],Customers[CustomerRecordUrl])</f>
        <v>https://cleansheet5.sharepoint.com/sites/SalesFunnel//Lists/auto12Customers/DispForm.aspx?ID=11</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3" t="str" cm="1">
        <f t="array" ref="AC23">_xlfn.SWITCH(Opportunities[[#This Row],[Probability]],"High","↖","Medium","←","Low","↙")&amp;" " &amp;Opportunities[[#This Row],[Probability]]</f>
        <v>↖ High</v>
      </c>
      <c r="AD23" t="b">
        <f>Opportunities[[#This Row],[WinProbDisplay]]="↖ High"</f>
        <v>1</v>
      </c>
    </row>
    <row r="24" spans="1:30" x14ac:dyDescent="0.25">
      <c r="A24">
        <v>23</v>
      </c>
      <c r="B24" t="s">
        <v>171</v>
      </c>
      <c r="C24" t="s">
        <v>19</v>
      </c>
      <c r="D24" t="s">
        <v>18</v>
      </c>
      <c r="E24">
        <v>1136222</v>
      </c>
      <c r="F24" t="s">
        <v>84</v>
      </c>
      <c r="G24" s="36">
        <v>45909</v>
      </c>
      <c r="H24" s="36">
        <v>45923</v>
      </c>
      <c r="I24" t="s">
        <v>99</v>
      </c>
      <c r="J24">
        <v>11</v>
      </c>
      <c r="L24" t="s">
        <v>166</v>
      </c>
      <c r="M24" t="s">
        <v>806</v>
      </c>
      <c r="N24">
        <v>51</v>
      </c>
      <c r="O24" s="36">
        <v>45981</v>
      </c>
      <c r="P24" t="str">
        <f>" FY"&amp;RIGHT(IF(MONTH(Opportunities[[#This Row],[Close]])&gt;=7,YEAR(Opportunities[[#This Row],[Close]])+1,YEAR(Opportunities[[#This Row],[Close]])),2)&amp;"-Q"&amp;IF(MONTH(Opportunities[[#This Row],[Close]])&gt;=7,CEILING((MONTH(Opportunities[[#This Row],[Close]])-6)/3,1),CEILING((MONTH(Opportunities[[#This Row],[Close]])+6)/3,1))</f>
        <v xml:space="preserve"> FY26-Q1</v>
      </c>
      <c r="Q24" t="str">
        <f>"CY"&amp;RIGHT(YEAR(Opportunities[[#This Row],[Close]]),2)&amp;"-Q"&amp;ROUNDUP(MONTH(Opportunities[[#This Row],[Close]])/3, 0)</f>
        <v>CY25-Q3</v>
      </c>
      <c r="R24" t="str">
        <f>siteUrl&amp;"/Lists/"&amp;oppList&amp;"/DispForm.aspx?ID="&amp;Opportunities[[#This Row],[ID]]</f>
        <v>https://cleansheet5.sharepoint.com/sites/SalesFunnel//Lists/auto12Opportunities/DispForm.aspx?ID=23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227244.40000000002</v>
      </c>
      <c r="V24" t="str" cm="1">
        <f t="array" ref="V24">_xlfn.SWITCH(Opportunities[[#This Row],[Status]],"At Risk","⚠","Active","✓","⮾")</f>
        <v>✓</v>
      </c>
      <c r="W24" t="str">
        <f>_xlfn.XLOOKUP(Opportunities[[#This Row],[CustomerId]],Customers[Id],Customers[Customer Name])</f>
        <v>Transport Logistics</v>
      </c>
      <c r="X24" t="str">
        <f>_xlfn.XLOOKUP(Opportunities[[#This Row],[CustomerId]],Customers[Id],Customers[CustomerRecordUrl])</f>
        <v>https://cleansheet5.sharepoint.com/sites/SalesFunnel//Lists/auto12Customers/DispForm.aspx?ID=11</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4" t="str" cm="1">
        <f t="array" ref="AC24">_xlfn.SWITCH(Opportunities[[#This Row],[Probability]],"High","↖","Medium","←","Low","↙")&amp;" " &amp;Opportunities[[#This Row],[Probability]]</f>
        <v>↙ Low</v>
      </c>
      <c r="AD24" t="b">
        <f>Opportunities[[#This Row],[WinProbDisplay]]="↖ High"</f>
        <v>0</v>
      </c>
    </row>
    <row r="25" spans="1:30" x14ac:dyDescent="0.25">
      <c r="A25">
        <v>24</v>
      </c>
      <c r="B25" t="s">
        <v>172</v>
      </c>
      <c r="C25" t="s">
        <v>19</v>
      </c>
      <c r="D25" t="s">
        <v>23</v>
      </c>
      <c r="E25">
        <v>994882</v>
      </c>
      <c r="F25" t="s">
        <v>84</v>
      </c>
      <c r="G25" s="36">
        <v>46031</v>
      </c>
      <c r="H25" s="36">
        <v>45907</v>
      </c>
      <c r="I25" t="s">
        <v>96</v>
      </c>
      <c r="J25">
        <v>27</v>
      </c>
      <c r="L25" t="s">
        <v>104</v>
      </c>
      <c r="M25" t="s">
        <v>803</v>
      </c>
      <c r="N25">
        <v>8</v>
      </c>
      <c r="O25" s="36">
        <v>46087</v>
      </c>
      <c r="P25" t="str">
        <f>" FY"&amp;RIGHT(IF(MONTH(Opportunities[[#This Row],[Close]])&gt;=7,YEAR(Opportunities[[#This Row],[Close]])+1,YEAR(Opportunities[[#This Row],[Close]])),2)&amp;"-Q"&amp;IF(MONTH(Opportunities[[#This Row],[Close]])&gt;=7,CEILING((MONTH(Opportunities[[#This Row],[Close]])-6)/3,1),CEILING((MONTH(Opportunities[[#This Row],[Close]])+6)/3,1))</f>
        <v xml:space="preserve"> FY26-Q3</v>
      </c>
      <c r="Q25" t="str">
        <f>"CY"&amp;RIGHT(YEAR(Opportunities[[#This Row],[Close]]),2)&amp;"-Q"&amp;ROUNDUP(MONTH(Opportunities[[#This Row],[Close]])/3, 0)</f>
        <v>CY26-Q1</v>
      </c>
      <c r="R25" t="str">
        <f>siteUrl&amp;"/Lists/"&amp;oppList&amp;"/DispForm.aspx?ID="&amp;Opportunities[[#This Row],[ID]]</f>
        <v>https://cleansheet5.sharepoint.com/sites/SalesFunnel//Lists/auto12Opportunities/DispForm.aspx?ID=24</v>
      </c>
      <c r="S25">
        <f>_xlfn.XLOOKUP(Opportunities[[#This Row],[Stage]],stage[Stage Name],stage[Index],"")</f>
        <v>2</v>
      </c>
      <c r="T25" t="str">
        <f>_xlfn.XLOOKUP(Opportunities[[#This Row],[StageNumber]],stage[Index],stage[Display])</f>
        <v>➁ - Nurturing</v>
      </c>
      <c r="U25">
        <f>Opportunities[[#This Row],[Amount]]*_xlfn.XLOOKUP(Opportunities[[#This Row],[Probability]],prob[Win Probability],prob[Value])</f>
        <v>198976.40000000002</v>
      </c>
      <c r="V25" t="str" cm="1">
        <f t="array" ref="V25">_xlfn.SWITCH(Opportunities[[#This Row],[Status]],"At Risk","⚠","Active","✓","⮾")</f>
        <v>✓</v>
      </c>
      <c r="W25" t="str">
        <f>_xlfn.XLOOKUP(Opportunities[[#This Row],[CustomerId]],Customers[Id],Customers[Customer Name])</f>
        <v>Mining Operations</v>
      </c>
      <c r="X25" t="str">
        <f>_xlfn.XLOOKUP(Opportunities[[#This Row],[CustomerId]],Customers[Id],Customers[CustomerRecordUrl])</f>
        <v>https://cleansheet5.sharepoint.com/sites/SalesFunnel//Lists/auto12Customers/DispForm.aspx?ID=27</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1052288</v>
      </c>
      <c r="F26" t="s">
        <v>82</v>
      </c>
      <c r="G26" s="36">
        <v>46380</v>
      </c>
      <c r="H26" s="36">
        <v>45919</v>
      </c>
      <c r="I26" t="s">
        <v>153</v>
      </c>
      <c r="J26">
        <v>14</v>
      </c>
      <c r="L26" t="s">
        <v>393</v>
      </c>
      <c r="M26" t="s">
        <v>807</v>
      </c>
      <c r="N26">
        <v>11</v>
      </c>
      <c r="O26" s="36">
        <v>46427</v>
      </c>
      <c r="P26" t="str">
        <f>" FY"&amp;RIGHT(IF(MONTH(Opportunities[[#This Row],[Close]])&gt;=7,YEAR(Opportunities[[#This Row],[Close]])+1,YEAR(Opportunities[[#This Row],[Close]])),2)&amp;"-Q"&amp;IF(MONTH(Opportunities[[#This Row],[Close]])&gt;=7,CEILING((MONTH(Opportunities[[#This Row],[Close]])-6)/3,1),CEILING((MONTH(Opportunities[[#This Row],[Close]])+6)/3,1))</f>
        <v xml:space="preserve"> FY27-Q2</v>
      </c>
      <c r="Q26" t="str">
        <f>"CY"&amp;RIGHT(YEAR(Opportunities[[#This Row],[Close]]),2)&amp;"-Q"&amp;ROUNDUP(MONTH(Opportunities[[#This Row],[Close]])/3, 0)</f>
        <v>CY26-Q4</v>
      </c>
      <c r="R26" t="str">
        <f>siteUrl&amp;"/Lists/"&amp;oppList&amp;"/DispForm.aspx?ID="&amp;Opportunities[[#This Row],[ID]]</f>
        <v>https://cleansheet5.sharepoint.com/sites/SalesFunnel//Lists/auto12Opportunities/DispForm.aspx?ID=25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420915.20000000001</v>
      </c>
      <c r="V26" t="str" cm="1">
        <f t="array" ref="V26">_xlfn.SWITCH(Opportunities[[#This Row],[Status]],"At Risk","⚠","Active","✓","⮾")</f>
        <v>✓</v>
      </c>
      <c r="W26" t="str">
        <f>_xlfn.XLOOKUP(Opportunities[[#This Row],[CustomerId]],Customers[Id],Customers[Customer Name])</f>
        <v>Media Communications</v>
      </c>
      <c r="X26" t="str">
        <f>_xlfn.XLOOKUP(Opportunities[[#This Row],[CustomerId]],Customers[Id],Customers[CustomerRecordUrl])</f>
        <v>https://cleansheet5.sharepoint.com/sites/SalesFunnel//Lists/auto12Customers/DispForm.aspx?ID=14</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20</v>
      </c>
      <c r="E27">
        <v>816454</v>
      </c>
      <c r="F27" t="s">
        <v>82</v>
      </c>
      <c r="G27" s="36">
        <v>45895</v>
      </c>
      <c r="H27" s="36">
        <v>45933</v>
      </c>
      <c r="I27" t="s">
        <v>105</v>
      </c>
      <c r="J27">
        <v>1</v>
      </c>
      <c r="L27" t="s">
        <v>98</v>
      </c>
      <c r="M27" t="s">
        <v>804</v>
      </c>
      <c r="N27">
        <v>2</v>
      </c>
      <c r="O27" s="36">
        <v>45933</v>
      </c>
      <c r="P27" t="str">
        <f>" FY"&amp;RIGHT(IF(MONTH(Opportunities[[#This Row],[Close]])&gt;=7,YEAR(Opportunities[[#This Row],[Close]])+1,YEAR(Opportunities[[#This Row],[Close]])),2)&amp;"-Q"&amp;IF(MONTH(Opportunities[[#This Row],[Close]])&gt;=7,CEILING((MONTH(Opportunities[[#This Row],[Close]])-6)/3,1),CEILING((MONTH(Opportunities[[#This Row],[Close]])+6)/3,1))</f>
        <v xml:space="preserve"> FY26-Q1</v>
      </c>
      <c r="Q27" t="str">
        <f>"CY"&amp;RIGHT(YEAR(Opportunities[[#This Row],[Close]]),2)&amp;"-Q"&amp;ROUNDUP(MONTH(Opportunities[[#This Row],[Close]])/3, 0)</f>
        <v>CY25-Q3</v>
      </c>
      <c r="R27" t="str">
        <f>siteUrl&amp;"/Lists/"&amp;oppList&amp;"/DispForm.aspx?ID="&amp;Opportunities[[#This Row],[ID]]</f>
        <v>https://cleansheet5.sharepoint.com/sites/SalesFunnel//Lists/auto12Opportunities/DispForm.aspx?ID=26</v>
      </c>
      <c r="S27">
        <f>_xlfn.XLOOKUP(Opportunities[[#This Row],[Stage]],stage[Stage Name],stage[Index],"")</f>
        <v>1</v>
      </c>
      <c r="T27" t="str">
        <f>_xlfn.XLOOKUP(Opportunities[[#This Row],[StageNumber]],stage[Index],stage[Display])</f>
        <v>➀ - Lead Qualification</v>
      </c>
      <c r="U27">
        <f>Opportunities[[#This Row],[Amount]]*_xlfn.XLOOKUP(Opportunities[[#This Row],[Probability]],prob[Win Probability],prob[Value])</f>
        <v>326581.60000000003</v>
      </c>
      <c r="V27" t="str" cm="1">
        <f t="array" ref="V27">_xlfn.SWITCH(Opportunities[[#This Row],[Status]],"At Risk","⚠","Active","✓","⮾")</f>
        <v>✓</v>
      </c>
      <c r="W27" t="str">
        <f>_xlfn.XLOOKUP(Opportunities[[#This Row],[CustomerId]],Customers[Id],Customers[Customer Name])</f>
        <v>ACME Corporation</v>
      </c>
      <c r="X27" t="str">
        <f>_xlfn.XLOOKUP(Opportunities[[#This Row],[CustomerId]],Customers[Id],Customers[CustomerRecordUrl])</f>
        <v>https://cleansheet5.sharepoint.com/sites/SalesFunnel//Lists/auto12Customers/DispForm.aspx?ID=1</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7" t="str" cm="1">
        <f t="array" ref="AC27">_xlfn.SWITCH(Opportunities[[#This Row],[Probability]],"High","↖","Medium","←","Low","↙")&amp;" " &amp;Opportunities[[#This Row],[Probability]]</f>
        <v>← Medium</v>
      </c>
      <c r="AD27" t="b">
        <f>Opportunities[[#This Row],[WinProbDisplay]]="↖ High"</f>
        <v>0</v>
      </c>
    </row>
    <row r="28" spans="1:30" x14ac:dyDescent="0.25">
      <c r="A28">
        <v>27</v>
      </c>
      <c r="B28" t="s">
        <v>175</v>
      </c>
      <c r="C28" t="s">
        <v>19</v>
      </c>
      <c r="D28" t="s">
        <v>20</v>
      </c>
      <c r="E28">
        <v>1666344</v>
      </c>
      <c r="F28" t="s">
        <v>82</v>
      </c>
      <c r="G28" s="36">
        <v>46185</v>
      </c>
      <c r="H28" s="36">
        <v>45904</v>
      </c>
      <c r="I28" t="s">
        <v>146</v>
      </c>
      <c r="J28">
        <v>2</v>
      </c>
      <c r="L28" t="s">
        <v>393</v>
      </c>
      <c r="M28" t="s">
        <v>807</v>
      </c>
      <c r="N28">
        <v>19</v>
      </c>
      <c r="O28" s="36">
        <v>46251</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https://cleansheet5.sharepoint.com/sites/SalesFunnel//Lists/auto12Opportunities/DispForm.aspx?ID=27</v>
      </c>
      <c r="S28">
        <f>_xlfn.XLOOKUP(Opportunities[[#This Row],[Stage]],stage[Stage Name],stage[Index],"")</f>
        <v>1</v>
      </c>
      <c r="T28" t="str">
        <f>_xlfn.XLOOKUP(Opportunities[[#This Row],[StageNumber]],stage[Index],stage[Display])</f>
        <v>➀ - Lead Qualification</v>
      </c>
      <c r="U28">
        <f>Opportunities[[#This Row],[Amount]]*_xlfn.XLOOKUP(Opportunities[[#This Row],[Probability]],prob[Win Probability],prob[Value])</f>
        <v>666537.60000000009</v>
      </c>
      <c r="V28" t="str" cm="1">
        <f t="array" ref="V28">_xlfn.SWITCH(Opportunities[[#This Row],[Status]],"At Risk","⚠","Active","✓","⮾")</f>
        <v>✓</v>
      </c>
      <c r="W28" t="str">
        <f>_xlfn.XLOOKUP(Opportunities[[#This Row],[CustomerId]],Customers[Id],Customers[Customer Name])</f>
        <v>Global Industries</v>
      </c>
      <c r="X28" t="str">
        <f>_xlfn.XLOOKUP(Opportunities[[#This Row],[CustomerId]],Customers[Id],Customers[CustomerRecordUrl])</f>
        <v>https://cleansheet5.sharepoint.com/sites/SalesFunnel//Lists/auto12Customers/DispForm.aspx?ID=2</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20</v>
      </c>
      <c r="E29">
        <v>1213430</v>
      </c>
      <c r="F29" t="s">
        <v>82</v>
      </c>
      <c r="G29" s="36">
        <v>46325</v>
      </c>
      <c r="H29" s="36">
        <v>45897</v>
      </c>
      <c r="I29" t="s">
        <v>99</v>
      </c>
      <c r="J29">
        <v>1</v>
      </c>
      <c r="L29" t="s">
        <v>101</v>
      </c>
      <c r="M29" t="s">
        <v>807</v>
      </c>
      <c r="N29">
        <v>47</v>
      </c>
      <c r="O29" s="36">
        <v>46342</v>
      </c>
      <c r="P29" t="str">
        <f>" FY"&amp;RIGHT(IF(MONTH(Opportunities[[#This Row],[Close]])&gt;=7,YEAR(Opportunities[[#This Row],[Close]])+1,YEAR(Opportunities[[#This Row],[Close]])),2)&amp;"-Q"&amp;IF(MONTH(Opportunities[[#This Row],[Close]])&gt;=7,CEILING((MONTH(Opportunities[[#This Row],[Close]])-6)/3,1),CEILING((MONTH(Opportunities[[#This Row],[Close]])+6)/3,1))</f>
        <v xml:space="preserve"> FY27-Q2</v>
      </c>
      <c r="Q29" t="str">
        <f>"CY"&amp;RIGHT(YEAR(Opportunities[[#This Row],[Close]]),2)&amp;"-Q"&amp;ROUNDUP(MONTH(Opportunities[[#This Row],[Close]])/3, 0)</f>
        <v>CY26-Q4</v>
      </c>
      <c r="R29" t="str">
        <f>siteUrl&amp;"/Lists/"&amp;oppList&amp;"/DispForm.aspx?ID="&amp;Opportunities[[#This Row],[ID]]</f>
        <v>https://cleansheet5.sharepoint.com/sites/SalesFunnel//Lists/auto12Opportunities/DispForm.aspx?ID=28</v>
      </c>
      <c r="S29">
        <f>_xlfn.XLOOKUP(Opportunities[[#This Row],[Stage]],stage[Stage Name],stage[Index],"")</f>
        <v>1</v>
      </c>
      <c r="T29" t="str">
        <f>_xlfn.XLOOKUP(Opportunities[[#This Row],[StageNumber]],stage[Index],stage[Display])</f>
        <v>➀ - Lead Qualification</v>
      </c>
      <c r="U29">
        <f>Opportunities[[#This Row],[Amount]]*_xlfn.XLOOKUP(Opportunities[[#This Row],[Probability]],prob[Win Probability],prob[Value])</f>
        <v>485372</v>
      </c>
      <c r="V29" t="str" cm="1">
        <f t="array" ref="V29">_xlfn.SWITCH(Opportunities[[#This Row],[Status]],"At Risk","⚠","Active","✓","⮾")</f>
        <v>✓</v>
      </c>
      <c r="W29" t="str">
        <f>_xlfn.XLOOKUP(Opportunities[[#This Row],[CustomerId]],Customers[Id],Customers[Customer Name])</f>
        <v>ACME Corporation</v>
      </c>
      <c r="X29" t="str">
        <f>_xlfn.XLOOKUP(Opportunities[[#This Row],[CustomerId]],Customers[Id],Customers[CustomerRecordUrl])</f>
        <v>https://cleansheet5.sharepoint.com/sites/SalesFunnel//Lists/auto12Customers/DispForm.aspx?ID=1</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9" t="str" cm="1">
        <f t="array" ref="AC29">_xlfn.SWITCH(Opportunities[[#This Row],[Probability]],"High","↖","Medium","←","Low","↙")&amp;" " &amp;Opportunities[[#This Row],[Probability]]</f>
        <v>← Medium</v>
      </c>
      <c r="AD29" t="b">
        <f>Opportunities[[#This Row],[WinProbDisplay]]="↖ High"</f>
        <v>0</v>
      </c>
    </row>
    <row r="30" spans="1:30" x14ac:dyDescent="0.25">
      <c r="A30">
        <v>29</v>
      </c>
      <c r="B30" t="s">
        <v>177</v>
      </c>
      <c r="C30" t="s">
        <v>19</v>
      </c>
      <c r="D30" t="s">
        <v>24</v>
      </c>
      <c r="E30">
        <v>1805761</v>
      </c>
      <c r="F30" t="s">
        <v>82</v>
      </c>
      <c r="G30" s="36">
        <v>46107</v>
      </c>
      <c r="H30" s="36">
        <v>45908</v>
      </c>
      <c r="I30" t="s">
        <v>159</v>
      </c>
      <c r="J30">
        <v>10</v>
      </c>
      <c r="L30" t="s">
        <v>150</v>
      </c>
      <c r="M30" t="s">
        <v>806</v>
      </c>
      <c r="N30">
        <v>8</v>
      </c>
      <c r="O30" s="36">
        <v>46150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https://cleansheet5.sharepoint.com/sites/SalesFunnel//Lists/auto12Opportunities/DispForm.aspx?ID=29</v>
      </c>
      <c r="S30">
        <f>_xlfn.XLOOKUP(Opportunities[[#This Row],[Stage]],stage[Stage Name],stage[Index],"")</f>
        <v>6</v>
      </c>
      <c r="T30" t="str">
        <f>_xlfn.XLOOKUP(Opportunities[[#This Row],[StageNumber]],stage[Index],stage[Display])</f>
        <v>➅ - Closeout</v>
      </c>
      <c r="U30">
        <f>Opportunities[[#This Row],[Amount]]*_xlfn.XLOOKUP(Opportunities[[#This Row],[Probability]],prob[Win Probability],prob[Value])</f>
        <v>722304.4</v>
      </c>
      <c r="V30" t="str" cm="1">
        <f t="array" ref="V30">_xlfn.SWITCH(Opportunities[[#This Row],[Status]],"At Risk","⚠","Active","✓","⮾")</f>
        <v>✓</v>
      </c>
      <c r="W30" t="str">
        <f>_xlfn.XLOOKUP(Opportunities[[#This Row],[CustomerId]],Customers[Id],Customers[Customer Name])</f>
        <v>Education First</v>
      </c>
      <c r="X30" t="str">
        <f>_xlfn.XLOOKUP(Opportunities[[#This Row],[CustomerId]],Customers[Id],Customers[CustomerRecordUrl])</f>
        <v>https://cleansheet5.sharepoint.com/sites/SalesFunnel//Lists/auto12Customers/DispForm.aspx?ID=10</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Medium</v>
      </c>
      <c r="AD30" t="b">
        <f>Opportunities[[#This Row],[WinProbDisplay]]="↖ High"</f>
        <v>0</v>
      </c>
    </row>
    <row r="31" spans="1:30" x14ac:dyDescent="0.25">
      <c r="A31">
        <v>30</v>
      </c>
      <c r="B31" t="s">
        <v>178</v>
      </c>
      <c r="C31" t="s">
        <v>19</v>
      </c>
      <c r="D31" t="s">
        <v>23</v>
      </c>
      <c r="E31">
        <v>1172164</v>
      </c>
      <c r="F31" t="s">
        <v>82</v>
      </c>
      <c r="G31" s="36">
        <v>46233</v>
      </c>
      <c r="H31" s="36">
        <v>45917</v>
      </c>
      <c r="I31" t="s">
        <v>93</v>
      </c>
      <c r="J31">
        <v>1</v>
      </c>
      <c r="L31" t="s">
        <v>150</v>
      </c>
      <c r="M31" t="s">
        <v>803</v>
      </c>
      <c r="N31">
        <v>50</v>
      </c>
      <c r="O31" s="36">
        <v>46316</v>
      </c>
      <c r="P31" t="str">
        <f>" FY"&amp;RIGHT(IF(MONTH(Opportunities[[#This Row],[Close]])&gt;=7,YEAR(Opportunities[[#This Row],[Close]])+1,YEAR(Opportunities[[#This Row],[Close]])),2)&amp;"-Q"&amp;IF(MONTH(Opportunities[[#This Row],[Close]])&gt;=7,CEILING((MONTH(Opportunities[[#This Row],[Close]])-6)/3,1),CEILING((MONTH(Opportunities[[#This Row],[Close]])+6)/3,1))</f>
        <v xml:space="preserve"> FY27-Q1</v>
      </c>
      <c r="Q31" t="str">
        <f>"CY"&amp;RIGHT(YEAR(Opportunities[[#This Row],[Close]]),2)&amp;"-Q"&amp;ROUNDUP(MONTH(Opportunities[[#This Row],[Close]])/3, 0)</f>
        <v>CY26-Q3</v>
      </c>
      <c r="R31" t="str">
        <f>siteUrl&amp;"/Lists/"&amp;oppList&amp;"/DispForm.aspx?ID="&amp;Opportunities[[#This Row],[ID]]</f>
        <v>https://cleansheet5.sharepoint.com/sites/SalesFunnel//Lists/auto12Opportunities/DispForm.aspx?ID=30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468865.60000000003</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Row],[CustomerId]],Customers[Id],Customers[CustomerRecordUrl])</f>
        <v>https://cleansheet5.sharepoint.com/sites/SalesFunnel//Lists/auto12Customers/DispForm.aspx?ID=1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18</v>
      </c>
      <c r="E32">
        <v>768865</v>
      </c>
      <c r="F32" t="s">
        <v>84</v>
      </c>
      <c r="G32" s="36">
        <v>46099</v>
      </c>
      <c r="H32" s="36">
        <v>45923</v>
      </c>
      <c r="I32" t="s">
        <v>99</v>
      </c>
      <c r="J32">
        <v>15</v>
      </c>
      <c r="L32" t="s">
        <v>393</v>
      </c>
      <c r="M32" t="s">
        <v>806</v>
      </c>
      <c r="N32">
        <v>4</v>
      </c>
      <c r="O32" s="36">
        <v>46164</v>
      </c>
      <c r="P32" t="str">
        <f>" FY"&amp;RIGHT(IF(MONTH(Opportunities[[#This Row],[Close]])&gt;=7,YEAR(Opportunities[[#This Row],[Close]])+1,YEAR(Opportunities[[#This Row],[Close]])),2)&amp;"-Q"&amp;IF(MONTH(Opportunities[[#This Row],[Close]])&gt;=7,CEILING((MONTH(Opportunities[[#This Row],[Close]])-6)/3,1),CEILING((MONTH(Opportunities[[#This Row],[Close]])+6)/3,1))</f>
        <v xml:space="preserve"> FY26-Q3</v>
      </c>
      <c r="Q32" t="str">
        <f>"CY"&amp;RIGHT(YEAR(Opportunities[[#This Row],[Close]]),2)&amp;"-Q"&amp;ROUNDUP(MONTH(Opportunities[[#This Row],[Close]])/3, 0)</f>
        <v>CY26-Q1</v>
      </c>
      <c r="R32" t="str">
        <f>siteUrl&amp;"/Lists/"&amp;oppList&amp;"/DispForm.aspx?ID="&amp;Opportunities[[#This Row],[ID]]</f>
        <v>https://cleansheet5.sharepoint.com/sites/SalesFunnel//Lists/auto12Opportunities/DispForm.aspx?ID=31</v>
      </c>
      <c r="S32">
        <f>_xlfn.XLOOKUP(Opportunities[[#This Row],[Stage]],stage[Stage Name],stage[Index],"")</f>
        <v>4</v>
      </c>
      <c r="T32" t="str">
        <f>_xlfn.XLOOKUP(Opportunities[[#This Row],[StageNumber]],stage[Index],stage[Display])</f>
        <v>➃ - Negotiation</v>
      </c>
      <c r="U32">
        <f>Opportunities[[#This Row],[Amount]]*_xlfn.XLOOKUP(Opportunities[[#This Row],[Probability]],prob[Win Probability],prob[Value])</f>
        <v>153773</v>
      </c>
      <c r="V32" t="str" cm="1">
        <f t="array" ref="V32">_xlfn.SWITCH(Opportunities[[#This Row],[Status]],"At Risk","⚠","Active","✓","⮾")</f>
        <v>⚠</v>
      </c>
      <c r="W32" t="str">
        <f>_xlfn.XLOOKUP(Opportunities[[#This Row],[CustomerId]],Customers[Id],Customers[Customer Name])</f>
        <v>Pharmaceutical Research</v>
      </c>
      <c r="X32" t="str">
        <f>_xlfn.XLOOKUP(Opportunities[[#This Row],[CustomerId]],Customers[Id],Customers[CustomerRecordUrl])</f>
        <v>https://cleansheet5.sharepoint.com/sites/SalesFunnel//Lists/auto12Customers/DispForm.aspx?ID=15</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2" t="str" cm="1">
        <f t="array" ref="AC32">_xlfn.SWITCH(Opportunities[[#This Row],[Probability]],"High","↖","Medium","←","Low","↙")&amp;" " &amp;Opportunities[[#This Row],[Probability]]</f>
        <v>↙ Low</v>
      </c>
      <c r="AD32" t="b">
        <f>Opportunities[[#This Row],[WinProbDisplay]]="↖ High"</f>
        <v>0</v>
      </c>
    </row>
    <row r="33" spans="1:30" x14ac:dyDescent="0.25">
      <c r="A33">
        <v>32</v>
      </c>
      <c r="B33" t="s">
        <v>180</v>
      </c>
      <c r="C33" t="s">
        <v>19</v>
      </c>
      <c r="D33" t="s">
        <v>23</v>
      </c>
      <c r="E33">
        <v>695461</v>
      </c>
      <c r="F33" t="s">
        <v>84</v>
      </c>
      <c r="G33" s="36">
        <v>45904</v>
      </c>
      <c r="H33" s="36">
        <v>45935</v>
      </c>
      <c r="I33" t="s">
        <v>99</v>
      </c>
      <c r="J33">
        <v>29</v>
      </c>
      <c r="L33" t="s">
        <v>145</v>
      </c>
      <c r="M33" t="s">
        <v>803</v>
      </c>
      <c r="N33">
        <v>30</v>
      </c>
      <c r="O33" s="36">
        <v>45953</v>
      </c>
      <c r="P33" t="str">
        <f>" FY"&amp;RIGHT(IF(MONTH(Opportunities[[#This Row],[Close]])&gt;=7,YEAR(Opportunities[[#This Row],[Close]])+1,YEAR(Opportunities[[#This Row],[Close]])),2)&amp;"-Q"&amp;IF(MONTH(Opportunities[[#This Row],[Close]])&gt;=7,CEILING((MONTH(Opportunities[[#This Row],[Close]])-6)/3,1),CEILING((MONTH(Opportunities[[#This Row],[Close]])+6)/3,1))</f>
        <v xml:space="preserve"> FY26-Q1</v>
      </c>
      <c r="Q33" t="str">
        <f>"CY"&amp;RIGHT(YEAR(Opportunities[[#This Row],[Close]]),2)&amp;"-Q"&amp;ROUNDUP(MONTH(Opportunities[[#This Row],[Close]])/3, 0)</f>
        <v>CY25-Q3</v>
      </c>
      <c r="R33" t="str">
        <f>siteUrl&amp;"/Lists/"&amp;oppList&amp;"/DispForm.aspx?ID="&amp;Opportunities[[#This Row],[ID]]</f>
        <v>https://cleansheet5.sharepoint.com/sites/SalesFunnel//Lists/auto12Opportunities/DispForm.aspx?ID=32</v>
      </c>
      <c r="S33">
        <f>_xlfn.XLOOKUP(Opportunities[[#This Row],[Stage]],stage[Stage Name],stage[Index],"")</f>
        <v>2</v>
      </c>
      <c r="T33" t="str">
        <f>_xlfn.XLOOKUP(Opportunities[[#This Row],[StageNumber]],stage[Index],stage[Display])</f>
        <v>➁ - Nurturing</v>
      </c>
      <c r="U33">
        <f>Opportunities[[#This Row],[Amount]]*_xlfn.XLOOKUP(Opportunities[[#This Row],[Probability]],prob[Win Probability],prob[Value])</f>
        <v>139092.20000000001</v>
      </c>
      <c r="V33" t="str" cm="1">
        <f t="array" ref="V33">_xlfn.SWITCH(Opportunities[[#This Row],[Status]],"At Risk","⚠","Active","✓","⮾")</f>
        <v>✓</v>
      </c>
      <c r="W33" t="str">
        <f>_xlfn.XLOOKUP(Opportunities[[#This Row],[CustomerId]],Customers[Id],Customers[Customer Name])</f>
        <v>Waste Management Co</v>
      </c>
      <c r="X33" t="str">
        <f>_xlfn.XLOOKUP(Opportunities[[#This Row],[CustomerId]],Customers[Id],Customers[CustomerRecordUrl])</f>
        <v>https://cleansheet5.sharepoint.com/sites/SalesFunnel//Lists/auto12Customers/DispForm.aspx?ID=29</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3" t="str" cm="1">
        <f t="array" ref="AC33">_xlfn.SWITCH(Opportunities[[#This Row],[Probability]],"High","↖","Medium","←","Low","↙")&amp;" " &amp;Opportunities[[#This Row],[Probability]]</f>
        <v>↙ Low</v>
      </c>
      <c r="AD33" t="b">
        <f>Opportunities[[#This Row],[WinProbDisplay]]="↖ High"</f>
        <v>0</v>
      </c>
    </row>
    <row r="34" spans="1:30" x14ac:dyDescent="0.25">
      <c r="A34">
        <v>33</v>
      </c>
      <c r="B34" t="s">
        <v>181</v>
      </c>
      <c r="C34" t="s">
        <v>19</v>
      </c>
      <c r="D34" t="s">
        <v>22</v>
      </c>
      <c r="E34">
        <v>1958261</v>
      </c>
      <c r="F34" t="s">
        <v>82</v>
      </c>
      <c r="G34" s="36">
        <v>45954</v>
      </c>
      <c r="H34" s="36">
        <v>45888</v>
      </c>
      <c r="I34" t="s">
        <v>153</v>
      </c>
      <c r="J34">
        <v>3</v>
      </c>
      <c r="L34" t="s">
        <v>104</v>
      </c>
      <c r="M34" t="s">
        <v>803</v>
      </c>
      <c r="N34">
        <v>48</v>
      </c>
      <c r="O34" s="36">
        <v>46013</v>
      </c>
      <c r="P34" t="str">
        <f>" FY"&amp;RIGHT(IF(MONTH(Opportunities[[#This Row],[Close]])&gt;=7,YEAR(Opportunities[[#This Row],[Close]])+1,YEAR(Opportunities[[#This Row],[Close]])),2)&amp;"-Q"&amp;IF(MONTH(Opportunities[[#This Row],[Close]])&gt;=7,CEILING((MONTH(Opportunities[[#This Row],[Close]])-6)/3,1),CEILING((MONTH(Opportunities[[#This Row],[Close]])+6)/3,1))</f>
        <v xml:space="preserve"> FY26-Q2</v>
      </c>
      <c r="Q34" t="str">
        <f>"CY"&amp;RIGHT(YEAR(Opportunities[[#This Row],[Close]]),2)&amp;"-Q"&amp;ROUNDUP(MONTH(Opportunities[[#This Row],[Close]])/3, 0)</f>
        <v>CY25-Q4</v>
      </c>
      <c r="R34" t="str">
        <f>siteUrl&amp;"/Lists/"&amp;oppList&amp;"/DispForm.aspx?ID="&amp;Opportunities[[#This Row],[ID]]</f>
        <v>https://cleansheet5.sharepoint.com/sites/SalesFunnel//Lists/auto12Opportunities/DispForm.aspx?ID=33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783304.4</v>
      </c>
      <c r="V34" t="str" cm="1">
        <f t="array" ref="V34">_xlfn.SWITCH(Opportunities[[#This Row],[Status]],"At Risk","⚠","Active","✓","⮾")</f>
        <v>✓</v>
      </c>
      <c r="W34" t="str">
        <f>_xlfn.XLOOKUP(Opportunities[[#This Row],[CustomerId]],Customers[Id],Customers[Customer Name])</f>
        <v>Tech Solutions Inc</v>
      </c>
      <c r="X34" t="str">
        <f>_xlfn.XLOOKUP(Opportunities[[#This Row],[CustomerId]],Customers[Id],Customers[CustomerRecordUrl])</f>
        <v>https://cleansheet5.sharepoint.com/sites/SalesFunnel//Lists/auto12Customers/DispForm.aspx?ID=3</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23</v>
      </c>
      <c r="E35">
        <v>800336</v>
      </c>
      <c r="F35" t="s">
        <v>83</v>
      </c>
      <c r="G35" s="36">
        <v>46192</v>
      </c>
      <c r="H35" s="36">
        <v>45923</v>
      </c>
      <c r="I35" t="s">
        <v>148</v>
      </c>
      <c r="J35">
        <v>25</v>
      </c>
      <c r="L35" t="s">
        <v>150</v>
      </c>
      <c r="M35" t="s">
        <v>805</v>
      </c>
      <c r="N35">
        <v>39</v>
      </c>
      <c r="O35" s="36">
        <v>46266</v>
      </c>
      <c r="P35" t="str">
        <f>" FY"&amp;RIGHT(IF(MONTH(Opportunities[[#This Row],[Close]])&gt;=7,YEAR(Opportunities[[#This Row],[Close]])+1,YEAR(Opportunities[[#This Row],[Close]])),2)&amp;"-Q"&amp;IF(MONTH(Opportunities[[#This Row],[Close]])&gt;=7,CEILING((MONTH(Opportunities[[#This Row],[Close]])-6)/3,1),CEILING((MONTH(Opportunities[[#This Row],[Close]])+6)/3,1))</f>
        <v xml:space="preserve"> FY26-Q4</v>
      </c>
      <c r="Q35" t="str">
        <f>"CY"&amp;RIGHT(YEAR(Opportunities[[#This Row],[Close]]),2)&amp;"-Q"&amp;ROUNDUP(MONTH(Opportunities[[#This Row],[Close]])/3, 0)</f>
        <v>CY26-Q2</v>
      </c>
      <c r="R35" t="str">
        <f>siteUrl&amp;"/Lists/"&amp;oppList&amp;"/DispForm.aspx?ID="&amp;Opportunities[[#This Row],[ID]]</f>
        <v>https://cleansheet5.sharepoint.com/sites/SalesFunnel//Lists/auto12Opportunities/DispForm.aspx?ID=34</v>
      </c>
      <c r="S35">
        <f>_xlfn.XLOOKUP(Opportunities[[#This Row],[Stage]],stage[Stage Name],stage[Index],"")</f>
        <v>2</v>
      </c>
      <c r="T35" t="str">
        <f>_xlfn.XLOOKUP(Opportunities[[#This Row],[StageNumber]],stage[Index],stage[Display])</f>
        <v>➁ - Nurturing</v>
      </c>
      <c r="U35">
        <f>Opportunities[[#This Row],[Amount]]*_xlfn.XLOOKUP(Opportunities[[#This Row],[Probability]],prob[Win Probability],prob[Value])</f>
        <v>720302.4</v>
      </c>
      <c r="V35" t="str" cm="1">
        <f t="array" ref="V35">_xlfn.SWITCH(Opportunities[[#This Row],[Status]],"At Risk","⚠","Active","✓","⮾")</f>
        <v>✓</v>
      </c>
      <c r="W35" t="str">
        <f>_xlfn.XLOOKUP(Opportunities[[#This Row],[CustomerId]],Customers[Id],Customers[Customer Name])</f>
        <v>Chemical Processing</v>
      </c>
      <c r="X35" t="str">
        <f>_xlfn.XLOOKUP(Opportunities[[#This Row],[CustomerId]],Customers[Id],Customers[CustomerRecordUrl])</f>
        <v>https://cleansheet5.sharepoint.com/sites/SalesFunnel//Lists/auto12Customers/DispForm.aspx?ID=25</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5" t="str" cm="1">
        <f t="array" ref="AC35">_xlfn.SWITCH(Opportunities[[#This Row],[Probability]],"High","↖","Medium","←","Low","↙")&amp;" " &amp;Opportunities[[#This Row],[Probability]]</f>
        <v>↖ High</v>
      </c>
      <c r="AD35" t="b">
        <f>Opportunities[[#This Row],[WinProbDisplay]]="↖ High"</f>
        <v>1</v>
      </c>
    </row>
    <row r="36" spans="1:30" x14ac:dyDescent="0.25">
      <c r="A36">
        <v>35</v>
      </c>
      <c r="B36" t="s">
        <v>183</v>
      </c>
      <c r="C36" t="s">
        <v>19</v>
      </c>
      <c r="D36" t="s">
        <v>23</v>
      </c>
      <c r="E36">
        <v>1834664</v>
      </c>
      <c r="F36" t="s">
        <v>84</v>
      </c>
      <c r="G36" s="36">
        <v>46392</v>
      </c>
      <c r="H36" s="36">
        <v>45896</v>
      </c>
      <c r="I36" t="s">
        <v>102</v>
      </c>
      <c r="J36">
        <v>9</v>
      </c>
      <c r="L36" t="s">
        <v>393</v>
      </c>
      <c r="M36" t="s">
        <v>805</v>
      </c>
      <c r="N36">
        <v>9</v>
      </c>
      <c r="O36" s="36">
        <v>46412</v>
      </c>
      <c r="P36" t="str">
        <f>" FY"&amp;RIGHT(IF(MONTH(Opportunities[[#This Row],[Close]])&gt;=7,YEAR(Opportunities[[#This Row],[Close]])+1,YEAR(Opportunities[[#This Row],[Close]])),2)&amp;"-Q"&amp;IF(MONTH(Opportunities[[#This Row],[Close]])&gt;=7,CEILING((MONTH(Opportunities[[#This Row],[Close]])-6)/3,1),CEILING((MONTH(Opportunities[[#This Row],[Close]])+6)/3,1))</f>
        <v xml:space="preserve"> FY27-Q3</v>
      </c>
      <c r="Q36" t="str">
        <f>"CY"&amp;RIGHT(YEAR(Opportunities[[#This Row],[Close]]),2)&amp;"-Q"&amp;ROUNDUP(MONTH(Opportunities[[#This Row],[Close]])/3, 0)</f>
        <v>CY27-Q1</v>
      </c>
      <c r="R36" t="str">
        <f>siteUrl&amp;"/Lists/"&amp;oppList&amp;"/DispForm.aspx?ID="&amp;Opportunities[[#This Row],[ID]]</f>
        <v>https://cleansheet5.sharepoint.com/sites/SalesFunnel//Lists/auto12Opportunities/DispForm.aspx?ID=35</v>
      </c>
      <c r="S36">
        <f>_xlfn.XLOOKUP(Opportunities[[#This Row],[Stage]],stage[Stage Name],stage[Index],"")</f>
        <v>2</v>
      </c>
      <c r="T36" t="str">
        <f>_xlfn.XLOOKUP(Opportunities[[#This Row],[StageNumber]],stage[Index],stage[Display])</f>
        <v>➁ - Nurturing</v>
      </c>
      <c r="U36">
        <f>Opportunities[[#This Row],[Amount]]*_xlfn.XLOOKUP(Opportunities[[#This Row],[Probability]],prob[Win Probability],prob[Value])</f>
        <v>366932.80000000005</v>
      </c>
      <c r="V36" t="str" cm="1">
        <f t="array" ref="V36">_xlfn.SWITCH(Opportunities[[#This Row],[Status]],"At Risk","⚠","Active","✓","⮾")</f>
        <v>✓</v>
      </c>
      <c r="W36" t="str">
        <f>_xlfn.XLOOKUP(Opportunities[[#This Row],[CustomerId]],Customers[Id],Customers[Customer Name])</f>
        <v>Construction Dynamics</v>
      </c>
      <c r="X36" t="str">
        <f>_xlfn.XLOOKUP(Opportunities[[#This Row],[CustomerId]],Customers[Id],Customers[CustomerRecordUrl])</f>
        <v>https://cleansheet5.sharepoint.com/sites/SalesFunnel//Lists/auto12Customers/DispForm.aspx?ID=9</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36" t="str" cm="1">
        <f t="array" ref="AC36">_xlfn.SWITCH(Opportunities[[#This Row],[Probability]],"High","↖","Medium","←","Low","↙")&amp;" " &amp;Opportunities[[#This Row],[Probability]]</f>
        <v>↙ Low</v>
      </c>
      <c r="AD36" t="b">
        <f>Opportunities[[#This Row],[WinProbDisplay]]="↖ High"</f>
        <v>0</v>
      </c>
    </row>
    <row r="37" spans="1:30" x14ac:dyDescent="0.25">
      <c r="A37">
        <v>36</v>
      </c>
      <c r="B37" t="s">
        <v>184</v>
      </c>
      <c r="C37" t="s">
        <v>19</v>
      </c>
      <c r="D37" t="s">
        <v>21</v>
      </c>
      <c r="E37">
        <v>1199227</v>
      </c>
      <c r="F37" t="s">
        <v>82</v>
      </c>
      <c r="G37" s="36">
        <v>46367</v>
      </c>
      <c r="H37" s="36">
        <v>45929</v>
      </c>
      <c r="I37" t="s">
        <v>159</v>
      </c>
      <c r="J37">
        <v>1</v>
      </c>
      <c r="L37" t="s">
        <v>393</v>
      </c>
      <c r="M37" t="s">
        <v>808</v>
      </c>
      <c r="N37">
        <v>48</v>
      </c>
      <c r="O37" s="36">
        <v>46452</v>
      </c>
      <c r="P37" t="str">
        <f>" FY"&amp;RIGHT(IF(MONTH(Opportunities[[#This Row],[Close]])&gt;=7,YEAR(Opportunities[[#This Row],[Close]])+1,YEAR(Opportunities[[#This Row],[Close]])),2)&amp;"-Q"&amp;IF(MONTH(Opportunities[[#This Row],[Close]])&gt;=7,CEILING((MONTH(Opportunities[[#This Row],[Close]])-6)/3,1),CEILING((MONTH(Opportunities[[#This Row],[Close]])+6)/3,1))</f>
        <v xml:space="preserve"> FY27-Q2</v>
      </c>
      <c r="Q37" t="str">
        <f>"CY"&amp;RIGHT(YEAR(Opportunities[[#This Row],[Close]]),2)&amp;"-Q"&amp;ROUNDUP(MONTH(Opportunities[[#This Row],[Close]])/3, 0)</f>
        <v>CY26-Q4</v>
      </c>
      <c r="R37" t="str">
        <f>siteUrl&amp;"/Lists/"&amp;oppList&amp;"/DispForm.aspx?ID="&amp;Opportunities[[#This Row],[ID]]</f>
        <v>https://cleansheet5.sharepoint.com/sites/SalesFunnel//Lists/auto12Opportunities/DispForm.aspx?ID=36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479690.80000000005</v>
      </c>
      <c r="V37" t="str" cm="1">
        <f t="array" ref="V37">_xlfn.SWITCH(Opportunities[[#This Row],[Status]],"At Risk","⚠","Active","✓","⮾")</f>
        <v>✓</v>
      </c>
      <c r="W37" t="str">
        <f>_xlfn.XLOOKUP(Opportunities[[#This Row],[CustomerId]],Customers[Id],Customers[Customer Name])</f>
        <v>ACME Corporation</v>
      </c>
      <c r="X37" t="str">
        <f>_xlfn.XLOOKUP(Opportunities[[#This Row],[CustomerId]],Customers[Id],Customers[CustomerRecordUrl])</f>
        <v>https://cleansheet5.sharepoint.com/sites/SalesFunnel//Lists/auto12Customers/DispForm.aspx?ID=1</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24</v>
      </c>
      <c r="E38">
        <v>1236123</v>
      </c>
      <c r="F38" t="s">
        <v>82</v>
      </c>
      <c r="G38" s="36">
        <v>45943</v>
      </c>
      <c r="H38" s="36">
        <v>45891</v>
      </c>
      <c r="I38" t="s">
        <v>148</v>
      </c>
      <c r="J38">
        <v>20</v>
      </c>
      <c r="L38" t="s">
        <v>101</v>
      </c>
      <c r="M38" t="s">
        <v>806</v>
      </c>
      <c r="N38">
        <v>8</v>
      </c>
      <c r="O38" s="36">
        <v>45979</v>
      </c>
      <c r="P38" t="str">
        <f>" FY"&amp;RIGHT(IF(MONTH(Opportunities[[#This Row],[Close]])&gt;=7,YEAR(Opportunities[[#This Row],[Close]])+1,YEAR(Opportunities[[#This Row],[Close]])),2)&amp;"-Q"&amp;IF(MONTH(Opportunities[[#This Row],[Close]])&gt;=7,CEILING((MONTH(Opportunities[[#This Row],[Close]])-6)/3,1),CEILING((MONTH(Opportunities[[#This Row],[Close]])+6)/3,1))</f>
        <v xml:space="preserve"> FY26-Q2</v>
      </c>
      <c r="Q38" t="str">
        <f>"CY"&amp;RIGHT(YEAR(Opportunities[[#This Row],[Close]]),2)&amp;"-Q"&amp;ROUNDUP(MONTH(Opportunities[[#This Row],[Close]])/3, 0)</f>
        <v>CY25-Q4</v>
      </c>
      <c r="R38" t="str">
        <f>siteUrl&amp;"/Lists/"&amp;oppList&amp;"/DispForm.aspx?ID="&amp;Opportunities[[#This Row],[ID]]</f>
        <v>https://cleansheet5.sharepoint.com/sites/SalesFunnel//Lists/auto12Opportunities/DispForm.aspx?ID=37</v>
      </c>
      <c r="S38">
        <f>_xlfn.XLOOKUP(Opportunities[[#This Row],[Stage]],stage[Stage Name],stage[Index],"")</f>
        <v>6</v>
      </c>
      <c r="T38" t="str">
        <f>_xlfn.XLOOKUP(Opportunities[[#This Row],[StageNumber]],stage[Index],stage[Display])</f>
        <v>➅ - Closeout</v>
      </c>
      <c r="U38">
        <f>Opportunities[[#This Row],[Amount]]*_xlfn.XLOOKUP(Opportunities[[#This Row],[Probability]],prob[Win Probability],prob[Value])</f>
        <v>494449.2</v>
      </c>
      <c r="V38" t="str" cm="1">
        <f t="array" ref="V38">_xlfn.SWITCH(Opportunities[[#This Row],[Status]],"At Risk","⚠","Active","✓","⮾")</f>
        <v>✓</v>
      </c>
      <c r="W38" t="str">
        <f>_xlfn.XLOOKUP(Opportunities[[#This Row],[CustomerId]],Customers[Id],Customers[Customer Name])</f>
        <v>Automotive Parts Plus</v>
      </c>
      <c r="X38" t="str">
        <f>_xlfn.XLOOKUP(Opportunities[[#This Row],[CustomerId]],Customers[Id],Customers[CustomerRecordUrl])</f>
        <v>https://cleansheet5.sharepoint.com/sites/SalesFunnel//Lists/auto12Customers/DispForm.aspx?ID=20</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22</v>
      </c>
      <c r="E39">
        <v>914805</v>
      </c>
      <c r="F39" t="s">
        <v>82</v>
      </c>
      <c r="G39" s="36">
        <v>46339</v>
      </c>
      <c r="H39" s="36">
        <v>45934</v>
      </c>
      <c r="I39" t="s">
        <v>102</v>
      </c>
      <c r="J39">
        <v>21</v>
      </c>
      <c r="L39" t="s">
        <v>101</v>
      </c>
      <c r="M39" t="s">
        <v>806</v>
      </c>
      <c r="N39">
        <v>5</v>
      </c>
      <c r="O39" s="36">
        <v>46386</v>
      </c>
      <c r="P39" t="str">
        <f>" FY"&amp;RIGHT(IF(MONTH(Opportunities[[#This Row],[Close]])&gt;=7,YEAR(Opportunities[[#This Row],[Close]])+1,YEAR(Opportunities[[#This Row],[Close]])),2)&amp;"-Q"&amp;IF(MONTH(Opportunities[[#This Row],[Close]])&gt;=7,CEILING((MONTH(Opportunities[[#This Row],[Close]])-6)/3,1),CEILING((MONTH(Opportunities[[#This Row],[Close]])+6)/3,1))</f>
        <v xml:space="preserve"> FY27-Q2</v>
      </c>
      <c r="Q39" t="str">
        <f>"CY"&amp;RIGHT(YEAR(Opportunities[[#This Row],[Close]]),2)&amp;"-Q"&amp;ROUNDUP(MONTH(Opportunities[[#This Row],[Close]])/3, 0)</f>
        <v>CY26-Q4</v>
      </c>
      <c r="R39" t="str">
        <f>siteUrl&amp;"/Lists/"&amp;oppList&amp;"/DispForm.aspx?ID="&amp;Opportunities[[#This Row],[ID]]</f>
        <v>https://cleansheet5.sharepoint.com/sites/SalesFunnel//Lists/auto12Opportunities/DispForm.aspx?ID=38</v>
      </c>
      <c r="S39">
        <f>_xlfn.XLOOKUP(Opportunities[[#This Row],[Stage]],stage[Stage Name],stage[Index],"")</f>
        <v>3</v>
      </c>
      <c r="T39" t="str">
        <f>_xlfn.XLOOKUP(Opportunities[[#This Row],[StageNumber]],stage[Index],stage[Display])</f>
        <v>➂ - Proposal</v>
      </c>
      <c r="U39">
        <f>Opportunities[[#This Row],[Amount]]*_xlfn.XLOOKUP(Opportunities[[#This Row],[Probability]],prob[Win Probability],prob[Value])</f>
        <v>365922</v>
      </c>
      <c r="V39" t="str" cm="1">
        <f t="array" ref="V39">_xlfn.SWITCH(Opportunities[[#This Row],[Status]],"At Risk","⚠","Active","✓","⮾")</f>
        <v>✓</v>
      </c>
      <c r="W39" t="str">
        <f>_xlfn.XLOOKUP(Opportunities[[#This Row],[CustomerId]],Customers[Id],Customers[Customer Name])</f>
        <v>Textile Manufacturing</v>
      </c>
      <c r="X39" t="str">
        <f>_xlfn.XLOOKUP(Opportunities[[#This Row],[CustomerId]],Customers[Id],Customers[CustomerRecordUrl])</f>
        <v>https://cleansheet5.sharepoint.com/sites/SalesFunnel//Lists/auto12Customers/DispForm.aspx?ID=21</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9" t="str" cm="1">
        <f t="array" ref="AC39">_xlfn.SWITCH(Opportunities[[#This Row],[Probability]],"High","↖","Medium","←","Low","↙")&amp;" " &amp;Opportunities[[#This Row],[Probability]]</f>
        <v>← Medium</v>
      </c>
      <c r="AD39" t="b">
        <f>Opportunities[[#This Row],[WinProbDisplay]]="↖ High"</f>
        <v>0</v>
      </c>
    </row>
    <row r="40" spans="1:30" x14ac:dyDescent="0.25">
      <c r="A40">
        <v>39</v>
      </c>
      <c r="B40" t="s">
        <v>187</v>
      </c>
      <c r="C40" t="s">
        <v>19</v>
      </c>
      <c r="D40" t="s">
        <v>21</v>
      </c>
      <c r="E40">
        <v>2176632</v>
      </c>
      <c r="F40" t="s">
        <v>82</v>
      </c>
      <c r="G40" s="36">
        <v>46253</v>
      </c>
      <c r="H40" s="36">
        <v>45908</v>
      </c>
      <c r="I40" t="s">
        <v>102</v>
      </c>
      <c r="J40">
        <v>3</v>
      </c>
      <c r="L40" t="s">
        <v>145</v>
      </c>
      <c r="M40" t="s">
        <v>808</v>
      </c>
      <c r="N40">
        <v>40</v>
      </c>
      <c r="O40" s="36">
        <v>46268</v>
      </c>
      <c r="P40" t="str">
        <f>" FY"&amp;RIGHT(IF(MONTH(Opportunities[[#This Row],[Close]])&gt;=7,YEAR(Opportunities[[#This Row],[Close]])+1,YEAR(Opportunities[[#This Row],[Close]])),2)&amp;"-Q"&amp;IF(MONTH(Opportunities[[#This Row],[Close]])&gt;=7,CEILING((MONTH(Opportunities[[#This Row],[Close]])-6)/3,1),CEILING((MONTH(Opportunities[[#This Row],[Close]])+6)/3,1))</f>
        <v xml:space="preserve"> FY27-Q1</v>
      </c>
      <c r="Q40" t="str">
        <f>"CY"&amp;RIGHT(YEAR(Opportunities[[#This Row],[Close]]),2)&amp;"-Q"&amp;ROUNDUP(MONTH(Opportunities[[#This Row],[Close]])/3, 0)</f>
        <v>CY26-Q3</v>
      </c>
      <c r="R40" t="str">
        <f>siteUrl&amp;"/Lists/"&amp;oppList&amp;"/DispForm.aspx?ID="&amp;Opportunities[[#This Row],[ID]]</f>
        <v>https://cleansheet5.sharepoint.com/sites/SalesFunnel//Lists/auto12Opportunities/DispForm.aspx?ID=39</v>
      </c>
      <c r="S40">
        <f>_xlfn.XLOOKUP(Opportunities[[#This Row],[Stage]],stage[Stage Name],stage[Index],"")</f>
        <v>5</v>
      </c>
      <c r="T40" t="str">
        <f>_xlfn.XLOOKUP(Opportunities[[#This Row],[StageNumber]],stage[Index],stage[Display])</f>
        <v>➄ - Project Execution</v>
      </c>
      <c r="U40">
        <f>Opportunities[[#This Row],[Amount]]*_xlfn.XLOOKUP(Opportunities[[#This Row],[Probability]],prob[Win Probability],prob[Value])</f>
        <v>870652.8</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Row],[CustomerId]],Customers[Id],Customers[CustomerRecordUrl])</f>
        <v>https://cleansheet5.sharepoint.com/sites/SalesFunnel//Lists/auto12Customers/DispForm.aspx?ID=3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22</v>
      </c>
      <c r="E41">
        <v>481926</v>
      </c>
      <c r="F41" t="s">
        <v>83</v>
      </c>
      <c r="G41" s="36">
        <v>46338</v>
      </c>
      <c r="H41" s="36">
        <v>45897</v>
      </c>
      <c r="I41" t="s">
        <v>96</v>
      </c>
      <c r="J41">
        <v>15</v>
      </c>
      <c r="L41" t="s">
        <v>98</v>
      </c>
      <c r="M41" t="s">
        <v>806</v>
      </c>
      <c r="N41">
        <v>20</v>
      </c>
      <c r="O41" s="36">
        <v>46406</v>
      </c>
      <c r="P41" t="str">
        <f>" FY"&amp;RIGHT(IF(MONTH(Opportunities[[#This Row],[Close]])&gt;=7,YEAR(Opportunities[[#This Row],[Close]])+1,YEAR(Opportunities[[#This Row],[Close]])),2)&amp;"-Q"&amp;IF(MONTH(Opportunities[[#This Row],[Close]])&gt;=7,CEILING((MONTH(Opportunities[[#This Row],[Close]])-6)/3,1),CEILING((MONTH(Opportunities[[#This Row],[Close]])+6)/3,1))</f>
        <v xml:space="preserve"> FY27-Q2</v>
      </c>
      <c r="Q41" t="str">
        <f>"CY"&amp;RIGHT(YEAR(Opportunities[[#This Row],[Close]]),2)&amp;"-Q"&amp;ROUNDUP(MONTH(Opportunities[[#This Row],[Close]])/3, 0)</f>
        <v>CY26-Q4</v>
      </c>
      <c r="R41" t="str">
        <f>siteUrl&amp;"/Lists/"&amp;oppList&amp;"/DispForm.aspx?ID="&amp;Opportunities[[#This Row],[ID]]</f>
        <v>https://cleansheet5.sharepoint.com/sites/SalesFunnel//Lists/auto12Opportunities/DispForm.aspx?ID=40</v>
      </c>
      <c r="S41">
        <f>_xlfn.XLOOKUP(Opportunities[[#This Row],[Stage]],stage[Stage Name],stage[Index],"")</f>
        <v>3</v>
      </c>
      <c r="T41" t="str">
        <f>_xlfn.XLOOKUP(Opportunities[[#This Row],[StageNumber]],stage[Index],stage[Display])</f>
        <v>➂ - Proposal</v>
      </c>
      <c r="U41">
        <f>Opportunities[[#This Row],[Amount]]*_xlfn.XLOOKUP(Opportunities[[#This Row],[Probability]],prob[Win Probability],prob[Value])</f>
        <v>433733.4</v>
      </c>
      <c r="V41" t="str" cm="1">
        <f t="array" ref="V41">_xlfn.SWITCH(Opportunities[[#This Row],[Status]],"At Risk","⚠","Active","✓","⮾")</f>
        <v>✓</v>
      </c>
      <c r="W41" t="str">
        <f>_xlfn.XLOOKUP(Opportunities[[#This Row],[CustomerId]],Customers[Id],Customers[Customer Name])</f>
        <v>Pharmaceutical Research</v>
      </c>
      <c r="X41" t="str">
        <f>_xlfn.XLOOKUP(Opportunities[[#This Row],[CustomerId]],Customers[Id],Customers[CustomerRecordUrl])</f>
        <v>https://cleansheet5.sharepoint.com/sites/SalesFunnel//Lists/auto12Customers/DispForm.aspx?ID=15</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41" t="str" cm="1">
        <f t="array" ref="AC41">_xlfn.SWITCH(Opportunities[[#This Row],[Probability]],"High","↖","Medium","←","Low","↙")&amp;" " &amp;Opportunities[[#This Row],[Probability]]</f>
        <v>↖ High</v>
      </c>
      <c r="AD41" t="b">
        <f>Opportunities[[#This Row],[WinProbDisplay]]="↖ High"</f>
        <v>1</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19.8554687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49.907542999999976</v>
      </c>
      <c r="C2" s="15">
        <f>SUBTOTAL(3,View[[🔗Customer ]])</f>
        <v>40</v>
      </c>
      <c r="D2" s="16">
        <f>(B2-(SUBTOTAL(9,View[Estmated Revenue])/1000))/B2</f>
        <v>0.58362989738845672</v>
      </c>
      <c r="E2" s="18">
        <f>SUMIFS(Opportunities[Amount],Opportunities[High Probability],TRUE,View[Visible],1)/1000/1000</f>
        <v>6.3499160000000003</v>
      </c>
      <c r="H2" t="s">
        <v>48</v>
      </c>
      <c r="I2">
        <f>IF(I1="","",COUNTIFS(View[Visible],1,View[Close Quarter],graphics!I1))</f>
        <v>4</v>
      </c>
      <c r="J2">
        <f>IF(J1="","",COUNTIFS(View[Visible],1,View[Close Quarter],graphics!J1))</f>
        <v>8</v>
      </c>
      <c r="K2">
        <f>IF(K1="","",COUNTIFS(View[Visible],1,View[Close Quarter],graphics!K1))</f>
        <v>5</v>
      </c>
      <c r="L2">
        <f>IF(L1="","",COUNTIFS(View[Visible],1,View[Close Quarter],graphics!L1))</f>
        <v>7</v>
      </c>
      <c r="M2">
        <f>IF(M1="","",COUNTIFS(View[Visible],1,View[Close Quarter],graphics!M1))</f>
        <v>6</v>
      </c>
      <c r="N2">
        <f>IF(N1="","",COUNTIFS(View[Visible],1,View[Close Quarter],graphics!N1))</f>
        <v>9</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1.0613250000000001</v>
      </c>
      <c r="U2">
        <f>IF(U$1="","",SUMIFS(View[Unweighted],View[Close Quarter],U$1,View[Stage],$Q2,View[Visible],1)/1000)</f>
        <v>6.6831880000000004</v>
      </c>
      <c r="V2">
        <f>IF(V$1="","",SUMIFS(View[Unweighted],View[Close Quarter],V$1,View[Stage],$Q2,View[Visible],1)/1000)</f>
        <v>0</v>
      </c>
      <c r="W2">
        <f>IF(W$1="","",SUMIFS(View[Unweighted],View[Close Quarter],W$1,View[Stage],$Q2,View[Visible],1)/1000)</f>
        <v>0</v>
      </c>
      <c r="AF2" t="s">
        <v>76</v>
      </c>
      <c r="AG2" t="s">
        <v>25</v>
      </c>
      <c r="AH2" s="26">
        <f>IF(AH$1="","",SUMIFS(View[Unweighted],View[Close Quarter],AH$1,View[Status],$AG2,View[Visible],1)/1000)</f>
        <v>0</v>
      </c>
      <c r="AI2" s="26">
        <f>IF(AI$1="","",SUMIFS(View[Unweighted],View[Close Quarter],AI$1,View[Status],$AG2,View[Visible],1)/1000)</f>
        <v>0</v>
      </c>
      <c r="AJ2" s="26">
        <f>IF(AJ$1="","",SUMIFS(View[Unweighted],View[Close Quarter],AJ$1,View[Status],$AG2,View[Visible],1)/1000)</f>
        <v>0</v>
      </c>
      <c r="AK2" s="26">
        <f>IF(AK$1="","",SUMIFS(View[Unweighted],View[Close Quarter],AK$1,View[Status],$AG2,View[Visible],1)/1000)</f>
        <v>0</v>
      </c>
      <c r="AL2" s="26">
        <f>IF(AL$1="","",SUMIFS(View[Unweighted],View[Close Quarter],AL$1,View[Status],$AG2,View[Visible],1)/1000)</f>
        <v>0</v>
      </c>
      <c r="AM2" s="26">
        <f>IF(AM$1="","",SUMIFS(View[Unweighted],View[Close Quarter],AM$1,View[Status],$AG2,View[Visible],1)/1000)</f>
        <v>1.1614259999999998</v>
      </c>
    </row>
    <row r="3" spans="1:40" x14ac:dyDescent="0.25">
      <c r="B3" s="13" t="s">
        <v>26</v>
      </c>
      <c r="C3" s="13" t="s">
        <v>48</v>
      </c>
      <c r="D3" s="13" t="s">
        <v>27</v>
      </c>
      <c r="E3" s="5" t="s">
        <v>28</v>
      </c>
      <c r="H3" t="s">
        <v>43</v>
      </c>
      <c r="I3" s="4">
        <f>IF(I1="","",SUMIFS(View[Unweighted],View[Visible],1,View[Close Quarter],graphics!I$1)/1000)</f>
        <v>3.8018620000000003</v>
      </c>
      <c r="J3" s="4">
        <f>IF(J1="","",SUMIFS(View[Unweighted],View[Visible],1,View[Close Quarter],graphics!J$1)/1000)</f>
        <v>9.7790689999999998</v>
      </c>
      <c r="K3" s="4">
        <f>IF(K1="","",SUMIFS(View[Unweighted],View[Visible],1,View[Close Quarter],graphics!K$1)/1000)</f>
        <v>5.5999679999999996</v>
      </c>
      <c r="L3" s="4">
        <f>IF(L1="","",SUMIFS(View[Unweighted],View[Visible],1,View[Close Quarter],graphics!L$1)/1000)</f>
        <v>9.8344160000000009</v>
      </c>
      <c r="M3" s="4">
        <f>IF(M1="","",SUMIFS(View[Unweighted],View[Visible],1,View[Close Quarter],graphics!M$1)/1000)</f>
        <v>8.4019849999999998</v>
      </c>
      <c r="N3" s="4">
        <f>IF(N1="","",SUMIFS(View[Unweighted],View[Visible],1,View[Close Quarter],graphics!N$1)/1000)</f>
        <v>10.655579000000001</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1.172164</v>
      </c>
      <c r="U3">
        <f>IF(U$1="","",SUMIFS(View[Unweighted],View[Close Quarter],U$1,View[Stage],$Q3,View[Visible],1)/1000)</f>
        <v>0.80033600000000005</v>
      </c>
      <c r="V3">
        <f>IF(V$1="","",SUMIFS(View[Unweighted],View[Close Quarter],V$1,View[Stage],$Q3,View[Visible],1)/1000)</f>
        <v>0.99488199999999993</v>
      </c>
      <c r="W3">
        <f>IF(W$1="","",SUMIFS(View[Unweighted],View[Close Quarter],W$1,View[Stage],$Q3,View[Visible],1)/1000)</f>
        <v>1.781938</v>
      </c>
      <c r="AF3" t="s">
        <v>77</v>
      </c>
      <c r="AG3" t="s">
        <v>17</v>
      </c>
      <c r="AH3" s="26">
        <f>IF(AH$1="","",SUMIFS(View[Unweighted],View[Close Quarter],AH$1,View[Status],$AG3,View[Visible],1)/1000)</f>
        <v>0</v>
      </c>
      <c r="AI3" s="26">
        <f>IF(AI$1="","",SUMIFS(View[Unweighted],View[Close Quarter],AI$1,View[Status],$AG3,View[Visible],1)/1000)</f>
        <v>2.01708</v>
      </c>
      <c r="AJ3" s="26">
        <f>IF(AJ$1="","",SUMIFS(View[Unweighted],View[Close Quarter],AJ$1,View[Status],$AG3,View[Visible],1)/1000)</f>
        <v>0</v>
      </c>
      <c r="AK3" s="26">
        <f>IF(AK$1="","",SUMIFS(View[Unweighted],View[Close Quarter],AK$1,View[Status],$AG3,View[Visible],1)/1000)</f>
        <v>1.310673</v>
      </c>
      <c r="AL3" s="26">
        <f>IF(AL$1="","",SUMIFS(View[Unweighted],View[Close Quarter],AL$1,View[Status],$AG3,View[Visible],1)/1000)</f>
        <v>1.7141489999999999</v>
      </c>
      <c r="AM3" s="26">
        <f>IF(AM$1="","",SUMIFS(View[Unweighted],View[Close Quarter],AM$1,View[Status],$AG3,View[Visible],1)/1000)</f>
        <v>0</v>
      </c>
    </row>
    <row r="4" spans="1:40" x14ac:dyDescent="0.25">
      <c r="H4" t="s">
        <v>41</v>
      </c>
      <c r="I4" s="4">
        <f>IF(I1="","",SUMIFS(View[Estmated Revenue],View[Visible],1,View[Close Quarter],graphics!I$1)/1000)</f>
        <v>1.1544082</v>
      </c>
      <c r="J4" s="4">
        <f>IF(J1="","",SUMIFS(View[Estmated Revenue],View[Visible],1,View[Close Quarter],graphics!J$1)/1000)</f>
        <v>3.5330436000000005</v>
      </c>
      <c r="K4" s="4">
        <f>IF(K1="","",SUMIFS(View[Estmated Revenue],View[Visible],1,View[Close Quarter],graphics!K$1)/1000)</f>
        <v>1.8872377999999999</v>
      </c>
      <c r="L4" s="4">
        <f>IF(L1="","",SUMIFS(View[Estmated Revenue],View[Visible],1,View[Close Quarter],graphics!L$1)/1000)</f>
        <v>4.5365847000000006</v>
      </c>
      <c r="M4" s="4">
        <f>IF(M1="","",SUMIFS(View[Estmated Revenue],View[Visible],1,View[Close Quarter],graphics!M$1)/1000)</f>
        <v>3.0271736000000002</v>
      </c>
      <c r="N4" s="4">
        <f>IF(N1="","",SUMIFS(View[Estmated Revenue],View[Visible],1,View[Close Quarter],graphics!N$1)/1000)</f>
        <v>6.274628100000001</v>
      </c>
      <c r="Q4" t="str">
        <v>➂ - Proposal</v>
      </c>
      <c r="R4">
        <f>IF(R$1="","",SUMIFS(View[Unweighted],View[Close Quarter],R$1,View[Stage],$Q4,View[Visible],1)/1000)</f>
        <v>0</v>
      </c>
      <c r="S4">
        <f>IF(S$1="","",SUMIFS(View[Unweighted],View[Close Quarter],S$1,View[Stage],$Q4,View[Visible],1)/1000)</f>
        <v>2.6452529999999999</v>
      </c>
      <c r="T4">
        <f>IF(T$1="","",SUMIFS(View[Unweighted],View[Close Quarter],T$1,View[Stage],$Q4,View[Visible],1)/1000)</f>
        <v>0</v>
      </c>
      <c r="U4">
        <f>IF(U$1="","",SUMIFS(View[Unweighted],View[Close Quarter],U$1,View[Stage],$Q4,View[Visible],1)/1000)</f>
        <v>1.5247870000000001</v>
      </c>
      <c r="V4">
        <f>IF(V$1="","",SUMIFS(View[Unweighted],View[Close Quarter],V$1,View[Stage],$Q4,View[Visible],1)/1000)</f>
        <v>0.94528400000000001</v>
      </c>
      <c r="W4">
        <f>IF(W$1="","",SUMIFS(View[Unweighted],View[Close Quarter],W$1,View[Stage],$Q4,View[Visible],1)/1000)</f>
        <v>3.1196869999999999</v>
      </c>
      <c r="AF4" t="s">
        <v>78</v>
      </c>
      <c r="AG4" t="s">
        <v>19</v>
      </c>
      <c r="AH4" s="26">
        <f>IF(AH$1="","",SUMIFS(View[Unweighted],View[Close Quarter],AH$1,View[Status],$AG4,View[Visible],1)/1000)</f>
        <v>1.8346640000000001</v>
      </c>
      <c r="AI4" s="26">
        <f>IF(AI$1="","",SUMIFS(View[Unweighted],View[Close Quarter],AI$1,View[Status],$AG4,View[Visible],1)/1000)</f>
        <v>8.6384989999999995</v>
      </c>
      <c r="AJ4" s="26">
        <f>IF(AJ$1="","",SUMIFS(View[Unweighted],View[Close Quarter],AJ$1,View[Status],$AG4,View[Visible],1)/1000)</f>
        <v>8.4019849999999998</v>
      </c>
      <c r="AK4" s="26">
        <f>IF(AK$1="","",SUMIFS(View[Unweighted],View[Close Quarter],AK$1,View[Status],$AG4,View[Visible],1)/1000)</f>
        <v>8.5237429999999978</v>
      </c>
      <c r="AL4" s="26">
        <f>IF(AL$1="","",SUMIFS(View[Unweighted],View[Close Quarter],AL$1,View[Status],$AG4,View[Visible],1)/1000)</f>
        <v>3.8858190000000001</v>
      </c>
      <c r="AM4" s="26">
        <f>IF(AM$1="","",SUMIFS(View[Unweighted],View[Close Quarter],AM$1,View[Status],$AG4,View[Visible],1)/1000)</f>
        <v>8.6176429999999993</v>
      </c>
    </row>
    <row r="5" spans="1:40" x14ac:dyDescent="0.25">
      <c r="Q5" t="str">
        <v>➃ - Negotiation</v>
      </c>
      <c r="R5">
        <f>IF(R$1="","",SUMIFS(View[Unweighted],View[Close Quarter],R$1,View[Stage],$Q5,View[Visible],1)/1000)</f>
        <v>0</v>
      </c>
      <c r="S5">
        <f>IF(S$1="","",SUMIFS(View[Unweighted],View[Close Quarter],S$1,View[Stage],$Q5,View[Visible],1)/1000)</f>
        <v>2.01708</v>
      </c>
      <c r="T5">
        <f>IF(T$1="","",SUMIFS(View[Unweighted],View[Close Quarter],T$1,View[Stage],$Q5,View[Visible],1)/1000)</f>
        <v>2.9047390000000002</v>
      </c>
      <c r="U5">
        <f>IF(U$1="","",SUMIFS(View[Unweighted],View[Close Quarter],U$1,View[Stage],$Q5,View[Visible],1)/1000)</f>
        <v>0</v>
      </c>
      <c r="V5">
        <f>IF(V$1="","",SUMIFS(View[Unweighted],View[Close Quarter],V$1,View[Stage],$Q5,View[Visible],1)/1000)</f>
        <v>1.8540410000000001</v>
      </c>
      <c r="W5">
        <f>IF(W$1="","",SUMIFS(View[Unweighted],View[Close Quarter],W$1,View[Stage],$Q5,View[Visible],1)/1000)</f>
        <v>0.89063199999999998</v>
      </c>
    </row>
    <row r="6" spans="1:40" x14ac:dyDescent="0.25">
      <c r="Q6" t="str">
        <v>➄ - Project Execution</v>
      </c>
      <c r="R6">
        <f>IF(R$1="","",SUMIFS(View[Unweighted],View[Close Quarter],R$1,View[Stage],$Q6,View[Visible],1)/1000)</f>
        <v>0</v>
      </c>
      <c r="S6">
        <f>IF(S$1="","",SUMIFS(View[Unweighted],View[Close Quarter],S$1,View[Stage],$Q6,View[Visible],1)/1000)</f>
        <v>3.7275280000000004</v>
      </c>
      <c r="T6">
        <f>IF(T$1="","",SUMIFS(View[Unweighted],View[Close Quarter],T$1,View[Stage],$Q6,View[Visible],1)/1000)</f>
        <v>3.263757</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40" x14ac:dyDescent="0.25">
      <c r="Q7" t="str">
        <v>➅ - Closeout</v>
      </c>
      <c r="R7">
        <f>IF(R$1="","",SUMIFS(View[Unweighted],View[Close Quarter],R$1,View[Stage],$Q7,View[Visible],1)/1000)</f>
        <v>0</v>
      </c>
      <c r="S7">
        <f>IF(S$1="","",SUMIFS(View[Unweighted],View[Close Quarter],S$1,View[Stage],$Q7,View[Visible],1)/1000)</f>
        <v>1.0522880000000001</v>
      </c>
      <c r="T7">
        <f>IF(T$1="","",SUMIFS(View[Unweighted],View[Close Quarter],T$1,View[Stage],$Q7,View[Visible],1)/1000)</f>
        <v>0</v>
      </c>
      <c r="U7">
        <f>IF(U$1="","",SUMIFS(View[Unweighted],View[Close Quarter],U$1,View[Stage],$Q7,View[Visible],1)/1000)</f>
        <v>0</v>
      </c>
      <c r="V7">
        <f>IF(V$1="","",SUMIFS(View[Unweighted],View[Close Quarter],V$1,View[Stage],$Q7,View[Visible],1)/1000)</f>
        <v>1.8057609999999999</v>
      </c>
      <c r="W7">
        <f>IF(W$1="","",SUMIFS(View[Unweighted],View[Close Quarter],W$1,View[Stage],$Q7,View[Visible],1)/1000)</f>
        <v>3.986812</v>
      </c>
    </row>
    <row r="10" spans="1:40" x14ac:dyDescent="0.25">
      <c r="B10" t="s">
        <v>14</v>
      </c>
      <c r="C10" t="s">
        <v>48</v>
      </c>
      <c r="D10" t="s">
        <v>15</v>
      </c>
    </row>
    <row r="11" spans="1:40" x14ac:dyDescent="0.25">
      <c r="A11" t="str">
        <f>_xlfn.XLOOKUP(B11,stage[Display],stage[Stage Name])</f>
        <v>Lead Qualification</v>
      </c>
      <c r="B11" t="s">
        <v>378</v>
      </c>
      <c r="C11">
        <f>COUNTIFS(View[Stage],B11,View[Visible],1)</f>
        <v>7</v>
      </c>
      <c r="D11" s="21">
        <f>SUMIFS(View[Opp Value],View[Stage],B11,View[Visible],1)/1000</f>
        <v>9.7743970000000004</v>
      </c>
    </row>
    <row r="12" spans="1:40" x14ac:dyDescent="0.25">
      <c r="A12" t="str">
        <f>_xlfn.XLOOKUP(B12,stage[Display],stage[Stage Name])</f>
        <v>Nurturing</v>
      </c>
      <c r="B12" t="s">
        <v>379</v>
      </c>
      <c r="C12">
        <f>COUNTIF(View[Stage],B12)</f>
        <v>7</v>
      </c>
      <c r="D12" s="21">
        <f>SUMIFS(View[Opp Value],View[Stage],B12,View[Visible],1)/1000</f>
        <v>8.4331700000000005</v>
      </c>
    </row>
    <row r="13" spans="1:40" x14ac:dyDescent="0.25">
      <c r="A13" t="str">
        <f>_xlfn.XLOOKUP(B13,stage[Display],stage[Stage Name])</f>
        <v>Proposal</v>
      </c>
      <c r="B13" t="s">
        <v>380</v>
      </c>
      <c r="C13">
        <f>COUNTIF(View[Stage],B13)</f>
        <v>7</v>
      </c>
      <c r="D13" s="21">
        <f>SUMIFS(View[Opp Value],View[Stage],B13,View[Visible],1)/1000</f>
        <v>8.2350109999999983</v>
      </c>
    </row>
    <row r="14" spans="1:40" x14ac:dyDescent="0.25">
      <c r="A14" t="str">
        <f>_xlfn.XLOOKUP(B14,stage[Display],stage[Stage Name])</f>
        <v>Negotiation</v>
      </c>
      <c r="B14" t="s">
        <v>381</v>
      </c>
      <c r="C14">
        <f>COUNTIF(View[Stage],B14)</f>
        <v>7</v>
      </c>
      <c r="D14" s="21">
        <f>SUMIFS(View[Opp Value],View[Stage],B14,View[Visible],1)/1000</f>
        <v>8.8027139999999999</v>
      </c>
    </row>
    <row r="15" spans="1:40" x14ac:dyDescent="0.25">
      <c r="A15" t="str">
        <f>_xlfn.XLOOKUP(B15,stage[Display],stage[Stage Name])</f>
        <v>Project Execution</v>
      </c>
      <c r="B15" t="s">
        <v>382</v>
      </c>
      <c r="C15">
        <f>COUNTIF(View[Stage],B15)</f>
        <v>6</v>
      </c>
      <c r="D15" s="21">
        <f>SUMIFS(View[Opp Value],View[Stage],B15,View[Visible],1)/1000</f>
        <v>7.8173900000000014</v>
      </c>
    </row>
    <row r="16" spans="1:40" x14ac:dyDescent="0.25">
      <c r="A16" t="str">
        <f>_xlfn.XLOOKUP(B16,stage[Display],stage[Stage Name])</f>
        <v>Closeout</v>
      </c>
      <c r="B16" t="s">
        <v>383</v>
      </c>
      <c r="C16">
        <f>COUNTIF(View[Stage],B16)</f>
        <v>6</v>
      </c>
      <c r="D16" s="21">
        <f>SUMIFS(View[Opp Value],View[Stage],B16,View[Visible],1)/1000</f>
        <v>6.8448610000000008</v>
      </c>
    </row>
    <row r="37" spans="47:53" s="37" customFormat="1" ht="52.5" customHeight="1" x14ac:dyDescent="0.25"/>
    <row r="38" spans="47:53" s="37" customFormat="1" ht="52.5" customHeight="1" x14ac:dyDescent="0.25"/>
    <row r="39" spans="47:53" s="37" customFormat="1" ht="52.5" customHeight="1" x14ac:dyDescent="0.25"/>
    <row r="40" spans="47:53" s="37" customFormat="1" ht="52.5" customHeight="1" x14ac:dyDescent="0.25">
      <c r="AU40" s="38"/>
      <c r="AV40" s="38"/>
      <c r="AW40" s="38"/>
      <c r="AX40" s="38"/>
      <c r="AY40" s="38"/>
      <c r="AZ40" s="38"/>
      <c r="BA40" s="38"/>
    </row>
    <row r="41" spans="47:53" s="37" customFormat="1" ht="52.5" customHeight="1" x14ac:dyDescent="0.25">
      <c r="AU41" s="38"/>
      <c r="AV41" s="38"/>
      <c r="AW41" s="38"/>
      <c r="AX41" s="38"/>
      <c r="AY41" s="38"/>
      <c r="AZ41" s="38"/>
      <c r="BA41" s="38"/>
    </row>
    <row r="42" spans="47:53" s="37" customFormat="1" ht="52.5" customHeight="1" x14ac:dyDescent="0.25">
      <c r="AU42" s="38"/>
      <c r="AV42" s="38"/>
      <c r="AW42" s="38"/>
      <c r="AX42" s="38"/>
      <c r="AY42" s="38"/>
      <c r="AZ42" s="38"/>
      <c r="BA42" s="38"/>
    </row>
    <row r="43" spans="47:53" s="37" customFormat="1" ht="52.5" customHeight="1" x14ac:dyDescent="0.25">
      <c r="AU43" s="38"/>
      <c r="AV43" s="38"/>
      <c r="AW43" s="38"/>
      <c r="AX43" s="38"/>
      <c r="AY43" s="38"/>
      <c r="AZ43" s="38"/>
      <c r="BA43" s="38"/>
    </row>
    <row r="44" spans="47:53" s="37" customFormat="1" ht="52.5" customHeight="1" x14ac:dyDescent="0.25">
      <c r="AU44" s="38"/>
      <c r="AV44" s="38"/>
      <c r="AW44" s="38"/>
      <c r="AX44" s="38"/>
      <c r="AY44" s="38"/>
      <c r="AZ44" s="38"/>
      <c r="BA44" s="38"/>
    </row>
    <row r="45" spans="47:53" s="37" customFormat="1" ht="52.5" customHeight="1" x14ac:dyDescent="0.25">
      <c r="AU45" s="38"/>
      <c r="AV45" s="38"/>
      <c r="AW45" s="38"/>
      <c r="AX45" s="38"/>
      <c r="AY45" s="38"/>
      <c r="AZ45" s="38"/>
      <c r="BA45" s="38"/>
    </row>
    <row r="46" spans="47:53" s="37" customFormat="1" ht="52.5" customHeight="1" x14ac:dyDescent="0.25">
      <c r="AU46" s="38"/>
      <c r="AV46" s="38"/>
      <c r="AW46" s="38"/>
      <c r="AX46" s="38"/>
      <c r="AY46" s="38"/>
      <c r="AZ46" s="38"/>
      <c r="BA46" s="38"/>
    </row>
    <row r="47" spans="47:53" s="37" customFormat="1" ht="52.5" customHeight="1" x14ac:dyDescent="0.25">
      <c r="AU47" s="38"/>
      <c r="AV47" s="38"/>
      <c r="AW47" s="38"/>
      <c r="AX47" s="38"/>
      <c r="AY47" s="38"/>
      <c r="AZ47" s="38"/>
      <c r="BA47" s="38"/>
    </row>
    <row r="48" spans="47:53" s="37" customFormat="1" ht="52.5" customHeight="1" x14ac:dyDescent="0.25">
      <c r="AU48" s="38"/>
      <c r="AV48" s="38"/>
      <c r="AW48" s="38"/>
      <c r="AX48" s="38"/>
      <c r="AY48" s="38"/>
      <c r="AZ48" s="38"/>
      <c r="BA48" s="38"/>
    </row>
    <row r="49" spans="47:53" s="37" customFormat="1" ht="52.5" customHeight="1" x14ac:dyDescent="0.25">
      <c r="AU49" s="38"/>
      <c r="AV49" s="38"/>
      <c r="AW49" s="38"/>
      <c r="AX49" s="38"/>
      <c r="AY49" s="38"/>
      <c r="AZ49" s="38"/>
      <c r="BA49" s="3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9" bestFit="1" customWidth="1"/>
    <col min="6" max="12" width="53" style="38" customWidth="1"/>
  </cols>
  <sheetData>
    <row r="1" spans="1:12" x14ac:dyDescent="0.25">
      <c r="A1" s="39" t="str" cm="1">
        <f t="array" ref="A1:A8">_xlfn.VSTACK("Critical",_xlfn._xlws.FILTER(Opportunities[Display],Opportunities[Status]="Critical"),"","At Risk",_xlfn._xlws.FILTER(Opportunities[Display],Opportunities[Status]="At Risk"))</f>
        <v>Critical</v>
      </c>
      <c r="F1" s="40" t="str" cm="1">
        <f t="array" ref="F1:L1">TRANSPOSE(_xlfn.UNIQUE((_xlfn.SORTBY(View[Close Quarter],View[Close],1))))</f>
        <v>FY26-Q1</v>
      </c>
      <c r="G1" s="40" t="str">
        <v>FY26-Q2</v>
      </c>
      <c r="H1" s="40" t="str">
        <v>FY26-Q3</v>
      </c>
      <c r="I1" s="40" t="str">
        <v>FY26-Q4</v>
      </c>
      <c r="J1" s="40" t="str">
        <v>FY27-Q1</v>
      </c>
      <c r="K1" s="40" t="str">
        <v>FY27-Q2</v>
      </c>
      <c r="L1" s="40" t="str">
        <v>FY27-Q3</v>
      </c>
    </row>
    <row r="2" spans="1:12" ht="45" x14ac:dyDescent="0.25">
      <c r="A2" s="39" t="str">
        <v>⮾ Telecommunications Inc
(Marketing Automation Platform)
 $1.2m • Proposal • Owner: Amanda Sales</v>
      </c>
      <c r="F2" s="38" t="str" cm="1">
        <f t="array" ref="F2:F5">_xlfn._xlws.FILTER(Opportunities[Display],Opportunities[Close Quarter]=tables!F1)</f>
        <v>✓ Real Estate Ventures
(Security Assessment &amp; Audit)
 $1.2m • Nurturing • Owner: David Specialist</v>
      </c>
      <c r="G2" s="38" t="str" cm="1">
        <f t="array" ref="G2:G9">_xlfn._xlws.FILTER(Opportunities[Display],Opportunities[Close Quarter]=tables!G1)</f>
        <v>✓ Education First
(Cloud Migration Initiative)
 $1.8m • Nurturing • Owner: Robert Analyst</v>
      </c>
      <c r="H2" s="38" t="str" cm="1">
        <f t="array" ref="H2:H6">_xlfn._xlws.FILTER(Opportunities[Display],Opportunities[Close Quarter]=tables!H1)</f>
        <v>✓ Consulting Experts
(Mobile Application Development)
 $1.1m • Negotiation • Owner: Amanda Sales</v>
      </c>
      <c r="I2" s="38" t="str" cm="1">
        <f t="array" ref="I2:I8">_xlfn._xlws.FILTER(Opportunities[Display],Opportunities[Close Quarter]=tables!I1)</f>
        <v>✓ Agricultural Systems
(ERP Implementation Project)
 $1.5m • Lead Qualification • Owner: Amanda Sales</v>
      </c>
      <c r="J2" s="38" t="str" cm="1">
        <f t="array" ref="J2:J7">_xlfn._xlws.FILTER(Opportunities[Display],Opportunities[Close Quarter]=tables!J1)</f>
        <v>✓ Insurance Specialists
(Cybersecurity Enhancement)
 $1.1m • Project Execution • Owner: Dr. Tech Advisor</v>
      </c>
      <c r="K2" s="38" t="str" cm="1">
        <f t="array" ref="K2:K10">_xlfn._xlws.FILTER(Opportunities[Display],Opportunities[Close Quarter]=tables!K1)</f>
        <v>✓ Food Service Partners
(Healthcare Data Analytics Platform)
 $1.2m • Proposal • Owner: Amanda Sales</v>
      </c>
      <c r="L2" s="38" t="str" cm="1">
        <f t="array" ref="L2">_xlfn._xlws.FILTER(Opportunities[Display],Opportunities[Close Quarter]=tables!L1)</f>
        <v>✓ Construction Dynamics
(Workflow Automation Tool)
 $1.8m • Nurturing • Owner: Amanda Sales</v>
      </c>
    </row>
    <row r="3" spans="1:12" ht="45" x14ac:dyDescent="0.25">
      <c r="A3" s="39" t="str">
        <v/>
      </c>
      <c r="F3" s="38" t="str">
        <v>✓ Transport Logistics
(Point of Sale System)
 $1.1m • Negotiation • Owner: David Specialist</v>
      </c>
      <c r="G3" s="38" t="str">
        <v>✓ Food Service Partners
(Manufacturing Automation System)
 $0.7m • Closeout • Owner: Robert Analyst</v>
      </c>
      <c r="H3" s="38" t="str">
        <v>⚠ Environmental Services
(Quality Management System)
 $0.9m • Proposal • Owner: John Manager</v>
      </c>
      <c r="I3" s="38" t="str">
        <v>✓ Professional Services Group
(Digital Transformation Project)
 $0.8m • Project Execution • Owner: Robert Analyst</v>
      </c>
      <c r="J3" s="38" t="str">
        <v>✓ Global Industries
(E-commerce Platform)
 $1.2m • Negotiation • Owner: Lisa Engineer</v>
      </c>
      <c r="K3" s="38" t="str">
        <v>✓ Media Communications
(Network Infrastructure Upgrade)
 $1.0m • Project Execution • Owner: Dr. Tech Advisor</v>
      </c>
    </row>
    <row r="4" spans="1:12" ht="45" x14ac:dyDescent="0.25">
      <c r="A4" s="39" t="str">
        <v>At Risk</v>
      </c>
      <c r="F4" s="38" t="str">
        <v>✓ ACME Corporation
(Video Conferencing Solution)
 $0.8m • Lead Qualification • Owner: Mike Consultant</v>
      </c>
      <c r="G4" s="38" t="str">
        <v>✓ Professional Services Group
(Business Intelligence Solution)
 $1.0m • Closeout • Owner: Sarah Director</v>
      </c>
      <c r="H4" s="38" t="str">
        <v>✓ Mining Operations
(Compliance Management Tool)
 $1.0m • Nurturing • Owner: Dr. Tech Advisor</v>
      </c>
      <c r="I4" s="38" t="str">
        <v>⚠ Publishing House
(Customer Portal Development)
 $1.3m • Lead Qualification • Owner: Lisa Engineer</v>
      </c>
      <c r="J4" s="38" t="str">
        <v>✓ Global Industries
(Document Management System)
 $1.1m • Lead Qualification • Owner: John Manager</v>
      </c>
      <c r="K4" s="38" t="str">
        <v>⚠ Tech Solutions Inc
(Data Center Consolidation)
 $2.0m • Negotiation • Owner: David Specialist</v>
      </c>
    </row>
    <row r="5" spans="1:12" ht="60" x14ac:dyDescent="0.25">
      <c r="A5" s="39" t="str">
        <v>⚠ Publishing House
(Customer Portal Development)
 $1.3m • Lead Qualification • Owner: Lisa Engineer</v>
      </c>
      <c r="F5" s="38" t="str">
        <v>✓ Waste Management Co
(Environmental Monitoring Solution)
 $0.7m • Nurturing • Owner: Jennifer PM</v>
      </c>
      <c r="G5" s="38" t="str">
        <v>✓ Sports &amp; Recreation
(HR Management System)
 $0.9m • Negotiation • Owner: Maria Coordinator</v>
      </c>
      <c r="H5" s="38" t="str">
        <v>✓ Education First
(Social Media Management Tool)
 $1.8m • Closeout • Owner: Maria Coordinator</v>
      </c>
      <c r="I5" s="38" t="str">
        <v>✓ Construction Dynamics
(Financial Planning Software)
 $2.2m • Lead Qualification • Owner: Dr. Tech Advisor</v>
      </c>
      <c r="J5" s="38" t="str">
        <v>✓ Hotel Management Group
(Supply Chain Optimization)
 $1.7m • Negotiation • Owner: Jennifer PM</v>
      </c>
      <c r="K5" s="38" t="str">
        <v>✓ Security Solutions
(Training &amp; Development Program)
 $1.5m • Project Execution • Owner: Sarah Director</v>
      </c>
    </row>
    <row r="6" spans="1:12" ht="60" x14ac:dyDescent="0.25">
      <c r="A6" s="39" t="str">
        <v>⚠ Tech Solutions Inc
(Data Center Consolidation)
 $2.0m • Negotiation • Owner: David Specialist</v>
      </c>
      <c r="G6" s="38" t="str">
        <v>⮾ Telecommunications Inc
(Marketing Automation Platform)
 $1.2m • Proposal • Owner: Amanda Sales</v>
      </c>
      <c r="H6" s="38" t="str">
        <v>⚠ Pharmaceutical Research
(Fleet Management System)
 $0.8m • Negotiation • Owner: Amanda Sales</v>
      </c>
      <c r="I6" s="38" t="str">
        <v>✓ Transport Logistics
(Inventory Management Solution)
 $1.5m • Proposal • Owner: Sarah Director</v>
      </c>
      <c r="J6" s="38" t="str">
        <v>✓ ACME Corporation
(Customer Service Platform)
 $1.2m • Nurturing • Owner: Maria Coordinator</v>
      </c>
      <c r="K6" s="38" t="str">
        <v>✓ Media Communications
(Project Management Software)
 $1.1m • Closeout • Owner: Amanda Sales</v>
      </c>
    </row>
    <row r="7" spans="1:12" ht="45" x14ac:dyDescent="0.25">
      <c r="A7" s="39" t="str">
        <v>⚠ Environmental Services
(Quality Management System)
 $0.9m • Proposal • Owner: John Manager</v>
      </c>
      <c r="G7" s="38" t="str">
        <v>✓ ACME Corporation
(CRM System Upgrade)
 $1.0m • Closeout • Owner: Jennifer PM</v>
      </c>
      <c r="I7" s="38" t="str">
        <v>✓ Global Industries
(Backup &amp; Recovery System)
 $1.7m • Lead Qualification • Owner: Amanda Sales</v>
      </c>
      <c r="J7" s="38" t="str">
        <v>✓ Tech Solutions Inc
(API Development Project)
 $2.2m • Project Execution • Owner: Jennifer PM</v>
      </c>
      <c r="K7" s="38" t="str">
        <v>✓ ACME Corporation
(Website Redesign Project)
 $1.2m • Lead Qualification • Owner: Lisa Engineer</v>
      </c>
    </row>
    <row r="8" spans="1:12" ht="45" x14ac:dyDescent="0.25">
      <c r="A8" s="39" t="str">
        <v>⚠ Pharmaceutical Research
(Fleet Management System)
 $0.8m • Negotiation • Owner: Amanda Sales</v>
      </c>
      <c r="G8" s="38" t="str">
        <v>✓ Tech Solutions Inc
(Safety Management System)
 $2.0m • Proposal • Owner: Dr. Tech Advisor</v>
      </c>
      <c r="I8" s="38" t="str">
        <v>✓ Chemical Processing
(Performance Analytics Dashboard)
 $0.8m • Nurturing • Owner: Maria Coordinator</v>
      </c>
      <c r="K8" s="38" t="str">
        <v>✓ ACME Corporation
(Integration Services Project)
 $1.2m • Project Execution • Owner: Amanda Sales</v>
      </c>
    </row>
    <row r="9" spans="1:12" ht="60" x14ac:dyDescent="0.25">
      <c r="G9" s="38" t="str">
        <v>✓ Automotive Parts Plus
(Database Migration Project)
 $1.2m • Closeout • Owner: Lisa Engineer</v>
      </c>
      <c r="K9" s="38" t="str">
        <v>✓ Textile Manufacturing
(Legacy System Modernization)
 $0.9m • Proposal • Owner: Lisa Engineer</v>
      </c>
    </row>
    <row r="10" spans="1:12" ht="45" x14ac:dyDescent="0.25">
      <c r="K10" s="38" t="str">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Pipeline</vt:lpstr>
      <vt:lpstr>Roadmap</vt:lpstr>
      <vt:lpstr>Contacts</vt:lpstr>
      <vt:lpstr>Milestones</vt:lpstr>
      <vt:lpstr>Settings</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2025-08-12T20:56:30Z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