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98118700-FF4D-4F11-88BF-43994300A263}"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Settings!$E$12</definedName>
    <definedName name="custList">Settings!$E$10</definedName>
    <definedName name="custListAppend">Settings!$D$10</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Settings!$E$9</definedName>
    <definedName name="oppList">Settings!$E$11</definedName>
    <definedName name="oppListAppend">Settings!$D$11</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Settings!$E$8</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6" l="1"/>
  <c r="A5" i="6"/>
  <c r="A4" i="6"/>
  <c r="A3" i="6"/>
  <c r="A2" i="6"/>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D10" i="4"/>
  <c r="D42"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I8" i="4"/>
  <c r="I9" i="4"/>
  <c r="I10" i="4"/>
  <c r="R10" i="4" s="1"/>
  <c r="I11" i="4"/>
  <c r="I12" i="4"/>
  <c r="I13" i="4"/>
  <c r="I14" i="4"/>
  <c r="R14" i="4" s="1"/>
  <c r="I15" i="4"/>
  <c r="I16" i="4"/>
  <c r="I17" i="4"/>
  <c r="I18" i="4"/>
  <c r="R18" i="4" s="1"/>
  <c r="I19" i="4"/>
  <c r="I20" i="4"/>
  <c r="I21" i="4"/>
  <c r="I22" i="4"/>
  <c r="R22" i="4" s="1"/>
  <c r="I23" i="4"/>
  <c r="I24" i="4"/>
  <c r="I25" i="4"/>
  <c r="I26" i="4"/>
  <c r="R26" i="4" s="1"/>
  <c r="I27" i="4"/>
  <c r="I28" i="4"/>
  <c r="I29" i="4"/>
  <c r="I30" i="4"/>
  <c r="R30" i="4" s="1"/>
  <c r="I31" i="4"/>
  <c r="I32" i="4"/>
  <c r="I33" i="4"/>
  <c r="I34" i="4"/>
  <c r="R34" i="4" s="1"/>
  <c r="I35" i="4"/>
  <c r="I36" i="4"/>
  <c r="I37" i="4"/>
  <c r="I38" i="4"/>
  <c r="R38" i="4" s="1"/>
  <c r="I39" i="4"/>
  <c r="I40" i="4"/>
  <c r="I41" i="4"/>
  <c r="I42" i="4"/>
  <c r="R42" i="4" s="1"/>
  <c r="I43" i="4"/>
  <c r="I44" i="4"/>
  <c r="I45" i="4"/>
  <c r="I46" i="4"/>
  <c r="R46" i="4" s="1"/>
  <c r="I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R8" i="4"/>
  <c r="R9" i="4"/>
  <c r="R11" i="4"/>
  <c r="R12" i="4"/>
  <c r="R13" i="4"/>
  <c r="R15" i="4"/>
  <c r="R16" i="4"/>
  <c r="R17" i="4"/>
  <c r="R19" i="4"/>
  <c r="R20" i="4"/>
  <c r="R21" i="4"/>
  <c r="R23" i="4"/>
  <c r="R24" i="4"/>
  <c r="R25" i="4"/>
  <c r="R27" i="4"/>
  <c r="R28" i="4"/>
  <c r="R29" i="4"/>
  <c r="R31" i="4"/>
  <c r="R32" i="4"/>
  <c r="R33" i="4"/>
  <c r="R35" i="4"/>
  <c r="R36" i="4"/>
  <c r="R37" i="4"/>
  <c r="R39" i="4"/>
  <c r="R40" i="4"/>
  <c r="R41" i="4"/>
  <c r="R43" i="4"/>
  <c r="R44" i="4"/>
  <c r="R45" i="4"/>
  <c r="R47" i="4"/>
  <c r="S10" i="4"/>
  <c r="S42"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G27" i="4" s="1"/>
  <c r="Q3" i="3"/>
  <c r="G44" i="4" s="1"/>
  <c r="Q4" i="3"/>
  <c r="G42" i="4" s="1"/>
  <c r="Q5" i="3"/>
  <c r="G9" i="4" s="1"/>
  <c r="Q6" i="3"/>
  <c r="G37" i="4" s="1"/>
  <c r="Q7" i="3"/>
  <c r="G13" i="4" s="1"/>
  <c r="Q8" i="3"/>
  <c r="G36" i="4" s="1"/>
  <c r="Q9" i="3"/>
  <c r="G12" i="4" s="1"/>
  <c r="Q10" i="3"/>
  <c r="G19" i="4" s="1"/>
  <c r="Q11" i="3"/>
  <c r="G11" i="4" s="1"/>
  <c r="Q12" i="3"/>
  <c r="G18" i="4" s="1"/>
  <c r="Q13" i="3"/>
  <c r="G20" i="4" s="1"/>
  <c r="Q14" i="3"/>
  <c r="G17" i="4" s="1"/>
  <c r="Q15" i="3"/>
  <c r="G33" i="4" s="1"/>
  <c r="Q16" i="3"/>
  <c r="G8" i="4" s="1"/>
  <c r="Q17" i="3"/>
  <c r="G23" i="4" s="1"/>
  <c r="Q18" i="3"/>
  <c r="G29" i="4" s="1"/>
  <c r="Q19" i="3"/>
  <c r="G30" i="4" s="1"/>
  <c r="Q20" i="3"/>
  <c r="G10" i="4" s="1"/>
  <c r="Q21" i="3"/>
  <c r="G25" i="4" s="1"/>
  <c r="Q22" i="3"/>
  <c r="G46" i="4" s="1"/>
  <c r="Q23" i="3"/>
  <c r="G40" i="4" s="1"/>
  <c r="Q24" i="3"/>
  <c r="G14" i="4" s="1"/>
  <c r="Q25" i="3"/>
  <c r="G28" i="4" s="1"/>
  <c r="Q26" i="3"/>
  <c r="G26" i="4" s="1"/>
  <c r="Q27" i="3"/>
  <c r="G34" i="4" s="1"/>
  <c r="Q28" i="3"/>
  <c r="G21" i="4" s="1"/>
  <c r="Q29" i="3"/>
  <c r="G41" i="4" s="1"/>
  <c r="Q30" i="3"/>
  <c r="G32" i="4" s="1"/>
  <c r="Q31" i="3"/>
  <c r="G22" i="4" s="1"/>
  <c r="Q32" i="3"/>
  <c r="G31" i="4" s="1"/>
  <c r="Q33" i="3"/>
  <c r="G35" i="4" s="1"/>
  <c r="Q34" i="3"/>
  <c r="G47" i="4" s="1"/>
  <c r="Q35" i="3"/>
  <c r="G24" i="4" s="1"/>
  <c r="Q36" i="3"/>
  <c r="G39" i="4" s="1"/>
  <c r="Q37" i="3"/>
  <c r="G45" i="4" s="1"/>
  <c r="Q38" i="3"/>
  <c r="G15" i="4" s="1"/>
  <c r="Q39" i="3"/>
  <c r="G38" i="4" s="1"/>
  <c r="Q40" i="3"/>
  <c r="G16" i="4" s="1"/>
  <c r="Q41" i="3"/>
  <c r="G43" i="4" s="1"/>
  <c r="R2" i="3"/>
  <c r="P27" i="4" s="1"/>
  <c r="J27" i="4" s="1"/>
  <c r="R3" i="3"/>
  <c r="P44" i="4" s="1"/>
  <c r="J44" i="4" s="1"/>
  <c r="R4" i="3"/>
  <c r="P42" i="4" s="1"/>
  <c r="J42" i="4" s="1"/>
  <c r="R5" i="3"/>
  <c r="P9" i="4" s="1"/>
  <c r="J9" i="4" s="1"/>
  <c r="R6" i="3"/>
  <c r="P37" i="4" s="1"/>
  <c r="J37" i="4" s="1"/>
  <c r="R7" i="3"/>
  <c r="P13" i="4" s="1"/>
  <c r="J13" i="4" s="1"/>
  <c r="R8" i="3"/>
  <c r="P36" i="4" s="1"/>
  <c r="J36" i="4" s="1"/>
  <c r="R9" i="3"/>
  <c r="P12" i="4" s="1"/>
  <c r="J12" i="4" s="1"/>
  <c r="R10" i="3"/>
  <c r="P19" i="4" s="1"/>
  <c r="J19" i="4" s="1"/>
  <c r="R11" i="3"/>
  <c r="P11" i="4" s="1"/>
  <c r="J11" i="4" s="1"/>
  <c r="R12" i="3"/>
  <c r="P18" i="4" s="1"/>
  <c r="J18" i="4" s="1"/>
  <c r="R13" i="3"/>
  <c r="P20" i="4" s="1"/>
  <c r="J20" i="4" s="1"/>
  <c r="R14" i="3"/>
  <c r="P17" i="4" s="1"/>
  <c r="J17" i="4" s="1"/>
  <c r="R15" i="3"/>
  <c r="P33" i="4" s="1"/>
  <c r="J33" i="4" s="1"/>
  <c r="R16" i="3"/>
  <c r="P8" i="4" s="1"/>
  <c r="J8" i="4" s="1"/>
  <c r="R17" i="3"/>
  <c r="P23" i="4" s="1"/>
  <c r="J23" i="4" s="1"/>
  <c r="R18" i="3"/>
  <c r="P29" i="4" s="1"/>
  <c r="J29" i="4" s="1"/>
  <c r="R19" i="3"/>
  <c r="P30" i="4" s="1"/>
  <c r="J30" i="4" s="1"/>
  <c r="R20" i="3"/>
  <c r="P10" i="4" s="1"/>
  <c r="J10" i="4" s="1"/>
  <c r="R21" i="3"/>
  <c r="P25" i="4" s="1"/>
  <c r="J25" i="4" s="1"/>
  <c r="R22" i="3"/>
  <c r="P46" i="4" s="1"/>
  <c r="J46" i="4" s="1"/>
  <c r="R23" i="3"/>
  <c r="P40" i="4" s="1"/>
  <c r="J40" i="4" s="1"/>
  <c r="R24" i="3"/>
  <c r="P14" i="4" s="1"/>
  <c r="J14" i="4" s="1"/>
  <c r="R25" i="3"/>
  <c r="P28" i="4" s="1"/>
  <c r="J28" i="4" s="1"/>
  <c r="R26" i="3"/>
  <c r="P26" i="4" s="1"/>
  <c r="J26" i="4" s="1"/>
  <c r="R27" i="3"/>
  <c r="P34" i="4" s="1"/>
  <c r="J34" i="4" s="1"/>
  <c r="R28" i="3"/>
  <c r="P21" i="4" s="1"/>
  <c r="J21" i="4" s="1"/>
  <c r="R29" i="3"/>
  <c r="P41" i="4" s="1"/>
  <c r="J41" i="4" s="1"/>
  <c r="R30" i="3"/>
  <c r="P32" i="4" s="1"/>
  <c r="J32" i="4" s="1"/>
  <c r="R31" i="3"/>
  <c r="P22" i="4" s="1"/>
  <c r="J22" i="4" s="1"/>
  <c r="R32" i="3"/>
  <c r="P31" i="4" s="1"/>
  <c r="J31" i="4" s="1"/>
  <c r="R33" i="3"/>
  <c r="P35" i="4" s="1"/>
  <c r="J35" i="4" s="1"/>
  <c r="R34" i="3"/>
  <c r="P47" i="4" s="1"/>
  <c r="J47" i="4" s="1"/>
  <c r="R35" i="3"/>
  <c r="P24" i="4" s="1"/>
  <c r="J24" i="4" s="1"/>
  <c r="R36" i="3"/>
  <c r="P39" i="4" s="1"/>
  <c r="J39" i="4" s="1"/>
  <c r="R37" i="3"/>
  <c r="P45" i="4" s="1"/>
  <c r="J45" i="4" s="1"/>
  <c r="R38" i="3"/>
  <c r="P15" i="4" s="1"/>
  <c r="J15" i="4" s="1"/>
  <c r="R39" i="3"/>
  <c r="P38" i="4" s="1"/>
  <c r="J38" i="4" s="1"/>
  <c r="R40" i="3"/>
  <c r="P16" i="4" s="1"/>
  <c r="J16" i="4" s="1"/>
  <c r="R41" i="3"/>
  <c r="P43" i="4" s="1"/>
  <c r="J43" i="4" s="1"/>
  <c r="S2" i="3" a="1"/>
  <c r="S2" i="3" s="1"/>
  <c r="D27" i="4" s="1"/>
  <c r="S27" i="4" s="1"/>
  <c r="S3" i="3" a="1"/>
  <c r="S3" i="3"/>
  <c r="D44" i="4" s="1"/>
  <c r="S44" i="4" s="1"/>
  <c r="S4" i="3" a="1"/>
  <c r="S4" i="3" s="1"/>
  <c r="S5" i="3" a="1"/>
  <c r="S5" i="3"/>
  <c r="D9" i="4" s="1"/>
  <c r="S9" i="4" s="1"/>
  <c r="S6" i="3" a="1"/>
  <c r="S6" i="3" s="1"/>
  <c r="D37" i="4" s="1"/>
  <c r="S37" i="4" s="1"/>
  <c r="S7" i="3" a="1"/>
  <c r="S7" i="3" s="1"/>
  <c r="D13" i="4" s="1"/>
  <c r="S13" i="4" s="1"/>
  <c r="S8" i="3" a="1"/>
  <c r="S8" i="3" s="1"/>
  <c r="D36" i="4" s="1"/>
  <c r="S36" i="4" s="1"/>
  <c r="S9" i="3" a="1"/>
  <c r="S9" i="3" s="1"/>
  <c r="D12" i="4" s="1"/>
  <c r="S12" i="4" s="1"/>
  <c r="S10" i="3" a="1"/>
  <c r="S10" i="3" s="1"/>
  <c r="D19" i="4" s="1"/>
  <c r="S19" i="4" s="1"/>
  <c r="S11" i="3" a="1"/>
  <c r="S11" i="3"/>
  <c r="D11" i="4" s="1"/>
  <c r="S11" i="4" s="1"/>
  <c r="S12" i="3" a="1"/>
  <c r="S12" i="3" s="1"/>
  <c r="D18" i="4" s="1"/>
  <c r="S18" i="4" s="1"/>
  <c r="S13" i="3" a="1"/>
  <c r="S13" i="3" s="1"/>
  <c r="S14" i="3" a="1"/>
  <c r="S14" i="3" s="1"/>
  <c r="D17" i="4" s="1"/>
  <c r="S17" i="4" s="1"/>
  <c r="S15" i="3" a="1"/>
  <c r="S15" i="3" s="1"/>
  <c r="D33" i="4" s="1"/>
  <c r="S33" i="4" s="1"/>
  <c r="S16" i="3" a="1"/>
  <c r="S16" i="3" s="1"/>
  <c r="D8" i="4" s="1"/>
  <c r="S8" i="4" s="1"/>
  <c r="S17" i="3" a="1"/>
  <c r="S17" i="3" s="1"/>
  <c r="D23" i="4" s="1"/>
  <c r="S23" i="4" s="1"/>
  <c r="S18" i="3" a="1"/>
  <c r="S18" i="3" s="1"/>
  <c r="D29" i="4" s="1"/>
  <c r="S29" i="4" s="1"/>
  <c r="S19" i="3" a="1"/>
  <c r="S19" i="3"/>
  <c r="S20" i="3" a="1"/>
  <c r="S20" i="3" s="1"/>
  <c r="S21" i="3" a="1"/>
  <c r="S21" i="3"/>
  <c r="S22" i="3" a="1"/>
  <c r="S22" i="3" s="1"/>
  <c r="D46" i="4" s="1"/>
  <c r="S46" i="4" s="1"/>
  <c r="S23" i="3" a="1"/>
  <c r="S23" i="3" s="1"/>
  <c r="S24" i="3" a="1"/>
  <c r="S24" i="3" s="1"/>
  <c r="D14" i="4" s="1"/>
  <c r="S14" i="4" s="1"/>
  <c r="S25" i="3" a="1"/>
  <c r="S25" i="3" s="1"/>
  <c r="D28" i="4" s="1"/>
  <c r="S28" i="4" s="1"/>
  <c r="S26" i="3" a="1"/>
  <c r="S26" i="3" s="1"/>
  <c r="D26" i="4" s="1"/>
  <c r="S26" i="4" s="1"/>
  <c r="S27" i="3" a="1"/>
  <c r="S27" i="3"/>
  <c r="D34" i="4" s="1"/>
  <c r="S34" i="4" s="1"/>
  <c r="S28" i="3" a="1"/>
  <c r="S28" i="3" s="1"/>
  <c r="D21" i="4" s="1"/>
  <c r="S21" i="4" s="1"/>
  <c r="S29" i="3" a="1"/>
  <c r="S29" i="3" s="1"/>
  <c r="S30" i="3" a="1"/>
  <c r="S30" i="3" s="1"/>
  <c r="D32" i="4" s="1"/>
  <c r="S32" i="4" s="1"/>
  <c r="S31" i="3" a="1"/>
  <c r="S31" i="3" s="1"/>
  <c r="D22" i="4" s="1"/>
  <c r="S22" i="4" s="1"/>
  <c r="S32" i="3" a="1"/>
  <c r="S32" i="3" s="1"/>
  <c r="D31" i="4" s="1"/>
  <c r="S31" i="4" s="1"/>
  <c r="S33" i="3" a="1"/>
  <c r="S33" i="3" s="1"/>
  <c r="D35" i="4" s="1"/>
  <c r="S35" i="4" s="1"/>
  <c r="S34" i="3" a="1"/>
  <c r="S34" i="3" s="1"/>
  <c r="D47" i="4" s="1"/>
  <c r="S47" i="4" s="1"/>
  <c r="S35" i="3" a="1"/>
  <c r="S35" i="3"/>
  <c r="D24" i="4" s="1"/>
  <c r="S24" i="4" s="1"/>
  <c r="S36" i="3" a="1"/>
  <c r="S36" i="3" s="1"/>
  <c r="D39" i="4" s="1"/>
  <c r="S39" i="4" s="1"/>
  <c r="S37" i="3" a="1"/>
  <c r="S37" i="3"/>
  <c r="S38" i="3" a="1"/>
  <c r="S38" i="3" s="1"/>
  <c r="D15" i="4" s="1"/>
  <c r="S15" i="4" s="1"/>
  <c r="S39" i="3" a="1"/>
  <c r="S39" i="3" s="1"/>
  <c r="D38" i="4" s="1"/>
  <c r="S38" i="4" s="1"/>
  <c r="S40" i="3" a="1"/>
  <c r="S40" i="3" s="1"/>
  <c r="D16" i="4" s="1"/>
  <c r="S16" i="4" s="1"/>
  <c r="S41" i="3" a="1"/>
  <c r="S41" i="3" s="1"/>
  <c r="D43" i="4" s="1"/>
  <c r="S43" i="4" s="1"/>
  <c r="T2" i="3"/>
  <c r="T3" i="3"/>
  <c r="T4" i="3"/>
  <c r="T5" i="3"/>
  <c r="W5" i="3" s="1"/>
  <c r="T6" i="3"/>
  <c r="T7" i="3"/>
  <c r="T8" i="3"/>
  <c r="T9" i="3"/>
  <c r="T10" i="3"/>
  <c r="T11" i="3"/>
  <c r="T12" i="3"/>
  <c r="T13" i="3"/>
  <c r="T14" i="3"/>
  <c r="T15" i="3"/>
  <c r="T16" i="3"/>
  <c r="T17" i="3"/>
  <c r="T18" i="3"/>
  <c r="T19" i="3"/>
  <c r="T20" i="3"/>
  <c r="T21" i="3"/>
  <c r="W21" i="3" s="1"/>
  <c r="T22" i="3"/>
  <c r="T23" i="3"/>
  <c r="T24" i="3"/>
  <c r="T25" i="3"/>
  <c r="T26" i="3"/>
  <c r="T27" i="3"/>
  <c r="T28" i="3"/>
  <c r="T29" i="3"/>
  <c r="T30" i="3"/>
  <c r="T31" i="3"/>
  <c r="T32" i="3"/>
  <c r="T33" i="3"/>
  <c r="T34" i="3"/>
  <c r="T35" i="3"/>
  <c r="T36" i="3"/>
  <c r="T37" i="3"/>
  <c r="W37" i="3" s="1"/>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H10" i="6" a="1"/>
  <c r="H10" i="6" s="1"/>
  <c r="H9" i="6" a="1"/>
  <c r="H9" i="6" s="1"/>
  <c r="H3" i="6" a="1"/>
  <c r="H3" i="6" s="1"/>
  <c r="H6" i="6" a="1"/>
  <c r="H6" i="6" s="1"/>
  <c r="H5" i="6" a="1"/>
  <c r="H5" i="6" s="1"/>
  <c r="H4" i="6" a="1"/>
  <c r="H4" i="6" s="1"/>
  <c r="L2" i="6"/>
  <c r="L3" i="6"/>
  <c r="L4" i="6"/>
  <c r="L5" i="6"/>
  <c r="L6" i="6"/>
  <c r="L7" i="6"/>
  <c r="E10" i="6"/>
  <c r="L2" i="2" s="1"/>
  <c r="N2" i="2" s="1"/>
  <c r="E11" i="6"/>
  <c r="E14" i="4" s="1"/>
  <c r="E18" i="4" l="1"/>
  <c r="O12" i="3"/>
  <c r="F18" i="4" s="1"/>
  <c r="E34" i="4"/>
  <c r="O24" i="3"/>
  <c r="F14" i="4" s="1"/>
  <c r="O40" i="3"/>
  <c r="F16" i="4" s="1"/>
  <c r="L26" i="2"/>
  <c r="N26" i="2" s="1"/>
  <c r="O32" i="3"/>
  <c r="F31" i="4" s="1"/>
  <c r="L10" i="2"/>
  <c r="N10" i="2" s="1"/>
  <c r="V29" i="3"/>
  <c r="D41" i="4"/>
  <c r="S41" i="4" s="1"/>
  <c r="D20" i="4"/>
  <c r="S20" i="4" s="1"/>
  <c r="V13" i="3" s="1"/>
  <c r="W29" i="3"/>
  <c r="W13" i="3"/>
  <c r="V37" i="3"/>
  <c r="D45" i="4"/>
  <c r="S45" i="4" s="1"/>
  <c r="D25" i="4"/>
  <c r="S25" i="4" s="1"/>
  <c r="V21" i="3" s="1"/>
  <c r="O39" i="3"/>
  <c r="F38" i="4" s="1"/>
  <c r="O31" i="3"/>
  <c r="F22" i="4" s="1"/>
  <c r="O23" i="3"/>
  <c r="F40" i="4" s="1"/>
  <c r="O8" i="3"/>
  <c r="F36" i="4" s="1"/>
  <c r="E46" i="4"/>
  <c r="E30" i="4"/>
  <c r="L22" i="2"/>
  <c r="N22" i="2" s="1"/>
  <c r="L6" i="2"/>
  <c r="N6" i="2" s="1"/>
  <c r="E11" i="4"/>
  <c r="E15" i="4"/>
  <c r="E19" i="4"/>
  <c r="E23" i="4"/>
  <c r="E27" i="4"/>
  <c r="E31" i="4"/>
  <c r="E35" i="4"/>
  <c r="E39" i="4"/>
  <c r="E43" i="4"/>
  <c r="E47" i="4"/>
  <c r="O5" i="3"/>
  <c r="F9" i="4" s="1"/>
  <c r="O9" i="3"/>
  <c r="F12" i="4" s="1"/>
  <c r="O13" i="3"/>
  <c r="F20" i="4" s="1"/>
  <c r="O17" i="3"/>
  <c r="F23" i="4" s="1"/>
  <c r="O21" i="3"/>
  <c r="F25" i="4" s="1"/>
  <c r="O25" i="3"/>
  <c r="F28" i="4" s="1"/>
  <c r="O29" i="3"/>
  <c r="F41" i="4" s="1"/>
  <c r="O33" i="3"/>
  <c r="F35" i="4" s="1"/>
  <c r="O37" i="3"/>
  <c r="F45" i="4" s="1"/>
  <c r="E8" i="4"/>
  <c r="E12" i="4"/>
  <c r="E16" i="4"/>
  <c r="E20" i="4"/>
  <c r="E24" i="4"/>
  <c r="E28" i="4"/>
  <c r="E32" i="4"/>
  <c r="E36" i="4"/>
  <c r="E40" i="4"/>
  <c r="E44" i="4"/>
  <c r="O2" i="3"/>
  <c r="F27" i="4" s="1"/>
  <c r="O6" i="3"/>
  <c r="F37" i="4" s="1"/>
  <c r="O10" i="3"/>
  <c r="F19" i="4" s="1"/>
  <c r="O14" i="3"/>
  <c r="F17" i="4" s="1"/>
  <c r="O18" i="3"/>
  <c r="F29" i="4" s="1"/>
  <c r="O22" i="3"/>
  <c r="F46" i="4" s="1"/>
  <c r="O26" i="3"/>
  <c r="F26" i="4" s="1"/>
  <c r="O30" i="3"/>
  <c r="F32" i="4" s="1"/>
  <c r="O34" i="3"/>
  <c r="F47" i="4" s="1"/>
  <c r="O38" i="3"/>
  <c r="F15" i="4" s="1"/>
  <c r="E9" i="4"/>
  <c r="E13" i="4"/>
  <c r="E17" i="4"/>
  <c r="E21" i="4"/>
  <c r="E25" i="4"/>
  <c r="E29" i="4"/>
  <c r="E33" i="4"/>
  <c r="E37" i="4"/>
  <c r="E41" i="4"/>
  <c r="E45" i="4"/>
  <c r="O3" i="3"/>
  <c r="F44" i="4" s="1"/>
  <c r="O7" i="3"/>
  <c r="F13" i="4" s="1"/>
  <c r="O11" i="3"/>
  <c r="F11" i="4" s="1"/>
  <c r="O15" i="3"/>
  <c r="F33" i="4" s="1"/>
  <c r="O19" i="3"/>
  <c r="F30" i="4" s="1"/>
  <c r="O36" i="3"/>
  <c r="F39" i="4" s="1"/>
  <c r="O28" i="3"/>
  <c r="F21" i="4" s="1"/>
  <c r="O20" i="3"/>
  <c r="F10" i="4" s="1"/>
  <c r="O4" i="3"/>
  <c r="F42" i="4" s="1"/>
  <c r="E42" i="4"/>
  <c r="E26" i="4"/>
  <c r="E10" i="4"/>
  <c r="L18" i="2"/>
  <c r="N18" i="2" s="1"/>
  <c r="C10" i="6"/>
  <c r="L3" i="2"/>
  <c r="N3" i="2" s="1"/>
  <c r="L7" i="2"/>
  <c r="N7" i="2" s="1"/>
  <c r="L11" i="2"/>
  <c r="N11" i="2" s="1"/>
  <c r="L15" i="2"/>
  <c r="N15" i="2" s="1"/>
  <c r="L19" i="2"/>
  <c r="N19" i="2" s="1"/>
  <c r="L23" i="2"/>
  <c r="N23" i="2" s="1"/>
  <c r="L27" i="2"/>
  <c r="N27" i="2" s="1"/>
  <c r="L31" i="2"/>
  <c r="N31" i="2" s="1"/>
  <c r="L4" i="2"/>
  <c r="N4" i="2" s="1"/>
  <c r="L8" i="2"/>
  <c r="N8" i="2" s="1"/>
  <c r="L12" i="2"/>
  <c r="N12" i="2" s="1"/>
  <c r="L16" i="2"/>
  <c r="N16" i="2" s="1"/>
  <c r="L20" i="2"/>
  <c r="N20" i="2" s="1"/>
  <c r="L24" i="2"/>
  <c r="N24" i="2" s="1"/>
  <c r="L28" i="2"/>
  <c r="N28" i="2" s="1"/>
  <c r="L5" i="2"/>
  <c r="N5" i="2" s="1"/>
  <c r="L9" i="2"/>
  <c r="N9" i="2" s="1"/>
  <c r="L13" i="2"/>
  <c r="N13" i="2" s="1"/>
  <c r="L17" i="2"/>
  <c r="N17" i="2" s="1"/>
  <c r="L21" i="2"/>
  <c r="N21" i="2" s="1"/>
  <c r="L25" i="2"/>
  <c r="N25" i="2" s="1"/>
  <c r="L29" i="2"/>
  <c r="N29" i="2" s="1"/>
  <c r="D40" i="4"/>
  <c r="S40" i="4" s="1"/>
  <c r="V23" i="3" s="1"/>
  <c r="O41" i="3"/>
  <c r="F43" i="4" s="1"/>
  <c r="O35" i="3"/>
  <c r="F24" i="4" s="1"/>
  <c r="O27" i="3"/>
  <c r="F34" i="4" s="1"/>
  <c r="O16" i="3"/>
  <c r="F8" i="4" s="1"/>
  <c r="E38" i="4"/>
  <c r="E22" i="4"/>
  <c r="D30" i="4"/>
  <c r="S30" i="4" s="1"/>
  <c r="V19" i="3" s="1"/>
  <c r="L30" i="2"/>
  <c r="N30" i="2" s="1"/>
  <c r="L14" i="2"/>
  <c r="N14" i="2" s="1"/>
  <c r="W31" i="3"/>
  <c r="W15" i="3"/>
  <c r="W30" i="3"/>
  <c r="W14" i="3"/>
  <c r="W39" i="3"/>
  <c r="W7" i="3"/>
  <c r="W38" i="3"/>
  <c r="W35" i="3"/>
  <c r="W22" i="3"/>
  <c r="W6" i="3"/>
  <c r="V27" i="3"/>
  <c r="V11" i="3"/>
  <c r="V33" i="3"/>
  <c r="W33" i="3"/>
  <c r="W25" i="3"/>
  <c r="V25" i="3"/>
  <c r="V17" i="3"/>
  <c r="W17" i="3"/>
  <c r="V41" i="3"/>
  <c r="W41" i="3"/>
  <c r="W9" i="3"/>
  <c r="V9" i="3"/>
  <c r="W36" i="3"/>
  <c r="W28" i="3"/>
  <c r="W20" i="3"/>
  <c r="W12" i="3"/>
  <c r="W4" i="3"/>
  <c r="W3" i="3"/>
  <c r="W40" i="3"/>
  <c r="W32" i="3"/>
  <c r="W24" i="3"/>
  <c r="W16" i="3"/>
  <c r="W8" i="3"/>
  <c r="W34" i="3"/>
  <c r="W26" i="3"/>
  <c r="W18" i="3"/>
  <c r="W10" i="3"/>
  <c r="W2" i="3"/>
  <c r="V31" i="3"/>
  <c r="V7" i="3"/>
  <c r="V15" i="3"/>
  <c r="W27" i="3"/>
  <c r="W23" i="3"/>
  <c r="W19" i="3"/>
  <c r="W11" i="3"/>
  <c r="V12" i="3"/>
  <c r="V4" i="3"/>
  <c r="V38" i="3"/>
  <c r="V30" i="3"/>
  <c r="V22" i="3"/>
  <c r="V14" i="3"/>
  <c r="V6" i="3"/>
  <c r="V36" i="3"/>
  <c r="V28" i="3"/>
  <c r="V20" i="3"/>
  <c r="V40" i="3"/>
  <c r="V32" i="3"/>
  <c r="V24" i="3"/>
  <c r="V16" i="3"/>
  <c r="V8" i="3"/>
  <c r="V34" i="3"/>
  <c r="V26" i="3"/>
  <c r="V18" i="3"/>
  <c r="V10" i="3"/>
  <c r="V2" i="3"/>
  <c r="V5" i="3"/>
  <c r="V39" i="3"/>
  <c r="V3" i="3"/>
  <c r="V35" i="3"/>
  <c r="F1" i="9" a="1"/>
  <c r="A16" i="5"/>
  <c r="A13" i="5"/>
  <c r="A14" i="5"/>
  <c r="A11" i="5"/>
  <c r="A15" i="5"/>
  <c r="A12" i="5"/>
  <c r="C11" i="6"/>
  <c r="L4" i="4"/>
  <c r="L3" i="4"/>
  <c r="Q2" i="5" a="1"/>
  <c r="Q2" i="5" s="1"/>
  <c r="J2" i="9" l="1" a="1"/>
  <c r="J2" i="9" s="1"/>
  <c r="A1" i="9" a="1"/>
  <c r="A1" i="9" s="1"/>
  <c r="K2" i="9" a="1"/>
  <c r="K2" i="9" s="1"/>
  <c r="H2" i="9" a="1"/>
  <c r="H2" i="9" s="1"/>
  <c r="F1" i="9"/>
  <c r="F2" i="9" s="1" a="1"/>
  <c r="F2" i="9" s="1"/>
  <c r="I2" i="9" a="1"/>
  <c r="I2" i="9" s="1"/>
  <c r="G2" i="9" a="1"/>
  <c r="G2" i="9" s="1"/>
  <c r="L2" i="9" a="1"/>
  <c r="L2" i="9" s="1"/>
  <c r="AH1" i="5" a="1"/>
  <c r="AH1" i="5" s="1"/>
  <c r="R1" i="5" a="1"/>
  <c r="S7" i="5" s="1"/>
  <c r="I1" i="5" a="1"/>
  <c r="L4" i="5" s="1"/>
  <c r="R1" i="5" l="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 ref="I8" authorId="0" shapeId="0" xr:uid="{3906EC45-E773-418C-837A-59D5F8420F55}">
      <text>
        <r>
          <rPr>
            <b/>
            <sz val="9"/>
            <color indexed="81"/>
            <rFont val="Tahoma"/>
            <family val="2"/>
          </rPr>
          <t>Paul:</t>
        </r>
        <r>
          <rPr>
            <sz val="9"/>
            <color indexed="81"/>
            <rFont val="Tahoma"/>
            <family val="2"/>
          </rPr>
          <t xml:space="preserve">
Icons and/or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<sst xmlns="http://schemas.openxmlformats.org/spreadsheetml/2006/main" count="688" uniqueCount="437">
  <si>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</si>
  <si>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</si>
  <si>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</si>
  <si>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</si>
  <si>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</si>
  <si>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</si>
  <si>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</si>
  <si>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</si>
  <si>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</si>
  <si>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</si>
  <si>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</si>
  <si>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</si>
  <si>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</si>
  <si>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</si>
  <si>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</si>
  <si>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</si>
  <si>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</si>
  <si>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</si>
  <si>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</si>
  <si>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</si>
  <si>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</si>
  <si>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</si>
  <si>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</si>
  <si>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</si>
  <si>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</si>
  <si>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</si>
  <si>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</si>
  <si>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</si>
  <si>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</si>
  <si>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</si>
  <si>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</si>
  <si>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</si>
  <si>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</si>
  <si>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</si>
  <si>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</si>
  <si>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</si>
  <si>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</si>
  <si>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</si>
  <si>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</si>
  <si>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</si>
  <si>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</si>
  <si>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</si>
  <si>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</si>
  <si>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</si>
  <si>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</si>
  <si>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</si>
  <si>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</si>
  <si>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</si>
  <si>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</si>
  <si>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</si>
  <si>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</si>
  <si>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</si>
  <si>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</si>
  <si>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</si>
  <si>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</si>
  <si>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</si>
  <si>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</si>
  <si>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</si>
  <si>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</si>
  <si>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</si>
  <si>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</si>
  <si>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</si>
  <si>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</si>
  <si>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</si>
  <si>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</si>
  <si>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</si>
  <si>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</si>
  <si>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</si>
  <si>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</si>
  <si>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</si>
  <si>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</si>
  <si>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</si>
  <si>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</si>
  <si>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</si>
  <si>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</si>
  <si>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</si>
  <si>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</si>
  <si>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</si>
  <si>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</si>
  <si>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</si>
  <si>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</si>
  <si>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</si>
  <si>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</si>
  <si>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</si>
  <si>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</si>
  <si>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</si>
  <si>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</si>
  <si>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</si>
  <si>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</si>
  <si>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</si>
  <si>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</si>
  <si>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</si>
  <si>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</si>
  <si>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</si>
  <si>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</si>
  <si>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</si>
  <si>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</si>
  <si>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</si>
  <si>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</si>
  <si>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</si>
  <si>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</si>
  <si>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</si>
  <si>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</si>
  <si>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</si>
  <si>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</si>
  <si>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</si>
  <si>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</si>
  <si>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</si>
  <si>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</si>
  <si>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</si>
  <si>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</si>
  <si>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</si>
  <si>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</si>
  <si>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</si>
  <si>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</si>
  <si>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</si>
  <si>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</si>
  <si>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</si>
  <si>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</si>
  <si>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</si>
  <si>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</si>
  <si>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</si>
  <si>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</si>
  <si>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</si>
  <si>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</si>
  <si>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</si>
  <si>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</si>
  <si>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</si>
  <si>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</si>
  <si>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</si>
  <si>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</si>
  <si>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</si>
  <si>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</si>
  <si>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</si>
  <si>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</si>
  <si>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</si>
  <si>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</si>
  <si>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</si>
  <si>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</si>
  <si>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</si>
  <si>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</si>
  <si>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</si>
  <si>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</si>
  <si>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</si>
  <si>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</si>
  <si>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</si>
  <si>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</si>
  <si>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</si>
  <si>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</si>
  <si>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</si>
  <si>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</si>
  <si>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</si>
  <si>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</si>
  <si>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</si>
  <si>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</si>
  <si>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</si>
  <si>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</si>
  <si>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</si>
  <si>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</si>
  <si>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</si>
  <si>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</si>
  <si>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</si>
  <si>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</si>
  <si>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</si>
  <si>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</si>
  <si>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</si>
  <si>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</si>
  <si>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</si>
  <si>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</si>
  <si>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</si>
  <si>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</si>
  <si>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</si>
  <si>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</si>
  <si>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</si>
  <si>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</si>
  <si>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</si>
  <si>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</si>
  <si>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</si>
  <si>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</si>
  <si>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</si>
  <si>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</si>
  <si>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</si>
  <si>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</si>
  <si>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</si>
  <si>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</si>
  <si>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</si>
  <si>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</si>
  <si>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</si>
  <si>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</si>
  <si>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</si>
  <si>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</si>
  <si>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</si>
  <si>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</si>
  <si>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</si>
  <si>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</si>
  <si>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</si>
  <si>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</si>
  <si>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</si>
  <si>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</si>
  <si>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</si>
  <si>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</si>
  <si>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</si>
  <si>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</si>
  <si>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</si>
  <si>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</si>
  <si>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</si>
  <si>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</si>
  <si>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</si>
  <si>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</si>
  <si>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</si>
  <si>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</si>
  <si>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</si>
  <si>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</si>
  <si>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</si>
  <si>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</si>
  <si>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</si>
  <si>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</si>
  <si>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</si>
  <si>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</si>
  <si>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</si>
  <si>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</si>
  <si>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</si>
  <si>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</si>
  <si>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</si>
  <si>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</si>
  <si>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</si>
  <si>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</si>
  <si>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</si>
  <si>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</si>
  <si>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</si>
  <si>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</si>
  <si>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</si>
  <si>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</si>
  <si>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</si>
  <si>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</si>
  <si>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</si>
  <si>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</si>
  <si>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</si>
  <si>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</si>
  <si>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</si>
  <si>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</si>
  <si>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</si>
  <si>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</si>
  <si>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</si>
  <si>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</si>
  <si>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</si>
  <si>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</si>
  <si>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</si>
  <si>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</si>
  <si>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</si>
  <si>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</si>
  <si>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</si>
  <si>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</si>
  <si>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</si>
  <si>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</si>
  <si>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</si>
  <si>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</si>
  <si>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</si>
  <si>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</si>
  <si>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</si>
  <si>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</si>
  <si>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</si>
  <si>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</si>
  <si>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</si>
  <si>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</si>
  <si>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</si>
  <si>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</si>
  <si>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</si>
  <si>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</si>
  <si>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</si>
  <si>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</si>
  <si>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</si>
  <si>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</si>
  <si>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</si>
  <si>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</si>
  <si>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</si>
  <si>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</si>
  <si>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</si>
  <si>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</si>
  <si>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</si>
  <si>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</si>
  <si>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</si>
  <si>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</si>
  <si>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</si>
  <si>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</si>
  <si>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</si>
  <si>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</si>
  <si>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</si>
  <si>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</si>
  <si>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</si>
  <si>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</si>
  <si>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</si>
  <si>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</si>
  <si>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</si>
  <si>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</si>
  <si>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</si>
  <si>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</si>
  <si>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</si>
  <si>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</si>
  <si>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</si>
  <si>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</si>
  <si>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</si>
  <si>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</si>
  <si>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</si>
  <si>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</si>
  <si>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</si>
  <si>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</si>
  <si>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</si>
  <si>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</si>
  <si>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</si>
  <si>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</si>
  <si>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</si>
  <si>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</si>
  <si>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</si>
  <si>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</si>
  <si>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</si>
  <si>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</si>
  <si>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</si>
  <si>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</si>
  <si>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</si>
  <si>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</si>
  <si>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</si>
  <si>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</si>
  <si>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</si>
  <si>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</si>
  <si>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</si>
  <si>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</si>
  <si>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</si>
  <si>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</si>
  <si>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</si>
  <si>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</si>
  <si>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</si>
  <si>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</si>
  <si>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</si>
  <si>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</si>
  <si>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</si>
  <si>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</si>
  <si>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</si>
  <si>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</si>
  <si>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</si>
  <si>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</si>
  <si>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</si>
  <si>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</si>
  <si>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</si>
  <si>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</si>
  <si>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</si>
  <si>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</si>
  <si>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</si>
  <si>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</si>
  <si>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</si>
  <si>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</si>
  <si>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</si>
  <si>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</si>
  <si>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</si>
  <si>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</si>
  <si>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</si>
  <si>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</si>
  <si>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</si>
  <si>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</si>
  <si>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</si>
  <si>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</si>
  <si>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</si>
  <si>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</si>
  <si>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</si>
  <si>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</si>
  <si>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</si>
  <si>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</si>
  <si>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</si>
  <si>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</si>
  <si>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</si>
  <si>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</si>
  <si>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</si>
  <si>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</si>
  <si>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</si>
  <si>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</si>
  <si>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</si>
  <si>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</si>
  <si>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</si>
  <si>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</si>
  <si>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</si>
  <si>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</si>
  <si>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</si>
  <si>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</si>
  <si>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</si>
  <si>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</si>
  <si>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</si>
  <si>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</si>
  <si>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</si>
  <si>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</si>
  <si>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</si>
  <si>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</si>
  <si>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</si>
  <si>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</si>
  <si>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</si>
  <si>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</si>
  <si>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</si>
  <si>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</si>
  <si>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</si>
  <si>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</si>
  <si>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</si>
  <si>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</si>
  <si>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</si>
  <si>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</si>
  <si>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</si>
  <si>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</si>
  <si>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</si>
  <si>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</si>
  <si>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</si>
  <si>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</si>
  <si>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</si>
  <si>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</si>
  <si>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</si>
  <si>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</si>
  <si>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</si>
  <si>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</si>
  <si>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</si>
  <si>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</si>
  <si>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</si>
  <si>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</si>
  <si>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</si>
  <si>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</si>
  <si>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</si>
  <si>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</si>
  <si>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</si>
  <si>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</si>
  <si>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</si>
  <si>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</si>
  <si>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</si>
  <si>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</si>
  <si>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</si>
  <si>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</si>
  <si>
    <t>Documentation</t>
  </si>
  <si>
    <t>Day 1</t>
  </si>
  <si>
    <t>Day 2</t>
  </si>
  <si>
    <t>Scripts</t>
  </si>
  <si>
    <t xml:space="preserve"> (Escalated PowerShell 7/</t>
  </si>
  <si>
    <t>PnP w/interactive 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</si>
</sst>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0"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4">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cellXfs>
  <cellStyles count="5">
    <cellStyle name="Comma" xfId="1" builtinId="3"/>
    <cellStyle name="Currency" xfId="2" builtinId="4"/>
    <cellStyle name="Hyperlink" xfId="4" builtinId="8"/>
    <cellStyle name="Normal" xfId="0" builtinId="0"/>
    <cellStyle name="Percent" xfId="3" builtinId="5"/>
  </cellStyles>
  <dxfs count="51">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86"/>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55"/>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19" unboundColumnsRight="13">
    <queryTableFields count="25">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0">
      <calculatedColumnFormula>_xlfn.XLOOKUP(View[[#This Row],[ID]],Opportunities[ID],Opportunities[status symbol])</calculatedColumnFormula>
    </tableColumn>
    <tableColumn id="4" xr3:uid="{D0C93997-AE18-4F2C-9498-E378F0368CD3}" uniqueName="4" name=" 🔗Opportunity" queryTableFieldId="4" dataDxfId="49"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48"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47" dataCellStyle="Normal">
      <calculatedColumnFormula>_xlfn.XLOOKUP(View[[#This Row],[ID]],Opportunities[ID],Opportunities[DisplayStage])</calculatedColumnFormula>
    </tableColumn>
    <tableColumn id="7" xr3:uid="{36D3885A-765B-43F4-B223-18E0110E7BAC}" uniqueName="7" name="Opp Value" queryTableFieldId="7" dataDxfId="46"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5" dataCellStyle="Percent">
      <calculatedColumnFormula>_xlfn.XLOOKUP(View[[#This Row],[ID]],Opportunities[ID],Opportunities[Probability])</calculatedColumnFormula>
    </tableColumn>
    <tableColumn id="2" xr3:uid="{CEE680CE-7B28-4425-8EF9-E8A1C22CD40F}" uniqueName="2" name="Expected Rev" queryTableFieldId="31" dataDxfId="44" dataCellStyle="Percent">
      <calculatedColumnFormula>View[[#This Row],[Estmated Revenue]]</calculatedColumnFormula>
    </tableColumn>
    <tableColumn id="10" xr3:uid="{B7055589-582D-4A7C-ACCD-633272C194D8}" uniqueName="10" name="Close" queryTableFieldId="10" dataDxfId="43" dataCellStyle="Percent">
      <calculatedColumnFormula>_xlfn.XLOOKUP(View[[#This Row],[ID]],Opportunities[ID],Opportunities[Close])</calculatedColumnFormula>
    </tableColumn>
    <tableColumn id="20" xr3:uid="{59C0ACCC-1D82-45A6-AFAA-3712BAC86C84}" uniqueName="20" name="Last Comment" queryTableFieldId="30" dataDxfId="42"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1" dataCellStyle="Percent">
      <calculatedColumnFormula>_xlfn.XLOOKUP(View[[#This Row],[ID]],Opportunities[ID],Opportunities[NextMilestoneDate])-TODAY()</calculatedColumnFormula>
    </tableColumn>
    <tableColumn id="9" xr3:uid="{52FF3CBA-17BB-47F5-85A3-2DEE8B12587C}" uniqueName="9" name="Close Quarter" queryTableFieldId="9" dataDxfId="40">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39" dataCellStyle="Comma">
      <calculatedColumnFormula>_xlfn.XLOOKUP(View[[#This Row],[ID]],Opportunities[ID],Opportunities[Weighted])/1000</calculatedColumnFormula>
    </tableColumn>
    <tableColumn id="15" xr3:uid="{FBDC7969-7E8D-49D4-8066-6E0E6F1203F0}" uniqueName="15" name="Unweighted" queryTableFieldId="25" dataDxfId="38">
      <calculatedColumnFormula>_xlfn.XLOOKUP(View[[#This Row],[ID]],Opportunities[ID],Opportunities[Amount])/1000</calculatedColumnFormula>
    </tableColumn>
    <tableColumn id="16" xr3:uid="{EF89BB7F-252B-45F9-8123-82BF9FB66AF0}" uniqueName="16" name="High Probability" queryTableFieldId="26" dataDxfId="37">
      <calculatedColumnFormula>View[[#This Row],[Win Probability]]="High"</calculatedColumnFormula>
    </tableColumn>
    <tableColumn id="17" xr3:uid="{4BD52F12-45D4-4BCC-83AA-14BDE7142C90}" uniqueName="17" name="Visible" queryTableFieldId="27" dataDxfId="36">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J1:L7" totalsRowShown="0" headerRowDxfId="35" dataDxfId="34">
  <autoFilter ref="J1:L7" xr:uid="{798014A7-9B70-4B09-AE44-5A5C555476EA}"/>
  <sortState xmlns:xlrd2="http://schemas.microsoft.com/office/spreadsheetml/2017/richdata2" ref="J2:K7">
    <sortCondition ref="K1:K7"/>
  </sortState>
  <tableColumns count="3">
    <tableColumn id="1" xr3:uid="{4A0C0D5E-C576-4851-BAD7-E1720F55F59A}" name="Stage Name" dataDxfId="33"/>
    <tableColumn id="2" xr3:uid="{AE651EA8-D54C-41D9-9B8B-F22570081D8A}" name="Index" dataDxfId="32"/>
    <tableColumn id="3" xr3:uid="{38808F5D-2627-4FC4-9878-8AC61142049B}" name="Display" dataDxfId="31">
      <calculatedColumnFormula>stage[[#This Row],[Index]]&amp;"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0" dataDxfId="29">
  <autoFilter ref="C3:D6" xr:uid="{7A50DF75-ED41-40F4-8782-A0EFFD2E6988}"/>
  <tableColumns count="2">
    <tableColumn id="1" xr3:uid="{3B8690D0-B449-4F2C-BFA1-0D9AAF577107}" name="Win Probability" dataDxfId="28"/>
    <tableColumn id="2" xr3:uid="{E4A73AC8-36BB-4D8D-934C-54FE86976EC9}" name="Value" dataDxfId="27"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Y41" tableType="queryTable" totalsRowShown="0">
  <autoFilter ref="A1:Y41" xr:uid="{8BF0481C-9C4B-466A-BDA0-DD8E3D98821B}"/>
  <tableColumns count="25">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6"/>
    <tableColumn id="11" xr3:uid="{0D6E2E89-0B8C-4024-A956-046F884205B4}" uniqueName="11" name="NextMilestoneDate" queryTableFieldId="91" dataDxfId="25"/>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4">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3">
      <calculatedColumnFormula>"CY"&amp;RIGHT(YEAR(Opportunities[[#This Row],[Close]]),2)&amp;"-Q"&amp;ROUNDUP(MONTH(Opportunities[[#This Row],[Close]])/3, 0)</calculatedColumnFormula>
    </tableColumn>
    <tableColumn id="31" xr3:uid="{AFAB2CEE-41EC-476B-8EF4-F01AEE459A32}" uniqueName="31" name="url" queryTableFieldId="40" dataDxfId="22">
      <calculatedColumnFormula>siteUrl&amp;"/Lists/"&amp;oppList&amp;"/DispForm.aspx?ID="&amp;Opportunities[[#This Row],[ID]]</calculatedColumnFormula>
    </tableColumn>
    <tableColumn id="40" xr3:uid="{8BD6C9BB-E6FD-4E8E-A509-12D471DAA77F}" uniqueName="40" name="StageNumber" queryTableFieldId="54" dataDxfId="21">
      <calculatedColumnFormula>_xlfn.XLOOKUP(Opportunities[[#This Row],[Stage]],stage[Stage Name],stage[Index],"")</calculatedColumnFormula>
    </tableColumn>
    <tableColumn id="41" xr3:uid="{EDB4C612-1CC1-4B3C-B38D-DFE04A906351}" uniqueName="41" name="DisplayStage" queryTableFieldId="55" dataDxfId="20">
      <calculatedColumnFormula>Opportunities[[#This Row],[StageNumber]]&amp;" - "&amp;Opportunities[[#This Row],[Stage]]</calculatedColumnFormula>
    </tableColumn>
    <tableColumn id="52" xr3:uid="{29FD805D-0C67-486B-AABC-E086612B3426}" uniqueName="52" name="Weighted" queryTableFieldId="70" dataDxfId="19">
      <calculatedColumnFormula>Opportunities[[#This Row],[Amount]]*_xlfn.XLOOKUP(Opportunities[[#This Row],[Probability]],prob[Win Probability],prob[Value])</calculatedColumnFormula>
    </tableColumn>
    <tableColumn id="56" xr3:uid="{9E365C66-70DC-4C5C-893A-3785B1B9D44C}" uniqueName="56" name="status symbol" queryTableFieldId="76" dataDxfId="18">
      <calculatedColumnFormula array="1">_xlfn.SWITCH(Opportunities[[#This Row],[Status]],"At Risk","⚠","Active","✓","⮾")</calculatedColumnFormula>
    </tableColumn>
    <tableColumn id="15" xr3:uid="{952135CC-0409-4FA2-BB0A-34668B61689B}" uniqueName="15" name="Customer Name" queryTableFieldId="104" dataDxfId="17">
      <calculatedColumnFormula>_xlfn.XLOOKUP(Opportunities[[#This Row],[CustomerId]],Customers[Id],Customers[Customer Name])</calculatedColumnFormula>
    </tableColumn>
    <tableColumn id="16" xr3:uid="{812C7365-FD2B-4EFB-8119-BF4F00253961}" uniqueName="16" name="CustomerRecordURL" queryTableFieldId="105" dataDxfId="16">
      <calculatedColumnFormula>_xlfn.XLOOKUP(Opportunities[[#This Row],[CustomerId]],Customers[Id],Customers[Url])</calculatedColumnFormula>
    </tableColumn>
    <tableColumn id="17" xr3:uid="{39447595-3500-4B90-9B69-594F9ED985D4}" uniqueName="17" name="Visible" queryTableFieldId="106" dataDxfId="15">
      <calculatedColumnFormula>_xlfn.XLOOKUP(Opportunities[[#This Row],[ID]],View[ID],View[Visible])</calculatedColumnFormula>
    </tableColumn>
    <tableColumn id="3" xr3:uid="{11F9B80B-B6B4-4FB8-ACD8-AAAC59768B2A}" uniqueName="3" name="Display" queryTableFieldId="116" dataDxfId="1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85" zoomScaleNormal="85" workbookViewId="0">
      <selection activeCell="F10" sqref="F10"/>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5 - Project Execution</v>
      </c>
      <c r="H8" s="1">
        <f>IF(pipelineType="Unweighted",_xlfn.XLOOKUP(View[[#This Row],[ID]],Opportunities[ID],Opportunities[Amount])/1000,_xlfn.XLOOKUP(View[[#This Row],[ID]],Opportunities[ID],Opportunities[Weighted])/1000)</f>
        <v>1088.461</v>
      </c>
      <c r="I8" s="28" t="str">
        <f>_xlfn.XLOOKUP(View[[#This Row],[ID]],Opportunities[ID],Opportunities[Probability])</f>
        <v>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1</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6 - Closeout</v>
      </c>
      <c r="H9" s="1">
        <f>IF(pipelineType="Unweighted",_xlfn.XLOOKUP(View[[#This Row],[ID]],Opportunities[ID],Opportunities[Amount])/1000,_xlfn.XLOOKUP(View[[#This Row],[ID]],Opportunities[ID],Opportunities[Weighted])/1000)</f>
        <v>1089.5029999999999</v>
      </c>
      <c r="I9" s="28" t="str">
        <f>_xlfn.XLOOKUP(View[[#This Row],[ID]],Opportunities[ID],Opportunities[Probability])</f>
        <v>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1 -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Row],[ID]],Opportunities[ID],Opportunities[Probability])</f>
        <v>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4 - Negotiation</v>
      </c>
      <c r="H11" s="1">
        <f>IF(pipelineType="Unweighted",_xlfn.XLOOKUP(View[[#This Row],[ID]],Opportunities[ID],Opportunities[Amount])/1000,_xlfn.XLOOKUP(View[[#This Row],[ID]],Opportunities[ID],Opportunities[Weighted])/1000)</f>
        <v>1542.6969999999999</v>
      </c>
      <c r="I11" s="28" t="str">
        <f>_xlfn.XLOOKUP(View[[#This Row],[ID]],Opportunities[ID],Opportunities[Probability])</f>
        <v>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1 - Lead Qualification</v>
      </c>
      <c r="H12" s="1">
        <f>IF(pipelineType="Unweighted",_xlfn.XLOOKUP(View[[#This Row],[ID]],Opportunities[ID],Opportunities[Amount])/1000,_xlfn.XLOOKUP(View[[#This Row],[ID]],Opportunities[ID],Opportunities[Weighted])/1000)</f>
        <v>1592.36</v>
      </c>
      <c r="I12" s="28" t="str">
        <f>_xlfn.XLOOKUP(View[[#This Row],[ID]],Opportunities[ID],Opportunities[Probability])</f>
        <v>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3 - Proposal</v>
      </c>
      <c r="H13" s="1">
        <f>IF(pipelineType="Unweighted",_xlfn.XLOOKUP(View[[#This Row],[ID]],Opportunities[ID],Opportunities[Amount])/1000,_xlfn.XLOOKUP(View[[#This Row],[ID]],Opportunities[ID],Opportunities[Weighted])/1000)</f>
        <v>1668.12</v>
      </c>
      <c r="I13" s="28" t="str">
        <f>_xlfn.XLOOKUP(View[[#This Row],[ID]],Opportunities[ID],Opportunities[Probability])</f>
        <v>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6 - Closeout</v>
      </c>
      <c r="H14" s="1">
        <f>IF(pipelineType="Unweighted",_xlfn.XLOOKUP(View[[#This Row],[ID]],Opportunities[ID],Opportunities[Amount])/1000,_xlfn.XLOOKUP(View[[#This Row],[ID]],Opportunities[ID],Opportunities[Weighted])/1000)</f>
        <v>2153.3510000000001</v>
      </c>
      <c r="I14" s="28" t="str">
        <f>_xlfn.XLOOKUP(View[[#This Row],[ID]],Opportunities[ID],Opportunities[Probability])</f>
        <v>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1 - Lead Qualification</v>
      </c>
      <c r="H15" s="1">
        <f>IF(pipelineType="Unweighted",_xlfn.XLOOKUP(View[[#This Row],[ID]],Opportunities[ID],Opportunities[Amount])/1000,_xlfn.XLOOKUP(View[[#This Row],[ID]],Opportunities[ID],Opportunities[Weighted])/1000)</f>
        <v>1393.789</v>
      </c>
      <c r="I15" s="28" t="str">
        <f>_xlfn.XLOOKUP(View[[#This Row],[ID]],Opportunities[ID],Opportunities[Probability])</f>
        <v>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5 -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Row],[ID]],Opportunities[ID],Opportunities[Probability])</f>
        <v>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4 - Negotiation</v>
      </c>
      <c r="H17" s="1">
        <f>IF(pipelineType="Unweighted",_xlfn.XLOOKUP(View[[#This Row],[ID]],Opportunities[ID],Opportunities[Amount])/1000,_xlfn.XLOOKUP(View[[#This Row],[ID]],Opportunities[ID],Opportunities[Weighted])/1000)</f>
        <v>1177.356</v>
      </c>
      <c r="I17" s="28" t="str">
        <f>_xlfn.XLOOKUP(View[[#This Row],[ID]],Opportunities[ID],Opportunities[Probability])</f>
        <v>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1</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3 - Proposal</v>
      </c>
      <c r="H18" s="1">
        <f>IF(pipelineType="Unweighted",_xlfn.XLOOKUP(View[[#This Row],[ID]],Opportunities[ID],Opportunities[Amount])/1000,_xlfn.XLOOKUP(View[[#This Row],[ID]],Opportunities[ID],Opportunities[Weighted])/1000)</f>
        <v>1092.83</v>
      </c>
      <c r="I18" s="28" t="str">
        <f>_xlfn.XLOOKUP(View[[#This Row],[ID]],Opportunities[ID],Opportunities[Probability])</f>
        <v>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5 -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Row],[ID]],Opportunities[ID],Opportunities[Probability])</f>
        <v>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1</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6 - Closeout</v>
      </c>
      <c r="H20" s="1">
        <f>IF(pipelineType="Unweighted",_xlfn.XLOOKUP(View[[#This Row],[ID]],Opportunities[ID],Opportunities[Amount])/1000,_xlfn.XLOOKUP(View[[#This Row],[ID]],Opportunities[ID],Opportunities[Weighted])/1000)</f>
        <v>1564.3330000000001</v>
      </c>
      <c r="I20" s="28" t="str">
        <f>_xlfn.XLOOKUP(View[[#This Row],[ID]],Opportunities[ID],Opportunities[Probability])</f>
        <v>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3 - Proposal</v>
      </c>
      <c r="H21" s="1">
        <f>IF(pipelineType="Unweighted",_xlfn.XLOOKUP(View[[#This Row],[ID]],Opportunities[ID],Opportunities[Amount])/1000,_xlfn.XLOOKUP(View[[#This Row],[ID]],Opportunities[ID],Opportunities[Weighted])/1000)</f>
        <v>1520.502</v>
      </c>
      <c r="I21" s="28" t="str">
        <f>_xlfn.XLOOKUP(View[[#This Row],[ID]],Opportunities[ID],Opportunities[Probability])</f>
        <v>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4 - Negotiation</v>
      </c>
      <c r="H22" s="1">
        <f>IF(pipelineType="Unweighted",_xlfn.XLOOKUP(View[[#This Row],[ID]],Opportunities[ID],Opportunities[Amount])/1000,_xlfn.XLOOKUP(View[[#This Row],[ID]],Opportunities[ID],Opportunities[Weighted])/1000)</f>
        <v>2045.7439999999999</v>
      </c>
      <c r="I22" s="28" t="str">
        <f>_xlfn.XLOOKUP(View[[#This Row],[ID]],Opportunities[ID],Opportunities[Probability])</f>
        <v>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2 - Nurturing</v>
      </c>
      <c r="H23" s="1">
        <f>IF(pipelineType="Unweighted",_xlfn.XLOOKUP(View[[#This Row],[ID]],Opportunities[ID],Opportunities[Amount])/1000,_xlfn.XLOOKUP(View[[#This Row],[ID]],Opportunities[ID],Opportunities[Weighted])/1000)</f>
        <v>1465.7159999999999</v>
      </c>
      <c r="I23" s="28" t="str">
        <f>_xlfn.XLOOKUP(View[[#This Row],[ID]],Opportunities[ID],Opportunities[Probability])</f>
        <v>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3 - Proposal</v>
      </c>
      <c r="H24" s="1">
        <f>IF(pipelineType="Unweighted",_xlfn.XLOOKUP(View[[#This Row],[ID]],Opportunities[ID],Opportunities[Amount])/1000,_xlfn.XLOOKUP(View[[#This Row],[ID]],Opportunities[ID],Opportunities[Weighted])/1000)</f>
        <v>1126.3150000000001</v>
      </c>
      <c r="I24" s="28" t="str">
        <f>_xlfn.XLOOKUP(View[[#This Row],[ID]],Opportunities[ID],Opportunities[Probability])</f>
        <v>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6 - Closeout</v>
      </c>
      <c r="H25" s="1">
        <f>IF(pipelineType="Unweighted",_xlfn.XLOOKUP(View[[#This Row],[ID]],Opportunities[ID],Opportunities[Amount])/1000,_xlfn.XLOOKUP(View[[#This Row],[ID]],Opportunities[ID],Opportunities[Weighted])/1000)</f>
        <v>1354.527</v>
      </c>
      <c r="I25" s="28" t="str">
        <f>_xlfn.XLOOKUP(View[[#This Row],[ID]],Opportunities[ID],Opportunities[Probability])</f>
        <v>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4 - Negotiation</v>
      </c>
      <c r="H26" s="1">
        <f>IF(pipelineType="Unweighted",_xlfn.XLOOKUP(View[[#This Row],[ID]],Opportunities[ID],Opportunities[Amount])/1000,_xlfn.XLOOKUP(View[[#This Row],[ID]],Opportunities[ID],Opportunities[Weighted])/1000)</f>
        <v>1058.0360000000001</v>
      </c>
      <c r="I26" s="28" t="str">
        <f>_xlfn.XLOOKUP(View[[#This Row],[ID]],Opportunities[ID],Opportunities[Probability])</f>
        <v>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4 - Negotiation</v>
      </c>
      <c r="H27" s="1">
        <f>IF(pipelineType="Unweighted",_xlfn.XLOOKUP(View[[#This Row],[ID]],Opportunities[ID],Opportunities[Amount])/1000,_xlfn.XLOOKUP(View[[#This Row],[ID]],Opportunities[ID],Opportunities[Weighted])/1000)</f>
        <v>2083.0970000000002</v>
      </c>
      <c r="I27" s="28" t="str">
        <f>_xlfn.XLOOKUP(View[[#This Row],[ID]],Opportunities[ID],Opportunities[Probability])</f>
        <v>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1 - Lead Qualification</v>
      </c>
      <c r="H28" s="1">
        <f>IF(pipelineType="Unweighted",_xlfn.XLOOKUP(View[[#This Row],[ID]],Opportunities[ID],Opportunities[Amount])/1000,_xlfn.XLOOKUP(View[[#This Row],[ID]],Opportunities[ID],Opportunities[Weighted])/1000)</f>
        <v>1358.163</v>
      </c>
      <c r="I28" s="28" t="str">
        <f>_xlfn.XLOOKUP(View[[#This Row],[ID]],Opportunities[ID],Opportunities[Probability])</f>
        <v>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1 -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Row],[ID]],Opportunities[ID],Opportunities[Probability])</f>
        <v>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4 - Negotiation</v>
      </c>
      <c r="H30" s="1">
        <f>IF(pipelineType="Unweighted",_xlfn.XLOOKUP(View[[#This Row],[ID]],Opportunities[ID],Opportunities[Amount])/1000,_xlfn.XLOOKUP(View[[#This Row],[ID]],Opportunities[ID],Opportunities[Weighted])/1000)</f>
        <v>1498.5550000000001</v>
      </c>
      <c r="I30" s="28" t="str">
        <f>_xlfn.XLOOKUP(View[[#This Row],[ID]],Opportunities[ID],Opportunities[Probability])</f>
        <v>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6 - Closeout</v>
      </c>
      <c r="H31" s="1">
        <f>IF(pipelineType="Unweighted",_xlfn.XLOOKUP(View[[#This Row],[ID]],Opportunities[ID],Opportunities[Amount])/1000,_xlfn.XLOOKUP(View[[#This Row],[ID]],Opportunities[ID],Opportunities[Weighted])/1000)</f>
        <v>470.25700000000001</v>
      </c>
      <c r="I31" s="28" t="str">
        <f>_xlfn.XLOOKUP(View[[#This Row],[ID]],Opportunities[ID],Opportunities[Probability])</f>
        <v>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2 - Nurturing</v>
      </c>
      <c r="H32" s="1">
        <f>IF(pipelineType="Unweighted",_xlfn.XLOOKUP(View[[#This Row],[ID]],Opportunities[ID],Opportunities[Amount])/1000,_xlfn.XLOOKUP(View[[#This Row],[ID]],Opportunities[ID],Opportunities[Weighted])/1000)</f>
        <v>981.68200000000002</v>
      </c>
      <c r="I32" s="28" t="str">
        <f>_xlfn.XLOOKUP(View[[#This Row],[ID]],Opportunities[ID],Opportunities[Probability])</f>
        <v>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2 - Nurturing</v>
      </c>
      <c r="H33" s="1">
        <f>IF(pipelineType="Unweighted",_xlfn.XLOOKUP(View[[#This Row],[ID]],Opportunities[ID],Opportunities[Amount])/1000,_xlfn.XLOOKUP(View[[#This Row],[ID]],Opportunities[ID],Opportunities[Weighted])/1000)</f>
        <v>1115.403</v>
      </c>
      <c r="I33" s="28" t="str">
        <f>_xlfn.XLOOKUP(View[[#This Row],[ID]],Opportunities[ID],Opportunities[Probability])</f>
        <v>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3 - Proposal</v>
      </c>
      <c r="H34" s="1">
        <f>IF(pipelineType="Unweighted",_xlfn.XLOOKUP(View[[#This Row],[ID]],Opportunities[ID],Opportunities[Amount])/1000,_xlfn.XLOOKUP(View[[#This Row],[ID]],Opportunities[ID],Opportunities[Weighted])/1000)</f>
        <v>595.74699999999996</v>
      </c>
      <c r="I34" s="28" t="str">
        <f>_xlfn.XLOOKUP(View[[#This Row],[ID]],Opportunities[ID],Opportunities[Probability])</f>
        <v>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6 - Closeout</v>
      </c>
      <c r="H35" s="1">
        <f>IF(pipelineType="Unweighted",_xlfn.XLOOKUP(View[[#This Row],[ID]],Opportunities[ID],Opportunities[Amount])/1000,_xlfn.XLOOKUP(View[[#This Row],[ID]],Opportunities[ID],Opportunities[Weighted])/1000)</f>
        <v>1808.27</v>
      </c>
      <c r="I35" s="28" t="str">
        <f>_xlfn.XLOOKUP(View[[#This Row],[ID]],Opportunities[ID],Opportunities[Probability])</f>
        <v>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1 - Lead Qualification</v>
      </c>
      <c r="H36" s="1">
        <f>IF(pipelineType="Unweighted",_xlfn.XLOOKUP(View[[#This Row],[ID]],Opportunities[ID],Opportunities[Amount])/1000,_xlfn.XLOOKUP(View[[#This Row],[ID]],Opportunities[ID],Opportunities[Weighted])/1000)</f>
        <v>1636.454</v>
      </c>
      <c r="I36" s="28" t="str">
        <f>_xlfn.XLOOKUP(View[[#This Row],[ID]],Opportunities[ID],Opportunities[Probability])</f>
        <v>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2 - Nurturing</v>
      </c>
      <c r="H37" s="1">
        <f>IF(pipelineType="Unweighted",_xlfn.XLOOKUP(View[[#This Row],[ID]],Opportunities[ID],Opportunities[Amount])/1000,_xlfn.XLOOKUP(View[[#This Row],[ID]],Opportunities[ID],Opportunities[Weighted])/1000)</f>
        <v>1541.0989999999999</v>
      </c>
      <c r="I37" s="28" t="str">
        <f>_xlfn.XLOOKUP(View[[#This Row],[ID]],Opportunities[ID],Opportunities[Probability])</f>
        <v>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1 -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Row],[ID]],Opportunities[ID],Opportunities[Probability])</f>
        <v>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1</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5 -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Row],[ID]],Opportunities[ID],Opportunities[Probability])</f>
        <v>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5 -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Row],[ID]],Opportunities[ID],Opportunities[Probability])</f>
        <v>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1</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2 - Nurturing</v>
      </c>
      <c r="H41" s="1">
        <f>IF(pipelineType="Unweighted",_xlfn.XLOOKUP(View[[#This Row],[ID]],Opportunities[ID],Opportunities[Amount])/1000,_xlfn.XLOOKUP(View[[#This Row],[ID]],Opportunities[ID],Opportunities[Weighted])/1000)</f>
        <v>1099.635</v>
      </c>
      <c r="I41" s="28" t="str">
        <f>_xlfn.XLOOKUP(View[[#This Row],[ID]],Opportunities[ID],Opportunities[Probability])</f>
        <v>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1</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5 -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Row],[ID]],Opportunities[ID],Opportunities[Probability])</f>
        <v>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1</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2 - Nurturing</v>
      </c>
      <c r="H43" s="1">
        <f>IF(pipelineType="Unweighted",_xlfn.XLOOKUP(View[[#This Row],[ID]],Opportunities[ID],Opportunities[Amount])/1000,_xlfn.XLOOKUP(View[[#This Row],[ID]],Opportunities[ID],Opportunities[Weighted])/1000)</f>
        <v>1291.8979999999999</v>
      </c>
      <c r="I43" s="28" t="str">
        <f>_xlfn.XLOOKUP(View[[#This Row],[ID]],Opportunities[ID],Opportunities[Probability])</f>
        <v>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3 - Proposal</v>
      </c>
      <c r="H44" s="1">
        <f>IF(pipelineType="Unweighted",_xlfn.XLOOKUP(View[[#This Row],[ID]],Opportunities[ID],Opportunities[Amount])/1000,_xlfn.XLOOKUP(View[[#This Row],[ID]],Opportunities[ID],Opportunities[Weighted])/1000)</f>
        <v>1002.795</v>
      </c>
      <c r="I44" s="28" t="str">
        <f>_xlfn.XLOOKUP(View[[#This Row],[ID]],Opportunities[ID],Opportunities[Probability])</f>
        <v>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2 - Nurturing</v>
      </c>
      <c r="H45" s="1">
        <f>IF(pipelineType="Unweighted",_xlfn.XLOOKUP(View[[#This Row],[ID]],Opportunities[ID],Opportunities[Amount])/1000,_xlfn.XLOOKUP(View[[#This Row],[ID]],Opportunities[ID],Opportunities[Weighted])/1000)</f>
        <v>1969.2739999999999</v>
      </c>
      <c r="I45" s="28" t="str">
        <f>_xlfn.XLOOKUP(View[[#This Row],[ID]],Opportunities[ID],Opportunities[Probability])</f>
        <v>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3 - Proposal</v>
      </c>
      <c r="H46" s="1">
        <f>IF(pipelineType="Unweighted",_xlfn.XLOOKUP(View[[#This Row],[ID]],Opportunities[ID],Opportunities[Amount])/1000,_xlfn.XLOOKUP(View[[#This Row],[ID]],Opportunities[ID],Opportunities[Weighted])/1000)</f>
        <v>1104.873</v>
      </c>
      <c r="I46" s="28" t="str">
        <f>_xlfn.XLOOKUP(View[[#This Row],[ID]],Opportunities[ID],Opportunities[Probability])</f>
        <v>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4 - Negotiation</v>
      </c>
      <c r="H47" s="1">
        <f>IF(pipelineType="Unweighted",_xlfn.XLOOKUP(View[[#This Row],[ID]],Opportunities[ID],Opportunities[Amount])/1000,_xlfn.XLOOKUP(View[[#This Row],[ID]],Opportunities[ID],Opportunities[Weighted])/1000)</f>
        <v>482.03300000000002</v>
      </c>
      <c r="I47" s="28" t="str">
        <f>_xlfn.XLOOKUP(View[[#This Row],[ID]],Opportunities[ID],Opportunities[Probability])</f>
        <v>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8" priority="23">
      <formula>D8="⚠"</formula>
    </cfRule>
    <cfRule type="expression" dxfId="7" priority="24">
      <formula>D8="⮾"</formula>
    </cfRule>
    <cfRule type="expression" dxfId="6"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5" priority="10">
      <formula>G8="3 - Proposal"</formula>
    </cfRule>
    <cfRule type="expression" dxfId="4" priority="11">
      <formula>G8="4 - Negotiation"</formula>
    </cfRule>
    <cfRule type="expression" dxfId="3" priority="12">
      <formula>G8="5 - Project Execution"</formula>
    </cfRule>
    <cfRule type="expression" dxfId="2" priority="13">
      <formula>G8="6 - Closeout"</formula>
    </cfRule>
    <cfRule type="expression" dxfId="1" priority="14">
      <formula>G8="1 - Lead Qualification"</formula>
    </cfRule>
    <cfRule type="expression" dxfId="0"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L16"/>
  <sheetViews>
    <sheetView showGridLines="0" workbookViewId="0">
      <selection activeCell="A5" sqref="A5"/>
    </sheetView>
  </sheetViews>
  <sheetFormatPr defaultRowHeight="15" x14ac:dyDescent="0.25"/>
  <cols>
    <col min="1" max="1" width="26" customWidth="1"/>
    <col min="2" max="2" width="5.140625" customWidth="1"/>
    <col min="3" max="3" width="17.42578125" bestFit="1" customWidth="1"/>
    <col min="4" max="4" width="13.5703125" customWidth="1"/>
    <col min="5" max="5" width="52.28515625" bestFit="1" customWidth="1"/>
    <col min="6" max="6" width="4.140625" customWidth="1"/>
    <col min="7" max="7" width="25.5703125" bestFit="1" customWidth="1"/>
    <col min="8" max="8" width="146.5703125" bestFit="1" customWidth="1"/>
    <col min="10" max="10" width="17.42578125" bestFit="1" customWidth="1"/>
    <col min="11" max="11" width="8.28515625" bestFit="1" customWidth="1"/>
    <col min="12" max="12" width="20" bestFit="1" customWidth="1"/>
    <col min="13" max="13" width="19.42578125" bestFit="1" customWidth="1"/>
    <col min="14" max="14" width="20" bestFit="1" customWidth="1"/>
    <col min="15" max="15" width="15.5703125" customWidth="1"/>
  </cols>
  <sheetData>
    <row r="1" spans="1:12" x14ac:dyDescent="0.25">
      <c r="A1" s="47" t="s">
        <v>431</v>
      </c>
      <c r="C1" s="20" t="s">
        <v>48</v>
      </c>
      <c r="D1" s="31">
        <v>45839</v>
      </c>
      <c r="G1" s="52" t="s">
        <v>434</v>
      </c>
      <c r="H1" s="47" t="s">
        <v>432</v>
      </c>
      <c r="J1" s="12" t="s">
        <v>91</v>
      </c>
      <c r="K1" s="12" t="s">
        <v>33</v>
      </c>
      <c r="L1" s="12" t="s">
        <v>382</v>
      </c>
    </row>
    <row r="2" spans="1:12" x14ac:dyDescent="0.25">
      <c r="A2" s="51" t="str">
        <f>HYPERLINK("https://github.com/pgaljan/funneler/blob/main/docs/manual-deploy.md","Citizen Developer Guide")</f>
        <v>Citizen Developer Guide</v>
      </c>
      <c r="G2" s="53" t="s">
        <v>435</v>
      </c>
      <c r="H2" s="49" t="s">
        <v>397</v>
      </c>
      <c r="J2" s="34" t="s">
        <v>20</v>
      </c>
      <c r="K2" s="34">
        <v>1</v>
      </c>
      <c r="L2" s="34" t="str">
        <f>stage[[#This Row],[Index]]&amp;" - "&amp;stage[[#This Row],[Stage Name]]</f>
        <v>1 - Lead Qualification</v>
      </c>
    </row>
    <row r="3" spans="1:12" x14ac:dyDescent="0.25">
      <c r="A3" s="51" t="str">
        <f>HYPERLINK("https://github.com/pgaljan/funneler/blob/main/docs/auto-deploy.md","Operator Guide")</f>
        <v>Operator Guide</v>
      </c>
      <c r="C3" s="12" t="s">
        <v>84</v>
      </c>
      <c r="D3" s="12" t="s">
        <v>92</v>
      </c>
      <c r="G3" s="53" t="s">
        <v>436</v>
      </c>
      <c r="H3" s="48" t="str" cm="1">
        <f t="array" ref="H3">"./Deploy-Lists.ps1"&amp; psAftermetter</f>
        <v>./Deploy-Lists.ps1 -SiteUrl "https://cleansheet5.sharepoint.com/sites/SalesFunnel/" -ListPrefix "crm" -ClientId "4f2cadf3-cdfe-4c73-819d-6e8141ad5b51"</v>
      </c>
      <c r="J3" s="34" t="s">
        <v>23</v>
      </c>
      <c r="K3" s="34">
        <v>2</v>
      </c>
      <c r="L3" s="34" t="str">
        <f>stage[[#This Row],[Index]]&amp;" - "&amp;stage[[#This Row],[Stage Name]]</f>
        <v>2 - Nurturing</v>
      </c>
    </row>
    <row r="4" spans="1:12" x14ac:dyDescent="0.25">
      <c r="A4" s="51" t="str">
        <f>HYPERLINK("https://github.com/pgaljan/funneler/blob/main/docs/security.md","Security &amp; Governance")</f>
        <v>Security &amp; Governance</v>
      </c>
      <c r="C4" s="35" t="s">
        <v>89</v>
      </c>
      <c r="D4" s="40">
        <v>0.2</v>
      </c>
      <c r="H4" s="48" t="str" cm="1">
        <f t="array" ref="H4">"./Set-Required-Fields.ps1" &amp;psAftermetter</f>
        <v>./Set-Required-Fields.ps1 -SiteUrl "https://cleansheet5.sharepoint.com/sites/SalesFunnel/" -ListPrefix "crm" -ClientId "4f2cadf3-cdfe-4c73-819d-6e8141ad5b51"</v>
      </c>
      <c r="J4" s="34" t="s">
        <v>22</v>
      </c>
      <c r="K4" s="34">
        <v>3</v>
      </c>
      <c r="L4" s="34" t="str">
        <f>stage[[#This Row],[Index]]&amp;" - "&amp;stage[[#This Row],[Stage Name]]</f>
        <v>3 - Proposal</v>
      </c>
    </row>
    <row r="5" spans="1:12" x14ac:dyDescent="0.25">
      <c r="A5" s="51" t="str">
        <f>HYPERLINK("https://github.com/pgaljan/funneler/blob/main/docs/code-guide.md","Code Guide")</f>
        <v>Code Guide</v>
      </c>
      <c r="C5" s="35" t="s">
        <v>87</v>
      </c>
      <c r="D5" s="40">
        <v>0.4</v>
      </c>
      <c r="H5" s="48" t="str" cm="1">
        <f t="array" ref="H5">"./Add-Comment-Log.ps1"&amp;psAftermetter</f>
        <v>./Add-Comment-Log.ps1 -SiteUrl "https://cleansheet5.sharepoint.com/sites/SalesFunnel/" -ListPrefix "crm" -ClientId "4f2cadf3-cdfe-4c73-819d-6e8141ad5b51"</v>
      </c>
      <c r="J5" s="34" t="s">
        <v>18</v>
      </c>
      <c r="K5" s="34">
        <v>4</v>
      </c>
      <c r="L5" s="34" t="str">
        <f>stage[[#This Row],[Index]]&amp;" - "&amp;stage[[#This Row],[Stage Name]]</f>
        <v>4 - Negotiation</v>
      </c>
    </row>
    <row r="6" spans="1:12" x14ac:dyDescent="0.25">
      <c r="A6" s="51" t="str">
        <f>HYPERLINK("https://github.com/pgaljan/funneler/blob/main/docs/form-body-json.md","Form Body JSON")</f>
        <v>Form Body JSON</v>
      </c>
      <c r="C6" s="35" t="s">
        <v>88</v>
      </c>
      <c r="D6" s="40">
        <v>0.9</v>
      </c>
      <c r="H6" s="48" t="str" cm="1">
        <f t="array" ref="H6">"./Populate-Sample-Data.ps1"&amp;psAftermetter</f>
        <v>./Populate-Sample-Data.ps1 -SiteUrl "https://cleansheet5.sharepoint.com/sites/SalesFunnel/" -ListPrefix "crm" -ClientId "4f2cadf3-cdfe-4c73-819d-6e8141ad5b51"</v>
      </c>
      <c r="J6" s="34" t="s">
        <v>21</v>
      </c>
      <c r="K6" s="34">
        <v>5</v>
      </c>
      <c r="L6" s="34" t="str">
        <f>stage[[#This Row],[Index]]&amp;" - "&amp;stage[[#This Row],[Stage Name]]</f>
        <v>5 - Project Execution</v>
      </c>
    </row>
    <row r="7" spans="1:12" x14ac:dyDescent="0.25">
      <c r="A7" s="39"/>
      <c r="J7" s="34" t="s">
        <v>24</v>
      </c>
      <c r="K7" s="34">
        <v>6</v>
      </c>
      <c r="L7" s="34" t="str">
        <f>stage[[#This Row],[Index]]&amp;" - "&amp;stage[[#This Row],[Stage Name]]</f>
        <v>6 - Closeout</v>
      </c>
    </row>
    <row r="8" spans="1:12" x14ac:dyDescent="0.25">
      <c r="A8" s="39"/>
      <c r="D8" s="20" t="s">
        <v>50</v>
      </c>
      <c r="E8" s="32" t="s">
        <v>51</v>
      </c>
      <c r="H8" s="47" t="s">
        <v>433</v>
      </c>
    </row>
    <row r="9" spans="1:12" x14ac:dyDescent="0.25">
      <c r="D9" s="20" t="s">
        <v>148</v>
      </c>
      <c r="E9" s="30" t="s">
        <v>398</v>
      </c>
      <c r="H9" s="48" t="str" cm="1">
        <f t="array" ref="H9">"./Audit-List-Security.ps1"&amp;psAftermetter</f>
        <v>./Audit-List-Security.ps1 -SiteUrl "https://cleansheet5.sharepoint.com/sites/SalesFunnel/" -ListPrefix "crm" -ClientId "4f2cadf3-cdfe-4c73-819d-6e8141ad5b51"</v>
      </c>
    </row>
    <row r="10" spans="1:12" x14ac:dyDescent="0.25">
      <c r="C10" s="36" t="str">
        <f>HYPERLINK(siteUrl&amp;"/Lists/"&amp;custList,"Test")</f>
        <v>Test</v>
      </c>
      <c r="D10" s="20" t="s">
        <v>149</v>
      </c>
      <c r="E10" s="33" t="str">
        <f>listPrefix &amp; custListAppend</f>
        <v>crmCustomers</v>
      </c>
      <c r="H10" s="48" t="str" cm="1">
        <f t="array" ref="H10">"./Delete-Lists.ps1"&amp;psAftermetter</f>
        <v>./Delete-Lists.ps1 -SiteUrl "https://cleansheet5.sharepoint.com/sites/SalesFunnel/" -ListPrefix "crm" -ClientId "4f2cadf3-cdfe-4c73-819d-6e8141ad5b51"</v>
      </c>
    </row>
    <row r="11" spans="1:12" x14ac:dyDescent="0.25">
      <c r="C11" s="36" t="str">
        <f>HYPERLINK(siteUrl&amp;"/Lists/"&amp;oppList,"Test")</f>
        <v>Test</v>
      </c>
      <c r="D11" s="20" t="s">
        <v>49</v>
      </c>
      <c r="E11" s="33" t="str">
        <f>listPrefix &amp; oppListAppend</f>
        <v>crmOpportunities</v>
      </c>
      <c r="F11" s="34"/>
    </row>
    <row r="12" spans="1:12" x14ac:dyDescent="0.25">
      <c r="D12" s="20" t="s">
        <v>395</v>
      </c>
      <c r="E12" s="30" t="s">
        <v>396</v>
      </c>
      <c r="F12" s="34"/>
    </row>
    <row r="13" spans="1:12" x14ac:dyDescent="0.25">
      <c r="F13" s="34"/>
    </row>
    <row r="14" spans="1:12" x14ac:dyDescent="0.25">
      <c r="F14" s="34"/>
    </row>
    <row r="15" spans="1:12" x14ac:dyDescent="0.25">
      <c r="F15" s="34"/>
    </row>
    <row r="16" spans="1:12" x14ac:dyDescent="0.25">
      <c r="F16" s="34"/>
    </row>
  </sheetData>
  <hyperlinks>
    <hyperlink ref="E8"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Y41"/>
  <sheetViews>
    <sheetView zoomScale="85" zoomScaleNormal="85" workbookViewId="0">
      <selection activeCell="W19" sqref="W19"/>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5"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row>
    <row r="2" spans="1:25" x14ac:dyDescent="0.25">
      <c r="A2">
        <v>1</v>
      </c>
      <c r="B2" t="s">
        <v>96</v>
      </c>
      <c r="C2" t="s">
        <v>19</v>
      </c>
      <c r="D2" t="s">
        <v>18</v>
      </c>
      <c r="E2">
        <v>2083097</v>
      </c>
      <c r="F2" t="s">
        <v>87</v>
      </c>
      <c r="G2" s="41">
        <v>46150</v>
      </c>
      <c r="H2" s="41">
        <v>45919</v>
      </c>
      <c r="I2" t="s">
        <v>101</v>
      </c>
      <c r="J2">
        <v>25</v>
      </c>
      <c r="K2" t="s">
        <v>399</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Opportunities[[#This Row],[StageNumber]]&amp;" - "&amp;Opportunities[[#This Row],[Stage]]</f>
        <v>4 -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 spans="1:25"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Opportunities[[#This Row],[StageNumber]]&amp;" - "&amp;Opportunities[[#This Row],[Stage]]</f>
        <v>3 -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4" spans="1:25"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Opportunities[[#This Row],[StageNumber]]&amp;" - "&amp;Opportunities[[#This Row],[Stage]]</f>
        <v>5 -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5" spans="1:25"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Opportunities[[#This Row],[StageNumber]]&amp;" - "&amp;Opportunities[[#This Row],[Stage]]</f>
        <v>6 -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6" spans="1:25" x14ac:dyDescent="0.25">
      <c r="A6">
        <v>5</v>
      </c>
      <c r="B6" t="s">
        <v>108</v>
      </c>
      <c r="C6" t="s">
        <v>19</v>
      </c>
      <c r="D6" t="s">
        <v>23</v>
      </c>
      <c r="E6">
        <v>1541099</v>
      </c>
      <c r="F6" t="s">
        <v>87</v>
      </c>
      <c r="G6" s="41">
        <v>46280</v>
      </c>
      <c r="H6" s="41">
        <v>45903</v>
      </c>
      <c r="I6" t="s">
        <v>104</v>
      </c>
      <c r="J6">
        <v>24</v>
      </c>
      <c r="L6" t="s">
        <v>400</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Opportunities[[#This Row],[StageNumber]]&amp;" - "&amp;Opportunities[[#This Row],[Stage]]</f>
        <v>2 -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7" spans="1:25"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Opportunities[[#This Row],[StageNumber]]&amp;" - "&amp;Opportunities[[#This Row],[Stage]]</f>
        <v>3 -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8" spans="1:25"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Opportunities[[#This Row],[StageNumber]]&amp;" - "&amp;Opportunities[[#This Row],[Stage]]</f>
        <v>1 -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9" spans="1:25"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Opportunities[[#This Row],[StageNumber]]&amp;" - "&amp;Opportunities[[#This Row],[Stage]]</f>
        <v>1 -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0" spans="1:25"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Opportunities[[#This Row],[StageNumber]]&amp;" - "&amp;Opportunities[[#This Row],[Stage]]</f>
        <v>5 -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1" spans="1:25"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Opportunities[[#This Row],[StageNumber]]&amp;" - "&amp;Opportunities[[#This Row],[Stage]]</f>
        <v>4 -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2" spans="1:25"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Opportunities[[#This Row],[StageNumber]]&amp;" - "&amp;Opportunities[[#This Row],[Stage]]</f>
        <v>3 -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3" spans="1:25"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Opportunities[[#This Row],[StageNumber]]&amp;" - "&amp;Opportunities[[#This Row],[Stage]]</f>
        <v>6 -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row>
    <row r="14" spans="1:25"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Opportunities[[#This Row],[StageNumber]]&amp;" - "&amp;Opportunities[[#This Row],[Stage]]</f>
        <v>4 -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15" spans="1:25" x14ac:dyDescent="0.25">
      <c r="A15">
        <v>14</v>
      </c>
      <c r="B15" t="s">
        <v>166</v>
      </c>
      <c r="C15" t="s">
        <v>19</v>
      </c>
      <c r="D15" t="s">
        <v>23</v>
      </c>
      <c r="E15">
        <v>1115403</v>
      </c>
      <c r="F15" t="s">
        <v>89</v>
      </c>
      <c r="G15" s="41">
        <v>46233</v>
      </c>
      <c r="H15" s="41">
        <v>45908</v>
      </c>
      <c r="I15" t="s">
        <v>158</v>
      </c>
      <c r="J15">
        <v>13</v>
      </c>
      <c r="L15" t="s">
        <v>400</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Opportunities[[#This Row],[StageNumber]]&amp;" - "&amp;Opportunities[[#This Row],[Stage]]</f>
        <v>2 -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16" spans="1:25"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Opportunities[[#This Row],[StageNumber]]&amp;" - "&amp;Opportunities[[#This Row],[Stage]]</f>
        <v>5 -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17" spans="1:24"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Opportunities[[#This Row],[StageNumber]]&amp;" - "&amp;Opportunities[[#This Row],[Stage]]</f>
        <v>2 -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8" spans="1:24"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Opportunities[[#This Row],[StageNumber]]&amp;" - "&amp;Opportunities[[#This Row],[Stage]]</f>
        <v>1 -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19" spans="1:24" x14ac:dyDescent="0.25">
      <c r="A19">
        <v>18</v>
      </c>
      <c r="B19" t="s">
        <v>170</v>
      </c>
      <c r="C19" t="s">
        <v>19</v>
      </c>
      <c r="D19" t="s">
        <v>18</v>
      </c>
      <c r="E19">
        <v>1498555</v>
      </c>
      <c r="F19" t="s">
        <v>87</v>
      </c>
      <c r="G19" s="41">
        <v>46195</v>
      </c>
      <c r="H19" s="41">
        <v>45918</v>
      </c>
      <c r="I19" t="s">
        <v>156</v>
      </c>
      <c r="J19">
        <v>12</v>
      </c>
      <c r="L19" t="s">
        <v>400</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Opportunities[[#This Row],[StageNumber]]&amp;" - "&amp;Opportunities[[#This Row],[Stage]]</f>
        <v>4 -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0" spans="1:24"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Opportunities[[#This Row],[StageNumber]]&amp;" - "&amp;Opportunities[[#This Row],[Stage]]</f>
        <v>1 -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row>
    <row r="21" spans="1:24"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Opportunities[[#This Row],[StageNumber]]&amp;" - "&amp;Opportunities[[#This Row],[Stage]]</f>
        <v>6 -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2" spans="1:24"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Opportunities[[#This Row],[StageNumber]]&amp;" - "&amp;Opportunities[[#This Row],[Stage]]</f>
        <v>3 -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23" spans="1:24"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Opportunities[[#This Row],[StageNumber]]&amp;" - "&amp;Opportunities[[#This Row],[Stage]]</f>
        <v>5 -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24" spans="1:24"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Opportunities[[#This Row],[StageNumber]]&amp;" - "&amp;Opportunities[[#This Row],[Stage]]</f>
        <v>6 -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25" spans="1:24"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Opportunities[[#This Row],[StageNumber]]&amp;" - "&amp;Opportunities[[#This Row],[Stage]]</f>
        <v>1 -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6" spans="1:24" x14ac:dyDescent="0.25">
      <c r="A26">
        <v>25</v>
      </c>
      <c r="B26" t="s">
        <v>178</v>
      </c>
      <c r="C26" t="s">
        <v>17</v>
      </c>
      <c r="D26" t="s">
        <v>18</v>
      </c>
      <c r="E26">
        <v>1058036</v>
      </c>
      <c r="F26" t="s">
        <v>87</v>
      </c>
      <c r="G26" s="41">
        <v>46142</v>
      </c>
      <c r="H26" s="41">
        <v>45935</v>
      </c>
      <c r="I26" t="s">
        <v>158</v>
      </c>
      <c r="J26">
        <v>22</v>
      </c>
      <c r="L26" t="s">
        <v>400</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Opportunities[[#This Row],[StageNumber]]&amp;" - "&amp;Opportunities[[#This Row],[Stage]]</f>
        <v>4 -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7" spans="1:24"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Opportunities[[#This Row],[StageNumber]]&amp;" - "&amp;Opportunities[[#This Row],[Stage]]</f>
        <v>3 -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28" spans="1:24"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Opportunities[[#This Row],[StageNumber]]&amp;" - "&amp;Opportunities[[#This Row],[Stage]]</f>
        <v>3 -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29" spans="1:24"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Opportunities[[#This Row],[StageNumber]]&amp;" - "&amp;Opportunities[[#This Row],[Stage]]</f>
        <v>2 -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0" spans="1:24"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Opportunities[[#This Row],[StageNumber]]&amp;" - "&amp;Opportunities[[#This Row],[Stage]]</f>
        <v>2 -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31" spans="1:24"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Opportunities[[#This Row],[StageNumber]]&amp;" - "&amp;Opportunities[[#This Row],[Stage]]</f>
        <v>4 -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2" spans="1:24"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Opportunities[[#This Row],[StageNumber]]&amp;" - "&amp;Opportunities[[#This Row],[Stage]]</f>
        <v>6 -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3" spans="1:24"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Opportunities[[#This Row],[StageNumber]]&amp;" - "&amp;Opportunities[[#This Row],[Stage]]</f>
        <v>6 -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row>
    <row r="34" spans="1:24"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Opportunities[[#This Row],[StageNumber]]&amp;" - "&amp;Opportunities[[#This Row],[Stage]]</f>
        <v>4 -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5" spans="1:24"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Opportunities[[#This Row],[StageNumber]]&amp;" - "&amp;Opportunities[[#This Row],[Stage]]</f>
        <v>3 -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row>
    <row r="36" spans="1:24"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Opportunities[[#This Row],[StageNumber]]&amp;" - "&amp;Opportunities[[#This Row],[Stage]]</f>
        <v>5 -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7" spans="1:24"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Opportunities[[#This Row],[StageNumber]]&amp;" - "&amp;Opportunities[[#This Row],[Stage]]</f>
        <v>2 -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38" spans="1:24"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Opportunities[[#This Row],[StageNumber]]&amp;" - "&amp;Opportunities[[#This Row],[Stage]]</f>
        <v>1 -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39" spans="1:24"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Opportunities[[#This Row],[StageNumber]]&amp;" - "&amp;Opportunities[[#This Row],[Stage]]</f>
        <v>1 -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row r="40" spans="1:24"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Opportunities[[#This Row],[StageNumber]]&amp;" - "&amp;Opportunities[[#This Row],[Stage]]</f>
        <v>5 -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row>
    <row r="41" spans="1:24"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Opportunities[[#This Row],[StageNumber]]&amp;" - "&amp;Opportunities[[#This Row],[Stage]]</f>
        <v>2 -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401</v>
      </c>
      <c r="K2" t="s">
        <v>401</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402</v>
      </c>
      <c r="K3" t="s">
        <v>402</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403</v>
      </c>
      <c r="K4" t="s">
        <v>403</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404</v>
      </c>
      <c r="K5" t="s">
        <v>404</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405</v>
      </c>
      <c r="K6" t="s">
        <v>405</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406</v>
      </c>
      <c r="K7" t="s">
        <v>406</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407</v>
      </c>
      <c r="K8" t="s">
        <v>407</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408</v>
      </c>
      <c r="K9" t="s">
        <v>408</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409</v>
      </c>
      <c r="K10" t="s">
        <v>409</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410</v>
      </c>
      <c r="K11" t="s">
        <v>410</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411</v>
      </c>
      <c r="K12" t="s">
        <v>411</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412</v>
      </c>
      <c r="K13" t="s">
        <v>412</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413</v>
      </c>
      <c r="K14" t="s">
        <v>413</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414</v>
      </c>
      <c r="K15" t="s">
        <v>414</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416</v>
      </c>
      <c r="K17" t="s">
        <v>416</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417</v>
      </c>
      <c r="K18" t="s">
        <v>417</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419</v>
      </c>
      <c r="K20" t="s">
        <v>419</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420</v>
      </c>
      <c r="K21" t="s">
        <v>420</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421</v>
      </c>
      <c r="K22" t="s">
        <v>421</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422</v>
      </c>
      <c r="K23" t="s">
        <v>422</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423</v>
      </c>
      <c r="K24" t="s">
        <v>423</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424</v>
      </c>
      <c r="K25" t="s">
        <v>424</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425</v>
      </c>
      <c r="K26" t="s">
        <v>425</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426</v>
      </c>
      <c r="K27" t="s">
        <v>426</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427</v>
      </c>
      <c r="K28" t="s">
        <v>427</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428</v>
      </c>
      <c r="K29" t="s">
        <v>428</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429</v>
      </c>
      <c r="K30" t="s">
        <v>429</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430</v>
      </c>
      <c r="K31" t="s">
        <v>430</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SUMIFS(View[Unweighted],View[High Probability],TRUE,View[Visible],1)/1000</f>
        <v>8.9992440000000009</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1 -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2 -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3 -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4 -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5 -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6 -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45"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60"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45"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60"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C5AA6437-223C-4E31-B8B1-54230B46E8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2025-08-11T13:06:15Z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