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6FCFE37E-031D-4DB0-99B2-A1856B645F2D}" xr6:coauthVersionLast="47" xr6:coauthVersionMax="47" xr10:uidLastSave="{00000000-0000-0000-0000-000000000000}"/>
  <bookViews>
    <workbookView xWindow="-120" yWindow="-120" windowWidth="29040" windowHeight="1572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Pipeline!$B$5</definedName>
    <definedName name="clientId">Settings!$H$5</definedName>
    <definedName name="custList">Settings!$H$3</definedName>
    <definedName name="custListAppend">Settings!$G$3</definedName>
    <definedName name="dateRange">Pipeline!$E$2</definedName>
    <definedName name="ExternalData_1" localSheetId="4" hidden="1">'Customers'!$A$1:$K$31</definedName>
    <definedName name="ExternalData_2" localSheetId="3" hidden="1">Opportunities!$A$1:$O$41</definedName>
    <definedName name="ExternalData_3" localSheetId="0" hidden="1">Pipeline!$N$7:$N$47</definedName>
    <definedName name="fqStart">Settings!$D$1</definedName>
    <definedName name="listPrefix">Settings!$H$2</definedName>
    <definedName name="oppList">Settings!$H$4</definedName>
    <definedName name="oppListAppend">Settings!$G$4</definedName>
    <definedName name="pipelineType">Pipeline!$B$6</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4" l="1"/>
  <c r="E9" i="4"/>
  <c r="E13" i="4"/>
  <c r="E14" i="4"/>
  <c r="E17" i="4"/>
  <c r="E18" i="4"/>
  <c r="E26" i="4"/>
  <c r="E30" i="4"/>
  <c r="E33" i="4"/>
  <c r="E34" i="4"/>
  <c r="T34" i="4" s="1"/>
  <c r="Y20" i="3" s="1"/>
  <c r="E38" i="4"/>
  <c r="E41" i="4"/>
  <c r="B2" i="4"/>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S2" i="3"/>
  <c r="S3" i="3"/>
  <c r="T3" i="3" s="1"/>
  <c r="H27" i="4" s="1"/>
  <c r="S4" i="3"/>
  <c r="S5" i="3"/>
  <c r="S6" i="3"/>
  <c r="S7" i="3"/>
  <c r="S8" i="3"/>
  <c r="S9" i="3"/>
  <c r="S10" i="3"/>
  <c r="S11" i="3"/>
  <c r="S12" i="3"/>
  <c r="S13" i="3"/>
  <c r="S14" i="3"/>
  <c r="S15" i="3"/>
  <c r="T15" i="3" s="1"/>
  <c r="H40" i="4" s="1"/>
  <c r="S16" i="3"/>
  <c r="S17" i="3"/>
  <c r="S18" i="3"/>
  <c r="S19" i="3"/>
  <c r="S20" i="3"/>
  <c r="S21" i="3"/>
  <c r="S22" i="3"/>
  <c r="S23" i="3"/>
  <c r="S24" i="3"/>
  <c r="S25" i="3"/>
  <c r="S26" i="3"/>
  <c r="S27" i="3"/>
  <c r="S28" i="3"/>
  <c r="S29" i="3"/>
  <c r="S30" i="3"/>
  <c r="S31" i="3"/>
  <c r="S32" i="3"/>
  <c r="S33" i="3"/>
  <c r="S34" i="3"/>
  <c r="S35" i="3"/>
  <c r="S36" i="3"/>
  <c r="S37" i="3"/>
  <c r="S38" i="3"/>
  <c r="S39" i="3"/>
  <c r="S40" i="3"/>
  <c r="S41" i="3"/>
  <c r="T11" i="3"/>
  <c r="H29" i="4" s="1"/>
  <c r="U2" i="3"/>
  <c r="U3" i="3"/>
  <c r="Q27" i="4" s="1"/>
  <c r="K27" i="4" s="1"/>
  <c r="U4" i="3"/>
  <c r="Q32" i="4" s="1"/>
  <c r="K32" i="4" s="1"/>
  <c r="U5" i="3"/>
  <c r="Q35" i="4" s="1"/>
  <c r="K35" i="4" s="1"/>
  <c r="U6" i="3"/>
  <c r="U7" i="3"/>
  <c r="U8" i="3"/>
  <c r="Q19" i="4" s="1"/>
  <c r="K19" i="4" s="1"/>
  <c r="U9" i="3"/>
  <c r="Q15" i="4" s="1"/>
  <c r="K15" i="4" s="1"/>
  <c r="U10" i="3"/>
  <c r="U11" i="3"/>
  <c r="Q29" i="4" s="1"/>
  <c r="K29" i="4" s="1"/>
  <c r="U12" i="3"/>
  <c r="Q36" i="4" s="1"/>
  <c r="K36" i="4" s="1"/>
  <c r="U13" i="3"/>
  <c r="Q22" i="4" s="1"/>
  <c r="K22" i="4" s="1"/>
  <c r="U14" i="3"/>
  <c r="U15" i="3"/>
  <c r="Q40" i="4" s="1"/>
  <c r="K40" i="4" s="1"/>
  <c r="U16" i="3"/>
  <c r="Q20" i="4" s="1"/>
  <c r="K20" i="4" s="1"/>
  <c r="U17" i="3"/>
  <c r="Q45" i="4" s="1"/>
  <c r="K45" i="4" s="1"/>
  <c r="U18" i="3"/>
  <c r="U19" i="3"/>
  <c r="Q44" i="4" s="1"/>
  <c r="K44" i="4" s="1"/>
  <c r="U20" i="3"/>
  <c r="Q34" i="4" s="1"/>
  <c r="K34" i="4" s="1"/>
  <c r="U21" i="3"/>
  <c r="Q31" i="4" s="1"/>
  <c r="K31" i="4" s="1"/>
  <c r="U22" i="3"/>
  <c r="U23" i="3"/>
  <c r="Q46" i="4" s="1"/>
  <c r="K46" i="4" s="1"/>
  <c r="U24" i="3"/>
  <c r="Q18" i="4" s="1"/>
  <c r="K18" i="4" s="1"/>
  <c r="U25" i="3"/>
  <c r="Q11" i="4" s="1"/>
  <c r="K11" i="4" s="1"/>
  <c r="U26" i="3"/>
  <c r="U27" i="3"/>
  <c r="Q24" i="4" s="1"/>
  <c r="K24" i="4" s="1"/>
  <c r="U28" i="3"/>
  <c r="Q26" i="4" s="1"/>
  <c r="K26" i="4" s="1"/>
  <c r="U29" i="3"/>
  <c r="Q25" i="4" s="1"/>
  <c r="K25" i="4" s="1"/>
  <c r="U30" i="3"/>
  <c r="U31" i="3"/>
  <c r="Q42" i="4" s="1"/>
  <c r="K42" i="4" s="1"/>
  <c r="U32" i="3"/>
  <c r="U33" i="3"/>
  <c r="Q37" i="4" s="1"/>
  <c r="K37" i="4" s="1"/>
  <c r="U34" i="3"/>
  <c r="U35" i="3"/>
  <c r="Q21" i="4" s="1"/>
  <c r="K21" i="4" s="1"/>
  <c r="U36" i="3"/>
  <c r="Q14" i="4" s="1"/>
  <c r="K14" i="4" s="1"/>
  <c r="U37" i="3"/>
  <c r="Q8" i="4" s="1"/>
  <c r="K8" i="4" s="1"/>
  <c r="U38" i="3"/>
  <c r="U39" i="3"/>
  <c r="U40" i="3"/>
  <c r="Q30" i="4" s="1"/>
  <c r="K30" i="4" s="1"/>
  <c r="U41" i="3"/>
  <c r="Q12" i="4" s="1"/>
  <c r="K12" i="4" s="1"/>
  <c r="V2" i="3" a="1"/>
  <c r="V2" i="3"/>
  <c r="E39" i="4" s="1"/>
  <c r="T39" i="4" s="1"/>
  <c r="Y2" i="3" s="1"/>
  <c r="V3" i="3" a="1"/>
  <c r="V3" i="3"/>
  <c r="V4" i="3" a="1"/>
  <c r="V4" i="3"/>
  <c r="V5" i="3" a="1"/>
  <c r="V5" i="3"/>
  <c r="E35" i="4" s="1"/>
  <c r="V6" i="3" a="1"/>
  <c r="V6" i="3"/>
  <c r="V7" i="3" a="1"/>
  <c r="V7" i="3"/>
  <c r="E10" i="4" s="1"/>
  <c r="V8" i="3" a="1"/>
  <c r="V8" i="3"/>
  <c r="V9" i="3" a="1"/>
  <c r="V9" i="3"/>
  <c r="E15" i="4" s="1"/>
  <c r="T15" i="4" s="1"/>
  <c r="Y9" i="3" s="1"/>
  <c r="V10" i="3" a="1"/>
  <c r="V10" i="3"/>
  <c r="E43" i="4" s="1"/>
  <c r="V11" i="3" a="1"/>
  <c r="V11" i="3"/>
  <c r="E29" i="4" s="1"/>
  <c r="V12" i="3" a="1"/>
  <c r="V12" i="3"/>
  <c r="V13" i="3" a="1"/>
  <c r="V13" i="3"/>
  <c r="V14" i="3" a="1"/>
  <c r="V14" i="3"/>
  <c r="E47" i="4" s="1"/>
  <c r="T47" i="4" s="1"/>
  <c r="Y14" i="3" s="1"/>
  <c r="V15" i="3" a="1"/>
  <c r="V15" i="3"/>
  <c r="V16" i="3" a="1"/>
  <c r="V16" i="3"/>
  <c r="E20" i="4" s="1"/>
  <c r="T20" i="4" s="1"/>
  <c r="Y16" i="3" s="1"/>
  <c r="V17" i="3" a="1"/>
  <c r="V17" i="3"/>
  <c r="E45" i="4" s="1"/>
  <c r="V18" i="3" a="1"/>
  <c r="V18" i="3"/>
  <c r="E28" i="4" s="1"/>
  <c r="V19" i="3" a="1"/>
  <c r="V19" i="3"/>
  <c r="V20" i="3" a="1"/>
  <c r="V20" i="3"/>
  <c r="V21" i="3" a="1"/>
  <c r="V21" i="3"/>
  <c r="E31" i="4" s="1"/>
  <c r="V22" i="3" a="1"/>
  <c r="V22" i="3"/>
  <c r="V23" i="3" a="1"/>
  <c r="V23" i="3"/>
  <c r="E46" i="4" s="1"/>
  <c r="V24" i="3" a="1"/>
  <c r="V24" i="3"/>
  <c r="V25" i="3" a="1"/>
  <c r="V25" i="3"/>
  <c r="V26" i="3" a="1"/>
  <c r="V26" i="3"/>
  <c r="V27" i="3" a="1"/>
  <c r="V27" i="3"/>
  <c r="V28" i="3" a="1"/>
  <c r="V28" i="3"/>
  <c r="V29" i="3" a="1"/>
  <c r="V29" i="3"/>
  <c r="E25" i="4" s="1"/>
  <c r="V30" i="3" a="1"/>
  <c r="V30" i="3"/>
  <c r="E16" i="4" s="1"/>
  <c r="V31" i="3" a="1"/>
  <c r="V31" i="3"/>
  <c r="V32" i="3" a="1"/>
  <c r="V32" i="3"/>
  <c r="V33" i="3" a="1"/>
  <c r="V33" i="3"/>
  <c r="E37" i="4" s="1"/>
  <c r="T37" i="4" s="1"/>
  <c r="Y33" i="3" s="1"/>
  <c r="V34" i="3" a="1"/>
  <c r="V34" i="3"/>
  <c r="V35" i="3" a="1"/>
  <c r="V35" i="3"/>
  <c r="E21" i="4" s="1"/>
  <c r="V36" i="3" a="1"/>
  <c r="V36" i="3"/>
  <c r="V37" i="3" a="1"/>
  <c r="V37" i="3"/>
  <c r="E8" i="4" s="1"/>
  <c r="V38" i="3" a="1"/>
  <c r="V38" i="3"/>
  <c r="V39" i="3" a="1"/>
  <c r="V39" i="3"/>
  <c r="E23" i="4" s="1"/>
  <c r="V40" i="3" a="1"/>
  <c r="V40" i="3"/>
  <c r="V41" i="3" a="1"/>
  <c r="V41" i="3"/>
  <c r="W2"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AA2" i="3"/>
  <c r="AA3" i="3"/>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C2" i="3" a="1"/>
  <c r="AC2" i="3" s="1"/>
  <c r="AC3" i="3" a="1"/>
  <c r="AC3" i="3"/>
  <c r="AD3" i="3" s="1"/>
  <c r="AC4" i="3" a="1"/>
  <c r="AC4" i="3" s="1"/>
  <c r="AC5" i="3" a="1"/>
  <c r="AC5" i="3" s="1"/>
  <c r="J35" i="4" s="1"/>
  <c r="S35" i="4" s="1"/>
  <c r="AC6" i="3" a="1"/>
  <c r="AC6" i="3" s="1"/>
  <c r="AC7" i="3" a="1"/>
  <c r="AC7" i="3"/>
  <c r="J10" i="4" s="1"/>
  <c r="S10" i="4" s="1"/>
  <c r="AC8" i="3" a="1"/>
  <c r="AC8" i="3" s="1"/>
  <c r="AD8" i="3" s="1"/>
  <c r="AC9" i="3" a="1"/>
  <c r="AC9" i="3" s="1"/>
  <c r="AD9" i="3" s="1"/>
  <c r="AC10" i="3" a="1"/>
  <c r="AC10" i="3" s="1"/>
  <c r="AC11" i="3" a="1"/>
  <c r="AC11" i="3" s="1"/>
  <c r="AC12" i="3" a="1"/>
  <c r="AC12" i="3" s="1"/>
  <c r="AC13" i="3" a="1"/>
  <c r="AC13" i="3" s="1"/>
  <c r="AD13" i="3" s="1"/>
  <c r="AC14" i="3" a="1"/>
  <c r="AC14" i="3" s="1"/>
  <c r="AC15" i="3" a="1"/>
  <c r="AC15" i="3"/>
  <c r="J40" i="4" s="1"/>
  <c r="S40" i="4" s="1"/>
  <c r="AC16" i="3" a="1"/>
  <c r="AC16" i="3" s="1"/>
  <c r="AC17" i="3" a="1"/>
  <c r="AC17" i="3" s="1"/>
  <c r="AC18" i="3" a="1"/>
  <c r="AC18" i="3" s="1"/>
  <c r="AC19" i="3" a="1"/>
  <c r="AC19" i="3"/>
  <c r="J44" i="4" s="1"/>
  <c r="S44" i="4" s="1"/>
  <c r="AC20" i="3" a="1"/>
  <c r="AC20" i="3" s="1"/>
  <c r="AC21" i="3" a="1"/>
  <c r="AC21" i="3" s="1"/>
  <c r="J31" i="4" s="1"/>
  <c r="S31" i="4" s="1"/>
  <c r="AC22" i="3" a="1"/>
  <c r="AC22" i="3" s="1"/>
  <c r="AD22" i="3" s="1"/>
  <c r="AC23" i="3" a="1"/>
  <c r="AC23" i="3"/>
  <c r="J46" i="4" s="1"/>
  <c r="S46" i="4" s="1"/>
  <c r="AC24" i="3" a="1"/>
  <c r="AC24" i="3" s="1"/>
  <c r="AC25" i="3" a="1"/>
  <c r="AC25" i="3" s="1"/>
  <c r="AD25" i="3" s="1"/>
  <c r="AC26" i="3" a="1"/>
  <c r="AC26" i="3" s="1"/>
  <c r="AD26" i="3" s="1"/>
  <c r="AC27" i="3" a="1"/>
  <c r="AC27" i="3" s="1"/>
  <c r="J24" i="4" s="1"/>
  <c r="S24" i="4" s="1"/>
  <c r="AC28" i="3" a="1"/>
  <c r="AC28" i="3" s="1"/>
  <c r="AC29" i="3" a="1"/>
  <c r="AC29" i="3" s="1"/>
  <c r="AD29" i="3" s="1"/>
  <c r="AC30" i="3" a="1"/>
  <c r="AC30" i="3" s="1"/>
  <c r="AC31" i="3" a="1"/>
  <c r="AC31" i="3"/>
  <c r="AD31" i="3" s="1"/>
  <c r="AC32" i="3" a="1"/>
  <c r="AC32" i="3" s="1"/>
  <c r="AC33" i="3" a="1"/>
  <c r="AC33" i="3" s="1"/>
  <c r="J37" i="4" s="1"/>
  <c r="S37" i="4" s="1"/>
  <c r="AC34" i="3" a="1"/>
  <c r="AC34" i="3" s="1"/>
  <c r="AC35" i="3" a="1"/>
  <c r="AC35" i="3"/>
  <c r="AD35" i="3" s="1"/>
  <c r="AC36" i="3" a="1"/>
  <c r="AC36" i="3" s="1"/>
  <c r="AC37" i="3" a="1"/>
  <c r="AC37" i="3" s="1"/>
  <c r="J8" i="4" s="1"/>
  <c r="S8" i="4" s="1"/>
  <c r="AC38" i="3" a="1"/>
  <c r="AC38" i="3" s="1"/>
  <c r="AC39" i="3" a="1"/>
  <c r="AC39" i="3"/>
  <c r="J23" i="4" s="1"/>
  <c r="S23" i="4" s="1"/>
  <c r="AC40" i="3" a="1"/>
  <c r="AC40" i="3" s="1"/>
  <c r="AD40" i="3" s="1"/>
  <c r="AC41" i="3" a="1"/>
  <c r="AC41" i="3" s="1"/>
  <c r="J12" i="4" s="1"/>
  <c r="S12" i="4" s="1"/>
  <c r="T9" i="4"/>
  <c r="Y26" i="3" s="1"/>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Q9" i="4"/>
  <c r="K9" i="4" s="1"/>
  <c r="Q10" i="4"/>
  <c r="K10" i="4" s="1"/>
  <c r="Q13" i="4"/>
  <c r="K13" i="4" s="1"/>
  <c r="Q16" i="4"/>
  <c r="K16" i="4" s="1"/>
  <c r="Q17" i="4"/>
  <c r="K17" i="4" s="1"/>
  <c r="Q23" i="4"/>
  <c r="K23" i="4" s="1"/>
  <c r="Q28" i="4"/>
  <c r="K28" i="4" s="1"/>
  <c r="Q33" i="4"/>
  <c r="K33" i="4" s="1"/>
  <c r="Q38" i="4"/>
  <c r="K38" i="4" s="1"/>
  <c r="Q39" i="4"/>
  <c r="K39" i="4" s="1"/>
  <c r="Q41" i="4"/>
  <c r="K41" i="4" s="1"/>
  <c r="Q43" i="4"/>
  <c r="K43" i="4" s="1"/>
  <c r="Q47" i="4"/>
  <c r="K47" i="4" s="1"/>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S13" i="6"/>
  <c r="T2" i="3" s="1"/>
  <c r="H39" i="4" s="1"/>
  <c r="S14" i="6"/>
  <c r="S15" i="6"/>
  <c r="T8" i="3" s="1"/>
  <c r="H19" i="4" s="1"/>
  <c r="S16" i="6"/>
  <c r="S17" i="6"/>
  <c r="S18" i="6"/>
  <c r="A6" i="6"/>
  <c r="A5" i="6"/>
  <c r="A4" i="6"/>
  <c r="A3" i="6"/>
  <c r="A2" i="6"/>
  <c r="K9" i="6" a="1"/>
  <c r="K9" i="6" s="1"/>
  <c r="K8" i="6" a="1"/>
  <c r="K8" i="6" s="1"/>
  <c r="K3" i="6" a="1"/>
  <c r="K3" i="6" s="1"/>
  <c r="K6" i="6" a="1"/>
  <c r="K6" i="6" s="1"/>
  <c r="K5" i="6" a="1"/>
  <c r="K5" i="6" s="1"/>
  <c r="K4" i="6" a="1"/>
  <c r="K4" i="6" s="1"/>
  <c r="H3" i="6"/>
  <c r="C2" i="4" s="1"/>
  <c r="H4" i="6"/>
  <c r="R4" i="3" s="1"/>
  <c r="F47" i="4" l="1"/>
  <c r="F15" i="4"/>
  <c r="T42" i="4"/>
  <c r="Y31" i="3" s="1"/>
  <c r="T24" i="4"/>
  <c r="Y27" i="3" s="1"/>
  <c r="T22" i="4"/>
  <c r="Y13" i="3" s="1"/>
  <c r="T19" i="3"/>
  <c r="H44" i="4" s="1"/>
  <c r="R35" i="3"/>
  <c r="G21" i="4" s="1"/>
  <c r="R19" i="3"/>
  <c r="E42" i="4"/>
  <c r="E22" i="4"/>
  <c r="T36" i="3"/>
  <c r="H14" i="4" s="1"/>
  <c r="F39" i="4"/>
  <c r="F23" i="4"/>
  <c r="Z15" i="3"/>
  <c r="G10" i="4"/>
  <c r="T13" i="4"/>
  <c r="Y38" i="3" s="1"/>
  <c r="T41" i="4"/>
  <c r="Y22" i="3" s="1"/>
  <c r="T19" i="4"/>
  <c r="Y8" i="3" s="1"/>
  <c r="R27" i="3"/>
  <c r="R11" i="3"/>
  <c r="C3" i="4"/>
  <c r="E44" i="4"/>
  <c r="T44" i="4" s="1"/>
  <c r="Y19" i="3" s="1"/>
  <c r="E40" i="4"/>
  <c r="T40" i="4" s="1"/>
  <c r="Y15" i="3" s="1"/>
  <c r="E36" i="4"/>
  <c r="T36" i="4" s="1"/>
  <c r="Y12" i="3" s="1"/>
  <c r="E32" i="4"/>
  <c r="T32" i="4" s="1"/>
  <c r="Y4" i="3" s="1"/>
  <c r="E24" i="4"/>
  <c r="E12" i="4"/>
  <c r="T12" i="4" s="1"/>
  <c r="Y41" i="3" s="1"/>
  <c r="F31" i="4"/>
  <c r="T8" i="4"/>
  <c r="Y37" i="3" s="1"/>
  <c r="R3" i="3"/>
  <c r="F43" i="4"/>
  <c r="F27" i="4"/>
  <c r="F11" i="4"/>
  <c r="T31" i="3"/>
  <c r="H42" i="4" s="1"/>
  <c r="R31" i="3"/>
  <c r="G42" i="4" s="1"/>
  <c r="R15" i="3"/>
  <c r="T7" i="3"/>
  <c r="H10" i="4" s="1"/>
  <c r="F35" i="4"/>
  <c r="F19" i="4"/>
  <c r="R39" i="3"/>
  <c r="G23" i="4" s="1"/>
  <c r="R23" i="3"/>
  <c r="R7" i="3"/>
  <c r="B3" i="4"/>
  <c r="E27" i="4"/>
  <c r="T27" i="4" s="1"/>
  <c r="Y3" i="3" s="1"/>
  <c r="E19" i="4"/>
  <c r="E11" i="4"/>
  <c r="T11" i="4" s="1"/>
  <c r="Y25" i="3" s="1"/>
  <c r="E2" i="4"/>
  <c r="T30" i="4"/>
  <c r="Y40" i="3" s="1"/>
  <c r="T14" i="4"/>
  <c r="Y36" i="3" s="1"/>
  <c r="T26" i="4"/>
  <c r="Y28" i="3" s="1"/>
  <c r="T18" i="4"/>
  <c r="Y24" i="3" s="1"/>
  <c r="T27" i="3"/>
  <c r="H24" i="4" s="1"/>
  <c r="L2" i="2"/>
  <c r="L6" i="2"/>
  <c r="N6" i="2" s="1"/>
  <c r="L10" i="2"/>
  <c r="L14" i="2"/>
  <c r="L18" i="2"/>
  <c r="L22" i="2"/>
  <c r="L26" i="2"/>
  <c r="L30" i="2"/>
  <c r="L3" i="2"/>
  <c r="L7" i="2"/>
  <c r="N7" i="2" s="1"/>
  <c r="L11" i="2"/>
  <c r="L15" i="2"/>
  <c r="L19" i="2"/>
  <c r="L23" i="2"/>
  <c r="L27" i="2"/>
  <c r="L31" i="2"/>
  <c r="L4" i="2"/>
  <c r="L8" i="2"/>
  <c r="N8" i="2" s="1"/>
  <c r="L12" i="2"/>
  <c r="L16" i="2"/>
  <c r="L20" i="2"/>
  <c r="L24" i="2"/>
  <c r="L28" i="2"/>
  <c r="L5" i="2"/>
  <c r="N5" i="2" s="1"/>
  <c r="L9" i="2"/>
  <c r="N9" i="2" s="1"/>
  <c r="L13" i="2"/>
  <c r="L17" i="2"/>
  <c r="L21" i="2"/>
  <c r="L25" i="2"/>
  <c r="L29" i="2"/>
  <c r="T20" i="3"/>
  <c r="H34" i="4" s="1"/>
  <c r="T32" i="3"/>
  <c r="H38" i="4" s="1"/>
  <c r="T9" i="3"/>
  <c r="H15" i="4" s="1"/>
  <c r="T21" i="3"/>
  <c r="H31" i="4" s="1"/>
  <c r="T10" i="3"/>
  <c r="H43" i="4" s="1"/>
  <c r="T26" i="3"/>
  <c r="H9" i="4" s="1"/>
  <c r="T4" i="3"/>
  <c r="H32" i="4" s="1"/>
  <c r="T28" i="3"/>
  <c r="H26" i="4" s="1"/>
  <c r="T13" i="3"/>
  <c r="H22" i="4" s="1"/>
  <c r="T29" i="3"/>
  <c r="H25" i="4" s="1"/>
  <c r="AD11" i="3"/>
  <c r="J29" i="4"/>
  <c r="S29" i="4" s="1"/>
  <c r="T39" i="3"/>
  <c r="H23" i="4" s="1"/>
  <c r="T23" i="3"/>
  <c r="H46" i="4" s="1"/>
  <c r="T12" i="3"/>
  <c r="H36" i="4" s="1"/>
  <c r="T24" i="3"/>
  <c r="H18" i="4" s="1"/>
  <c r="T40" i="3"/>
  <c r="H30" i="4" s="1"/>
  <c r="T25" i="3"/>
  <c r="H11" i="4" s="1"/>
  <c r="J45" i="4"/>
  <c r="S45" i="4" s="1"/>
  <c r="AD17" i="3"/>
  <c r="T35" i="3"/>
  <c r="H21" i="4" s="1"/>
  <c r="G29" i="4"/>
  <c r="G27" i="4"/>
  <c r="G46" i="4"/>
  <c r="F46" i="4"/>
  <c r="F42" i="4"/>
  <c r="F38" i="4"/>
  <c r="F34" i="4"/>
  <c r="F30" i="4"/>
  <c r="F26" i="4"/>
  <c r="F22" i="4"/>
  <c r="F18" i="4"/>
  <c r="F14" i="4"/>
  <c r="F10" i="4"/>
  <c r="AD39" i="3"/>
  <c r="T38" i="3"/>
  <c r="H13" i="4" s="1"/>
  <c r="T34" i="3"/>
  <c r="H33" i="4" s="1"/>
  <c r="T30" i="3"/>
  <c r="H16" i="4" s="1"/>
  <c r="T22" i="3"/>
  <c r="H41" i="4" s="1"/>
  <c r="T18" i="3"/>
  <c r="H28" i="4" s="1"/>
  <c r="T14" i="3"/>
  <c r="H47" i="4" s="1"/>
  <c r="T6" i="3"/>
  <c r="H17" i="4" s="1"/>
  <c r="R38" i="3"/>
  <c r="G13" i="4" s="1"/>
  <c r="R34" i="3"/>
  <c r="G33" i="4" s="1"/>
  <c r="R30" i="3"/>
  <c r="G16" i="4" s="1"/>
  <c r="R26" i="3"/>
  <c r="G9" i="4" s="1"/>
  <c r="R22" i="3"/>
  <c r="G41" i="4" s="1"/>
  <c r="R18" i="3"/>
  <c r="G28" i="4" s="1"/>
  <c r="R14" i="3"/>
  <c r="G47" i="4" s="1"/>
  <c r="R10" i="3"/>
  <c r="G43" i="4" s="1"/>
  <c r="R6" i="3"/>
  <c r="G17" i="4" s="1"/>
  <c r="R2" i="3"/>
  <c r="G39" i="4" s="1"/>
  <c r="F45" i="4"/>
  <c r="F41" i="4"/>
  <c r="F37" i="4"/>
  <c r="F33" i="4"/>
  <c r="F29" i="4"/>
  <c r="F25" i="4"/>
  <c r="F21" i="4"/>
  <c r="F17" i="4"/>
  <c r="F13" i="4"/>
  <c r="F9" i="4"/>
  <c r="T41" i="3"/>
  <c r="H12" i="4" s="1"/>
  <c r="T37" i="3"/>
  <c r="H8" i="4" s="1"/>
  <c r="T33" i="3"/>
  <c r="H37" i="4" s="1"/>
  <c r="T17" i="3"/>
  <c r="H45" i="4" s="1"/>
  <c r="T5" i="3"/>
  <c r="H35" i="4" s="1"/>
  <c r="R41" i="3"/>
  <c r="R37" i="3"/>
  <c r="G8" i="4" s="1"/>
  <c r="R33" i="3"/>
  <c r="R29" i="3"/>
  <c r="R25" i="3"/>
  <c r="G11" i="4" s="1"/>
  <c r="R21" i="3"/>
  <c r="G31" i="4" s="1"/>
  <c r="R17" i="3"/>
  <c r="R13" i="3"/>
  <c r="R9" i="3"/>
  <c r="G15" i="4" s="1"/>
  <c r="R5" i="3"/>
  <c r="F44" i="4"/>
  <c r="F40" i="4"/>
  <c r="F36" i="4"/>
  <c r="F32" i="4"/>
  <c r="F28" i="4"/>
  <c r="F24" i="4"/>
  <c r="F20" i="4"/>
  <c r="F16" i="4"/>
  <c r="F12" i="4"/>
  <c r="F8" i="4"/>
  <c r="Z31" i="3"/>
  <c r="Z40" i="3"/>
  <c r="Z28" i="3"/>
  <c r="Z24" i="3"/>
  <c r="Z12" i="3"/>
  <c r="Z8" i="3"/>
  <c r="Z4" i="3"/>
  <c r="T16" i="3"/>
  <c r="H20" i="4" s="1"/>
  <c r="R40" i="3"/>
  <c r="G30" i="4" s="1"/>
  <c r="R36" i="3"/>
  <c r="G14" i="4" s="1"/>
  <c r="R32" i="3"/>
  <c r="R28" i="3"/>
  <c r="G26" i="4" s="1"/>
  <c r="R24" i="3"/>
  <c r="G18" i="4" s="1"/>
  <c r="R20" i="3"/>
  <c r="G34" i="4" s="1"/>
  <c r="R16" i="3"/>
  <c r="R12" i="3"/>
  <c r="G36" i="4" s="1"/>
  <c r="R8" i="3"/>
  <c r="G19" i="4" s="1"/>
  <c r="Z38" i="3"/>
  <c r="Z36" i="3"/>
  <c r="Z34" i="3"/>
  <c r="Z26" i="3"/>
  <c r="Z22" i="3"/>
  <c r="Z20" i="3"/>
  <c r="Z14" i="3"/>
  <c r="Z10" i="3"/>
  <c r="Z6" i="3"/>
  <c r="Z2" i="3"/>
  <c r="X41" i="3"/>
  <c r="X29" i="3"/>
  <c r="Z39" i="3"/>
  <c r="Z35" i="3"/>
  <c r="Z23" i="3"/>
  <c r="Z11" i="3"/>
  <c r="Z9" i="3"/>
  <c r="Z7" i="3"/>
  <c r="G37" i="4"/>
  <c r="G22" i="4"/>
  <c r="AD32" i="3"/>
  <c r="J38" i="4"/>
  <c r="S38" i="4" s="1"/>
  <c r="AD24" i="3"/>
  <c r="J18" i="4"/>
  <c r="S18" i="4" s="1"/>
  <c r="J20" i="4"/>
  <c r="S20" i="4" s="1"/>
  <c r="AD16" i="3"/>
  <c r="AD10" i="3"/>
  <c r="J43" i="4"/>
  <c r="S43" i="4" s="1"/>
  <c r="J14" i="4"/>
  <c r="S14" i="4" s="1"/>
  <c r="AD36" i="3"/>
  <c r="AD28" i="3"/>
  <c r="J26" i="4"/>
  <c r="S26" i="4" s="1"/>
  <c r="AD20" i="3"/>
  <c r="J34" i="4"/>
  <c r="S34" i="4" s="1"/>
  <c r="J32" i="4"/>
  <c r="S32" i="4" s="1"/>
  <c r="AD4" i="3"/>
  <c r="AD34" i="3"/>
  <c r="J33" i="4"/>
  <c r="S33" i="4" s="1"/>
  <c r="AD2" i="3"/>
  <c r="J39" i="4"/>
  <c r="S39" i="4" s="1"/>
  <c r="J36" i="4"/>
  <c r="S36" i="4" s="1"/>
  <c r="AD12" i="3"/>
  <c r="AD38" i="3"/>
  <c r="J13" i="4"/>
  <c r="S13" i="4" s="1"/>
  <c r="AD14" i="3"/>
  <c r="J47" i="4"/>
  <c r="S47" i="4" s="1"/>
  <c r="AD6" i="3"/>
  <c r="J17" i="4"/>
  <c r="S17" i="4" s="1"/>
  <c r="Z21" i="3"/>
  <c r="Z5" i="3"/>
  <c r="G35" i="4"/>
  <c r="T21" i="4"/>
  <c r="Y35" i="3" s="1"/>
  <c r="Z41" i="3"/>
  <c r="Z25" i="3"/>
  <c r="G38" i="4"/>
  <c r="Z33" i="3"/>
  <c r="Z29" i="3"/>
  <c r="Z17" i="3"/>
  <c r="G45" i="4"/>
  <c r="T31" i="4"/>
  <c r="Y21" i="3" s="1"/>
  <c r="AD23" i="3"/>
  <c r="Z32" i="3"/>
  <c r="G25" i="4"/>
  <c r="T10" i="4"/>
  <c r="Y7" i="3" s="1"/>
  <c r="AD33" i="3"/>
  <c r="AD7" i="3"/>
  <c r="G12" i="4"/>
  <c r="J27" i="4"/>
  <c r="S27" i="4" s="1"/>
  <c r="T35" i="4"/>
  <c r="Y5" i="3" s="1"/>
  <c r="T25" i="4"/>
  <c r="Y29" i="3" s="1"/>
  <c r="AD27" i="3"/>
  <c r="AD21" i="3"/>
  <c r="J15" i="4"/>
  <c r="S15" i="4" s="1"/>
  <c r="T29" i="4"/>
  <c r="Y11" i="3" s="1"/>
  <c r="AD15" i="3"/>
  <c r="AD30" i="3"/>
  <c r="J16" i="4"/>
  <c r="S16" i="4" s="1"/>
  <c r="AD18" i="3"/>
  <c r="J28" i="4"/>
  <c r="S28" i="4" s="1"/>
  <c r="Z30" i="3"/>
  <c r="T16" i="4"/>
  <c r="Y30" i="3" s="1"/>
  <c r="G44" i="4"/>
  <c r="G40" i="4"/>
  <c r="J22" i="4"/>
  <c r="S22" i="4" s="1"/>
  <c r="J11" i="4"/>
  <c r="S11" i="4" s="1"/>
  <c r="T46" i="4"/>
  <c r="Y23" i="3" s="1"/>
  <c r="AD37" i="3"/>
  <c r="AD5" i="3"/>
  <c r="Z19" i="3"/>
  <c r="Z13" i="3"/>
  <c r="Z3" i="3"/>
  <c r="G20" i="4"/>
  <c r="G32" i="4"/>
  <c r="J42" i="4"/>
  <c r="S42" i="4" s="1"/>
  <c r="J21" i="4"/>
  <c r="S21" i="4" s="1"/>
  <c r="T45" i="4"/>
  <c r="Y17" i="3" s="1"/>
  <c r="T23" i="4"/>
  <c r="Y39" i="3" s="1"/>
  <c r="AD41" i="3"/>
  <c r="Z18" i="3"/>
  <c r="T28" i="4"/>
  <c r="Y18" i="3" s="1"/>
  <c r="G24" i="4"/>
  <c r="J41" i="4"/>
  <c r="S41" i="4" s="1"/>
  <c r="J30" i="4"/>
  <c r="S30" i="4" s="1"/>
  <c r="J25" i="4"/>
  <c r="S25" i="4" s="1"/>
  <c r="J19" i="4"/>
  <c r="S19" i="4" s="1"/>
  <c r="J9" i="4"/>
  <c r="S9" i="4" s="1"/>
  <c r="T43" i="4"/>
  <c r="Y10" i="3" s="1"/>
  <c r="T38" i="4"/>
  <c r="Y32" i="3" s="1"/>
  <c r="T33" i="4"/>
  <c r="Y34" i="3" s="1"/>
  <c r="T17" i="4"/>
  <c r="Y6" i="3" s="1"/>
  <c r="AD19" i="3"/>
  <c r="Z37" i="3"/>
  <c r="Z27" i="3"/>
  <c r="Z16" i="3"/>
  <c r="F3" i="6"/>
  <c r="F1" i="9" a="1"/>
  <c r="A16" i="5"/>
  <c r="A13" i="5"/>
  <c r="A14" i="5"/>
  <c r="A11" i="5"/>
  <c r="A15" i="5"/>
  <c r="A12" i="5"/>
  <c r="F4" i="6"/>
  <c r="X9" i="3" l="1"/>
  <c r="N17" i="2"/>
  <c r="X12" i="3"/>
  <c r="X22" i="3"/>
  <c r="N12" i="2"/>
  <c r="X4" i="3"/>
  <c r="N29" i="2"/>
  <c r="X24" i="3"/>
  <c r="N13" i="2"/>
  <c r="X3" i="3"/>
  <c r="X16" i="3"/>
  <c r="N24" i="2"/>
  <c r="X21" i="3"/>
  <c r="N23" i="2"/>
  <c r="N22" i="2"/>
  <c r="X10" i="3"/>
  <c r="X17" i="3"/>
  <c r="N28" i="2"/>
  <c r="N27" i="2"/>
  <c r="X11" i="3"/>
  <c r="N11" i="2"/>
  <c r="X18" i="3"/>
  <c r="X19" i="3"/>
  <c r="N26" i="2"/>
  <c r="X37" i="3"/>
  <c r="N10" i="2"/>
  <c r="X28" i="3"/>
  <c r="X38" i="3"/>
  <c r="X5" i="3"/>
  <c r="N25" i="2"/>
  <c r="X20" i="3"/>
  <c r="N20" i="2"/>
  <c r="X40" i="3"/>
  <c r="N4" i="2"/>
  <c r="N19" i="2"/>
  <c r="X15" i="3"/>
  <c r="X36" i="3"/>
  <c r="X6" i="3"/>
  <c r="X35" i="3"/>
  <c r="N3" i="2"/>
  <c r="N18" i="2"/>
  <c r="X34" i="3"/>
  <c r="N2" i="2"/>
  <c r="X26" i="3"/>
  <c r="X31" i="3"/>
  <c r="X7" i="3"/>
  <c r="X2" i="3"/>
  <c r="X25" i="3"/>
  <c r="X14" i="3"/>
  <c r="N21" i="2"/>
  <c r="X8" i="3"/>
  <c r="X27" i="3"/>
  <c r="N16" i="2"/>
  <c r="X13" i="3"/>
  <c r="N31" i="2"/>
  <c r="N15" i="2"/>
  <c r="X23" i="3"/>
  <c r="X33" i="3"/>
  <c r="N30" i="2"/>
  <c r="X30" i="3"/>
  <c r="N14" i="2"/>
  <c r="X32" i="3"/>
  <c r="X39" i="3"/>
  <c r="E2" i="5"/>
  <c r="Q2" i="5" a="1"/>
  <c r="Q2" i="5" s="1"/>
  <c r="F1" i="9"/>
  <c r="L2" i="9" a="1"/>
  <c r="L2" i="9" s="1"/>
  <c r="AH1" i="5" a="1"/>
  <c r="AH1" i="5" s="1"/>
  <c r="R1" i="5" a="1"/>
  <c r="I1" i="5" a="1"/>
  <c r="L4" i="5" s="1"/>
  <c r="S7" i="5" l="1"/>
  <c r="R1" i="5"/>
  <c r="R5" i="5" s="1"/>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AH3" i="5"/>
  <c r="AH2" i="5"/>
  <c r="AH4" i="5"/>
  <c r="R4" i="5" l="1"/>
  <c r="R3" i="5"/>
  <c r="I3" i="5"/>
  <c r="I4" i="5"/>
  <c r="B2" i="5"/>
  <c r="D13" i="5" l="1"/>
  <c r="D16" i="5"/>
  <c r="D12" i="5"/>
  <c r="D14" i="5"/>
  <c r="D15" i="5"/>
  <c r="D2" i="5"/>
  <c r="C13" i="5"/>
  <c r="C16" i="5"/>
  <c r="C12" i="5"/>
  <c r="C15" i="5"/>
  <c r="C14" i="5"/>
  <c r="D11" i="5" l="1"/>
  <c r="C11" i="5"/>
  <c r="J2" i="9" a="1"/>
  <c r="J2" i="9" s="1"/>
  <c r="H2" i="9" a="1"/>
  <c r="H2" i="9" s="1"/>
  <c r="A1" i="9" a="1"/>
  <c r="A1" i="9" s="1"/>
  <c r="C2" i="5"/>
  <c r="F2" i="9" a="1"/>
  <c r="F2" i="9" s="1"/>
  <c r="K2" i="9" a="1"/>
  <c r="K2" i="9" s="1"/>
  <c r="I2" i="9" a="1"/>
  <c r="I2" i="9" s="1"/>
  <c r="G2" i="9" a="1"/>
  <c r="G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<sst xmlns="http://schemas.openxmlformats.org/spreadsheetml/2006/main" count="698" uniqueCount="417">
  <si>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</si>
  <si>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</si>
  <si>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</si>
  <si>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</si>
  <si>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</si>
  <si>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</si>
  <si>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</si>
  <si>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</si>
  <si>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</si>
  <si>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</si>
  <si>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</si>
  <si>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</si>
  <si>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</si>
  <si>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</si>
  <si>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</si>
  <si>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</si>
  <si>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</si>
  <si>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</si>
  <si>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</si>
  <si>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</si>
  <si>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</si>
  <si>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</si>
  <si>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</si>
  <si>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</si>
  <si>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</si>
  <si>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</si>
  <si>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</si>
  <si>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</si>
  <si>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</si>
  <si>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</si>
  <si>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</si>
  <si>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</si>
  <si>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</si>
  <si>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</si>
  <si>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</si>
  <si>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</si>
  <si>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</si>
  <si>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</si>
  <si>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</si>
  <si>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</si>
  <si>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</si>
  <si>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</si>
  <si>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</si>
  <si>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</si>
  <si>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</si>
  <si>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</si>
  <si>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</si>
  <si>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</si>
  <si>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</si>
  <si>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</si>
  <si>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</si>
  <si>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</si>
  <si>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</si>
  <si>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</si>
  <si>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</si>
  <si>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</si>
  <si>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</si>
  <si>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</si>
  <si>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</si>
  <si>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</si>
  <si>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</si>
  <si>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</si>
  <si>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</si>
  <si>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</si>
  <si>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</si>
  <si>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</si>
  <si>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</si>
  <si>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</si>
  <si>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</si>
  <si>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</si>
  <si>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</si>
  <si>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</si>
  <si>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</si>
  <si>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</si>
  <si>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</si>
  <si>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S</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</si>
  <si>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</si>
  <si>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</si>
  <si>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</si>
  <si>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</si>
  <si>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</si>
  <si>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</si>
  <si>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</si>
  <si>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</si>
  <si>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</si>
  <si>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</si>
  <si>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</si>
  <si>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</si>
  <si>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</si>
  <si>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</si>
  <si>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</si>
  <si>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</si>
  <si>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</si>
  <si>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</si>
  <si>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</si>
  <si>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</si>
  <si>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</si>
  <si>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</si>
  <si>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</si>
  <si>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</si>
  <si>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</si>
  <si>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</si>
  <si>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</si>
  <si>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</si>
  <si>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</si>
  <si>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</si>
  <si>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</si>
  <si>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</si>
  <si>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</si>
  <si>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</si>
  <si>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</si>
  <si>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</si>
  <si>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</si>
  <si>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</si>
  <si>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</si>
  <si>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</si>
  <si>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</si>
  <si>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</si>
  <si>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</si>
  <si>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</si>
  <si>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</si>
  <si>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</si>
  <si>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</si>
  <si>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</si>
  <si>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</si>
  <si>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</si>
  <si>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</si>
  <si>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</si>
  <si>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</si>
  <si>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</si>
  <si>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</si>
  <si>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</si>
  <si>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</si>
  <si>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</si>
  <si>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</si>
  <si>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</si>
  <si>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</si>
  <si>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</si>
  <si>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</si>
  <si>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</si>
  <si>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</si>
  <si>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</si>
  <si>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</si>
  <si>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</si>
  <si>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</si>
  <si>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</si>
  <si>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</si>
  <si>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</si>
  <si>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</si>
  <si>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</si>
  <si>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</si>
  <si>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</si>
  <si>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</si>
  <si>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</si>
  <si>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</si>
  <si>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</si>
  <si>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</si>
  <si>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</si>
  <si>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</si>
  <si>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</si>
  <si>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</si>
  <si>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</si>
  <si>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</si>
  <si>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</si>
  <si>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</si>
  <si>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</si>
  <si>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</si>
  <si>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</si>
  <si>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</si>
  <si>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</si>
  <si>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</si>
  <si>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</si>
  <si>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</si>
  <si>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</si>
  <si>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</si>
  <si>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</si>
  <si>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</si>
  <si>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</si>
  <si>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</si>
  <si>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</si>
  <si>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</si>
  <si>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</si>
  <si>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</si>
  <si>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</si>
  <si>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</si>
  <si>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</si>
  <si>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</si>
  <si>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</si>
  <si>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</si>
  <si>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</si>
  <si>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</si>
  <si>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</si>
  <si>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</si>
  <si>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</si>
  <si>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</si>
  <si>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</si>
  <si>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</si>
  <si>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</si>
  <si>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</si>
  <si>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</si>
  <si>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</si>
  <si>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</si>
  <si>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</si>
  <si>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</si>
  <si>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</si>
  <si>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</si>
  <si>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</si>
  <si>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</si>
  <si>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</si>
  <si>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</si>
  <si>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</si>
  <si>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</si>
  <si>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</si>
  <si>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</si>
  <si>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</si>
  <si>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</si>
  <si>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</si>
  <si>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</si>
  <si>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</si>
  <si>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</si>
  <si>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</si>
  <si>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</si>
  <si>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</si>
  <si>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</si>
  <si>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</si>
  <si>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</si>
  <si>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</si>
  <si>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</si>
  <si>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</si>
  <si>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</si>
  <si>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</si>
  <si>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</si>
  <si>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</si>
  <si>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</si>
  <si>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</si>
  <si>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</si>
  <si>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</si>
  <si>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</si>
  <si>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</si>
  <si>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</si>
  <si>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</si>
  <si>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</si>
  <si>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</si>
  <si>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</si>
  <si>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</si>
  <si>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</si>
  <si>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</si>
  <si>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</si>
  <si>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</si>
  <si>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</si>
  <si>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</si>
  <si>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</si>
  <si>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</si>
  <si>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</si>
  <si>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</si>
  <si>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</si>
  <si>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</si>
  <si>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</si>
  <si>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</si>
  <si>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</si>
  <si>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</si>
  <si>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</si>
  <si>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</si>
  <si>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</si>
  <si>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</si>
  <si>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</si>
  <si>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</si>
  <si>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</si>
  <si>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</si>
  <si>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</si>
  <si>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</si>
  <si>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</si>
  <si>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</si>
  <si>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</si>
  <si>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</si>
  <si>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</si>
  <si>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</si>
  <si>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</si>
  <si>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</si>
  <si>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</si>
  <si>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</si>
  <si>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</si>
  <si>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</si>
  <si>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</si>
  <si>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</si>
  <si>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</si>
  <si>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</si>
  <si>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</si>
  <si>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</si>
  <si>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</si>
  <si>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</si>
  <si>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</si>
  <si>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</si>
  <si>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</si>
  <si>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</si>
  <si>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</si>
  <si>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</si>
  <si>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</si>
  <si>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</si>
  <si>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</si>
  <si>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</si>
  <si>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</si>
  <si>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</si>
  <si>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</si>
  <si>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</si>
  <si>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</si>
  <si>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</si>
  <si>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</si>
  <si>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</si>
  <si>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</si>
  <si>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</si>
  <si>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</si>
  <si>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</si>
  <si>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</si>
  <si>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</si>
  <si>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</si>
  <si>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</si>
  <si>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</si>
  <si>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</si>
  <si>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</si>
  <si>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</si>
  <si>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</si>
  <si>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</si>
  <si>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</si>
  <si>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</si>
  <si>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</si>
  <si>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</si>
  <si>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</si>
  <si>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</si>
  <si>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</si>
  <si>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</si>
  <si>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</si>
  <si>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</si>
  <si>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</si>
  <si>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</si>
  <si>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</si>
  <si>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</si>
  <si>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</si>
  <si>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</si>
  <si>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</si>
  <si>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</si>
  <si>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</si>
  <si>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</si>
  <si>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</si>
  <si>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</si>
  <si>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</si>
  <si>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</si>
  <si>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</si>
  <si>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</si>
  <si>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</si>
  <si>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</si>
  <si>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</si>
  <si>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</si>
  <si>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</si>
  <si>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</si>
  <si>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</si>
  <si>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</si>
  <si>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</si>
  <si>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</si>
  <si>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</si>
  <si>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</si>
  <si>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</si>
  <si>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</si>
  <si>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</si>
  <si>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</si>
  <si>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</si>
  <si>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</si>
  <si>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</si>
  <si>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</si>
  <si>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</si>
  <si>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</si>
  <si>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</si>
  <si>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</si>
  <si>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</si>
  <si>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</si>
  <si>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</si>
  <si>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</si>
  <si>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</si>
  <si>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</si>
  <si>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</si>
  <si>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</si>
  <si>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</si>
  <si>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</si>
  <si>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</si>
  <si>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</si>
  <si>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</si>
  <si>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</si>
  <si>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</si>
  <si>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</si>
  <si>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</si>
  <si>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</si>
  <si>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</si>
  <si>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</si>
  <si>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</si>
  <si>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</si>
  <si>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</si>
  <si>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</si>
  <si>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</si>
  <si>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</si>
  <si>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</si>
  <si>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</si>
  <si>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</si>
  <si>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</si>
  <si>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</si>
  <si>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</si>
  <si>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</si>
  <si>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</si>
  <si>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</si>
  <si>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</si>
  <si>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StartDate</t>
  </si>
  <si>
    <t>RecurringRevenueModel</t>
  </si>
  <si>
    <t>Recurrences</t>
  </si>
  <si>
    <t>citizen</t>
  </si>
  <si>
    <t>2025-08-11T16:12:47Z</t>
  </si>
  <si>
    <t>2025-08-11T16:12:48Z</t>
  </si>
  <si>
    <t>2025-08-11T16:12:49Z</t>
  </si>
  <si>
    <t xml:space="preserve">new comment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</si>
</sst>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9"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4">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5"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7" fillId="3" borderId="0" xfId="0" applyFont="1" applyFill="1" applyAlignment="1">
      <alignment horizontal="right" indent="1"/>
    </xf>
    <xf numFmtId="0" fontId="18" fillId="0" borderId="0" xfId="0" applyFont="1"/>
  </cellXfs>
  <cellStyles count="5">
    <cellStyle name="Comma" xfId="1" builtinId="3"/>
    <cellStyle name="Currency" xfId="2" builtinId="4"/>
    <cellStyle name="Hyperlink" xfId="4" builtinId="8"/>
    <cellStyle name="Normal" xfId="0" builtinId="0"/>
    <cellStyle name="Percent" xfId="3" builtinId="5"/>
  </cellStyles>
  <dxfs count="55">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2</xdr:col>
      <xdr:colOff>188633</xdr:colOff>
      <xdr:row>6</xdr:row>
      <xdr:rowOff>22225</xdr:rowOff>
    </xdr:from>
    <xdr:to>
      <xdr:col>3</xdr:col>
      <xdr:colOff>1481418</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2</xdr:col>
      <xdr:colOff>55283</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5</xdr:col>
          <xdr:colOff>1095383</xdr:colOff>
          <xdr:row>2</xdr:row>
          <xdr:rowOff>144641</xdr:rowOff>
        </xdr:from>
        <xdr:to>
          <xdr:col>11</xdr:col>
          <xdr:colOff>531466</xdr:colOff>
          <xdr:row>5</xdr:row>
          <xdr:rowOff>15263</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16"/>
                </a:ext>
              </a:extLst>
            </xdr:cNvPicPr>
          </xdr:nvPicPr>
          <xdr:blipFill>
            <a:blip xmlns:r="http://schemas.openxmlformats.org/officeDocument/2006/relationships" r:embed="rId1"/>
            <a:srcRect/>
            <a:stretch>
              <a:fillRect/>
            </a:stretch>
          </xdr:blipFill>
          <xdr:spPr bwMode="auto">
            <a:xfrm>
              <a:off x="5443265" y="607817"/>
              <a:ext cx="8046497" cy="44697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3</xdr:col>
      <xdr:colOff>1462368</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64243"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3</xdr:col>
      <xdr:colOff>1481418</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3</xdr:col>
      <xdr:colOff>1481418</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83"/>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7" unboundColumnsRight="15">
    <queryTableFields count="3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25" name="CustomerId" tableColumnId="14"/>
      <queryTableField id="71" name="Comment Log" tableColumnId="53"/>
      <queryTableField id="89" name="OpportunityOwner" tableColumnId="9"/>
      <queryTableField id="122" name="StartDate" tableColumnId="1"/>
      <queryTableField id="123" name="RecurringRevenueModel" tableColumnId="8"/>
      <queryTableField id="124" name="Recurrences" tableColumnId="10"/>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E7:T47" tableType="queryTable" totalsRowShown="0">
  <autoFilter ref="E7:T47" xr:uid="{B35EA62C-D81E-48BA-B2FB-27C4C61792D5}"/>
  <sortState xmlns:xlrd2="http://schemas.microsoft.com/office/spreadsheetml/2017/richdata2" ref="E8:T47">
    <sortCondition ref="L7:L47"/>
  </sortState>
  <tableColumns count="16">
    <tableColumn id="13" xr3:uid="{147FBFBE-2CFC-486E-B125-6D8C29F38818}" uniqueName="13" name="S" queryTableFieldId="23" dataDxfId="54">
      <calculatedColumnFormula>_xlfn.XLOOKUP(View[[#This Row],[ID]],Opportunities[ID],Opportunities[status symbol])</calculatedColumnFormula>
    </tableColumn>
    <tableColumn id="4" xr3:uid="{D0C93997-AE18-4F2C-9498-E378F0368CD3}" uniqueName="4" name=" 🔗Opportunity" queryTableFieldId="4" dataDxfId="53"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52"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51" dataCellStyle="Normal">
      <calculatedColumnFormula>_xlfn.XLOOKUP(View[[#This Row],[ID]],Opportunities[ID],Opportunities[DisplayStage])</calculatedColumnFormula>
    </tableColumn>
    <tableColumn id="7" xr3:uid="{36D3885A-765B-43F4-B223-18E0110E7BAC}" uniqueName="7" name="Opp Value" queryTableFieldId="7" dataDxfId="50"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49" dataCellStyle="Percent">
      <calculatedColumnFormula>_xlfn.XLOOKUP(View[[#This Row],[ID]],Opportunities[ID],Opportunities[WinProbDisplay])</calculatedColumnFormula>
    </tableColumn>
    <tableColumn id="2" xr3:uid="{CEE680CE-7B28-4425-8EF9-E8A1C22CD40F}" uniqueName="2" name="Expected Rev" queryTableFieldId="31" dataDxfId="48" dataCellStyle="Percent">
      <calculatedColumnFormula>View[[#This Row],[Estmated Revenue]]</calculatedColumnFormula>
    </tableColumn>
    <tableColumn id="10" xr3:uid="{B7055589-582D-4A7C-ACCD-633272C194D8}" uniqueName="10" name="Close" queryTableFieldId="10" dataDxfId="47" dataCellStyle="Percent">
      <calculatedColumnFormula>_xlfn.XLOOKUP(View[[#This Row],[ID]],Opportunities[ID],Opportunities[Close])</calculatedColumnFormula>
    </tableColumn>
    <tableColumn id="20" xr3:uid="{59C0ACCC-1D82-45A6-AFAA-3712BAC86C84}" uniqueName="20" name="Last Comment" queryTableFieldId="30" dataDxfId="46"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5" dataCellStyle="Percent">
      <calculatedColumnFormula>_xlfn.XLOOKUP(View[[#This Row],[ID]],Opportunities[ID],Opportunities[NextMilestoneDate])-TODAY()</calculatedColumnFormula>
    </tableColumn>
    <tableColumn id="9" xr3:uid="{52FF3CBA-17BB-47F5-85A3-2DEE8B12587C}" uniqueName="9" name="Close Quarter" queryTableFieldId="9" dataDxfId="44">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3" dataCellStyle="Comma">
      <calculatedColumnFormula>_xlfn.XLOOKUP(View[[#This Row],[ID]],Opportunities[ID],Opportunities[Weighted])/1000</calculatedColumnFormula>
    </tableColumn>
    <tableColumn id="15" xr3:uid="{FBDC7969-7E8D-49D4-8066-6E0E6F1203F0}" uniqueName="15" name="Unweighted" queryTableFieldId="25" dataDxfId="42">
      <calculatedColumnFormula>_xlfn.XLOOKUP(View[[#This Row],[ID]],Opportunities[ID],Opportunities[Amount])/1000</calculatedColumnFormula>
    </tableColumn>
    <tableColumn id="16" xr3:uid="{EF89BB7F-252B-45F9-8123-82BF9FB66AF0}" uniqueName="16" name="High Probability" queryTableFieldId="26" dataDxfId="41">
      <calculatedColumnFormula>View[[#This Row],[Win Probability]]="High"</calculatedColumnFormula>
    </tableColumn>
    <tableColumn id="17" xr3:uid="{4BD52F12-45D4-4BCC-83AA-14BDE7142C90}" uniqueName="17" name="Visible" queryTableFieldId="27" dataDxfId="40">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P12:S18" totalsRowShown="0" headerRowDxfId="39" dataDxfId="38">
  <autoFilter ref="P12:S18" xr:uid="{798014A7-9B70-4B09-AE44-5A5C555476EA}"/>
  <tableColumns count="4">
    <tableColumn id="2" xr3:uid="{AE651EA8-D54C-41D9-9B8B-F22570081D8A}" name="Index" dataDxfId="37"/>
    <tableColumn id="4" xr3:uid="{C19B61BA-D78B-49C2-A0CB-958A7968F4C6}" name="Symbol" dataDxfId="36"/>
    <tableColumn id="1" xr3:uid="{4A0C0D5E-C576-4851-BAD7-E1720F55F59A}" name="Stage Name" dataDxfId="35"/>
    <tableColumn id="3" xr3:uid="{38808F5D-2627-4FC4-9878-8AC61142049B}" name="Display" dataDxfId="34">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33" dataDxfId="32">
  <autoFilter ref="C3:D6" xr:uid="{7A50DF75-ED41-40F4-8782-A0EFFD2E6988}"/>
  <tableColumns count="2">
    <tableColumn id="1" xr3:uid="{3B8690D0-B449-4F2C-BFA1-0D9AAF577107}" name="Win Probability" dataDxfId="31"/>
    <tableColumn id="2" xr3:uid="{E4A73AC8-36BB-4D8D-934C-54FE86976EC9}" name="Value" dataDxfId="30"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D41" tableType="queryTable" totalsRowShown="0">
  <autoFilter ref="A1:AD41" xr:uid="{8BF0481C-9C4B-466A-BDA0-DD8E3D98821B}"/>
  <tableColumns count="3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9"/>
    <tableColumn id="11" xr3:uid="{0D6E2E89-0B8C-4024-A956-046F884205B4}" uniqueName="11" name="NextMilestoneDate" queryTableFieldId="91" dataDxfId="28"/>
    <tableColumn id="12" xr3:uid="{8D70269A-7D67-4EE3-B02A-4A7CC88A1D52}" uniqueName="12" name="NextMilestone" queryTableFieldId="92"/>
    <tableColumn id="14" xr3:uid="{4FC5C8C1-F21E-41E5-A0E7-3F61269A4BC5}" uniqueName="14" name="CustomerId" queryTableFieldId="125"/>
    <tableColumn id="53" xr3:uid="{8B6F3023-16EE-4A61-9C62-F78DACC9B311}" uniqueName="53" name="Comment Log" queryTableFieldId="71"/>
    <tableColumn id="9" xr3:uid="{97DA2E30-FF84-4D59-8B7D-0FB3CF4EF53C}" uniqueName="9" name="OpportunityOwner" queryTableFieldId="89"/>
    <tableColumn id="1" xr3:uid="{648C5D06-4672-44BC-978F-7A608D0F7CDF}" uniqueName="1" name="StartDate" queryTableFieldId="122" dataDxfId="27"/>
    <tableColumn id="8" xr3:uid="{9FFDB5EC-CE5E-474B-BD77-196697CA898B}" uniqueName="8" name="RecurringRevenueModel" queryTableFieldId="123"/>
    <tableColumn id="10" xr3:uid="{F9A1A355-BEC8-4196-8A4E-7B267E042489}" uniqueName="10" name="Recurrences" queryTableFieldId="124"/>
    <tableColumn id="34" xr3:uid="{A794F34A-F2E4-4230-B129-BE7EF53921FE}" uniqueName="34" name="FQ" queryTableFieldId="43" dataDxfId="26">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5">
      <calculatedColumnFormula>"CY"&amp;RIGHT(YEAR(Opportunities[[#This Row],[Close]]),2)&amp;"-Q"&amp;ROUNDUP(MONTH(Opportunities[[#This Row],[Close]])/3, 0)</calculatedColumnFormula>
    </tableColumn>
    <tableColumn id="31" xr3:uid="{AFAB2CEE-41EC-476B-8EF4-F01AEE459A32}" uniqueName="31" name="url" queryTableFieldId="40" dataDxfId="24">
      <calculatedColumnFormula>siteUrl&amp;"/Lists/"&amp;oppList&amp;"/DispForm.aspx?ID="&amp;Opportunities[[#This Row],[ID]]</calculatedColumnFormula>
    </tableColumn>
    <tableColumn id="40" xr3:uid="{8BD6C9BB-E6FD-4E8E-A509-12D471DAA77F}" uniqueName="40" name="StageNumber" queryTableFieldId="54" dataDxfId="23">
      <calculatedColumnFormula>_xlfn.XLOOKUP(Opportunities[[#This Row],[Stage]],stage[Stage Name],stage[Index],"")</calculatedColumnFormula>
    </tableColumn>
    <tableColumn id="41" xr3:uid="{EDB4C612-1CC1-4B3C-B38D-DFE04A906351}" uniqueName="41" name="DisplayStage" queryTableFieldId="55" dataDxfId="22">
      <calculatedColumnFormula>_xlfn.XLOOKUP(Opportunities[[#This Row],[StageNumber]],stage[Index],stage[Display])</calculatedColumnFormula>
    </tableColumn>
    <tableColumn id="52" xr3:uid="{29FD805D-0C67-486B-AABC-E086612B3426}" uniqueName="52" name="Weighted" queryTableFieldId="70" dataDxfId="21">
      <calculatedColumnFormula>Opportunities[[#This Row],[Amount]]*_xlfn.XLOOKUP(Opportunities[[#This Row],[Probability]],prob[Win Probability],prob[Value])</calculatedColumnFormula>
    </tableColumn>
    <tableColumn id="56" xr3:uid="{9E365C66-70DC-4C5C-893A-3785B1B9D44C}" uniqueName="56" name="status symbol" queryTableFieldId="76" dataDxfId="20">
      <calculatedColumnFormula array="1">_xlfn.SWITCH(Opportunities[[#This Row],[Status]],"At Risk","⚠","Active","✓","⮾")</calculatedColumnFormula>
    </tableColumn>
    <tableColumn id="15" xr3:uid="{952135CC-0409-4FA2-BB0A-34668B61689B}" uniqueName="15" name="Customer Name" queryTableFieldId="104" dataDxfId="19">
      <calculatedColumnFormula>_xlfn.XLOOKUP(Opportunities[[#This Row],[CustomerId]],Customers[Id],Customers[Customer Name])</calculatedColumnFormula>
    </tableColumn>
    <tableColumn id="16" xr3:uid="{812C7365-FD2B-4EFB-8119-BF4F00253961}" uniqueName="16" name="CustomerRecordURL" queryTableFieldId="105" dataDxfId="18">
      <calculatedColumnFormula>_xlfn.XLOOKUP(Opportunities[[#This Row],[CustomerId]],Customers[Id],Customers[url2])</calculatedColumnFormula>
    </tableColumn>
    <tableColumn id="17" xr3:uid="{39447595-3500-4B90-9B69-594F9ED985D4}" uniqueName="17" name="Visible" queryTableFieldId="106" dataDxfId="17">
      <calculatedColumnFormula>_xlfn.XLOOKUP(Opportunities[[#This Row],[ID]],View[ID],View[Visible])</calculatedColumnFormula>
    </tableColumn>
    <tableColumn id="3" xr3:uid="{11F9B80B-B6B4-4FB8-ACD8-AAAC59768B2A}" uniqueName="3" name="Display" queryTableFieldId="116" dataDxfId="16">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5">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4"/>
    <tableColumn id="6" xr3:uid="{181A8E3E-DBF5-4AEA-99B6-D8CAED362658}" uniqueName="6" name="WinProbDisplay" queryTableFieldId="119" dataDxfId="13">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12">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1">
      <calculatedColumnFormula>siteUrl&amp;"/Lists/"&amp;custList&amp;"/DispForm.aspx?ID="&amp;Customers[[#This Row],[Id]]</calculatedColumnFormula>
    </tableColumn>
    <tableColumn id="23" xr3:uid="{F1BC9043-195B-408B-8596-3FE166B5CF78}" uniqueName="23" name="Customer Name2" queryTableFieldId="60" dataDxfId="10">
      <calculatedColumnFormula>_xlfn.XLOOKUP(Customers[[#This Row],[Id]],Customers[Id],#REF!)</calculatedColumnFormula>
    </tableColumn>
    <tableColumn id="24" xr3:uid="{388F5F30-FCA2-45B0-938D-A8DFAA1EFCA9}" uniqueName="24" name="CustomerRecordUrl" queryTableFieldId="61" dataDxfId="9">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W47"/>
  <sheetViews>
    <sheetView showGridLines="0" tabSelected="1" zoomScale="85" zoomScaleNormal="85" workbookViewId="0">
      <selection activeCell="C48" sqref="C48"/>
    </sheetView>
  </sheetViews>
  <sheetFormatPr defaultRowHeight="15" outlineLevelCol="1" x14ac:dyDescent="0.25"/>
  <cols>
    <col min="1" max="1" width="15.140625" customWidth="1"/>
    <col min="2" max="2" width="12.5703125" bestFit="1" customWidth="1"/>
    <col min="3" max="3" width="8.140625" customWidth="1"/>
    <col min="4" max="4" width="24.5703125" customWidth="1"/>
    <col min="5" max="5" width="4.85546875" bestFit="1" customWidth="1"/>
    <col min="6" max="6" width="33.85546875" bestFit="1" customWidth="1"/>
    <col min="7" max="7" width="27.42578125" bestFit="1" customWidth="1"/>
    <col min="8" max="8" width="22.140625" bestFit="1" customWidth="1"/>
    <col min="9" max="9" width="12.7109375" bestFit="1" customWidth="1"/>
    <col min="10" max="10" width="17.140625" bestFit="1" customWidth="1"/>
    <col min="11" max="11" width="15.7109375" customWidth="1"/>
    <col min="12" max="12" width="12.5703125" bestFit="1" customWidth="1"/>
    <col min="13" max="13" width="16.5703125" bestFit="1" customWidth="1"/>
    <col min="14" max="14" width="5.7109375" hidden="1" customWidth="1" outlineLevel="1"/>
    <col min="15" max="15" width="17.140625" hidden="1" customWidth="1" outlineLevel="1"/>
    <col min="16" max="16" width="16" hidden="1" customWidth="1" outlineLevel="1"/>
    <col min="17" max="17" width="20.5703125" hidden="1" customWidth="1" outlineLevel="1"/>
    <col min="18" max="18" width="14.28515625" hidden="1" customWidth="1" outlineLevel="1"/>
    <col min="19" max="19" width="17.7109375" hidden="1" customWidth="1" outlineLevel="1"/>
    <col min="20" max="20" width="9.7109375" hidden="1" customWidth="1" outlineLevel="1"/>
    <col min="21" max="21" width="9.140625" collapsed="1"/>
    <col min="25" max="25" width="13.28515625" bestFit="1" customWidth="1"/>
  </cols>
  <sheetData>
    <row r="1" spans="1:23" ht="21" x14ac:dyDescent="0.35">
      <c r="A1" s="25"/>
      <c r="D1" s="22"/>
      <c r="E1" s="7" t="str">
        <f>PROPER(listPrefix)&amp; " " &amp;"Sales Pipeline Dashboard"</f>
        <v>Citizen Sales Pipeline Dashboard</v>
      </c>
      <c r="F1" s="7"/>
      <c r="G1" s="7"/>
      <c r="H1" s="8"/>
      <c r="I1" s="9"/>
      <c r="J1" s="7"/>
      <c r="K1" s="7"/>
      <c r="L1" s="7"/>
      <c r="M1" s="7"/>
      <c r="N1" s="7"/>
      <c r="O1" s="7"/>
      <c r="P1" s="7"/>
      <c r="Q1" s="7"/>
      <c r="R1" s="7"/>
      <c r="S1" s="17"/>
      <c r="T1" s="45"/>
      <c r="W1" s="20"/>
    </row>
    <row r="2" spans="1:23" x14ac:dyDescent="0.25">
      <c r="A2" s="19" t="s">
        <v>145</v>
      </c>
      <c r="B2" s="50" t="str">
        <f>HYPERLINK(siteUrl&amp;"Lists/"&amp;custList&amp;"/NewForm.aspx?","New")</f>
        <v>New</v>
      </c>
      <c r="C2" s="50" t="str">
        <f>HYPERLINK(siteUrl&amp;"/Lists/"&amp;custList,"List")</f>
        <v>List</v>
      </c>
      <c r="D2" s="23"/>
      <c r="E2" s="10" t="str">
        <f>_xlfn.XLOOKUP(SUBTOTAL(5,View[Close]),View[Close],View[Close Quarter]) &amp;" to " &amp; _xlfn.XLOOKUP(SUBTOTAL(4,View[Close]),View[Close],View[Close Quarter])</f>
        <v>FY26-Q1 to FY27-Q2</v>
      </c>
      <c r="F2" s="10"/>
      <c r="G2" s="10"/>
      <c r="H2" s="10"/>
      <c r="I2" s="10"/>
      <c r="J2" s="10"/>
      <c r="K2" s="10"/>
      <c r="L2" s="10"/>
      <c r="M2" s="10"/>
      <c r="N2" s="10"/>
      <c r="O2" s="10"/>
      <c r="P2" s="10"/>
      <c r="Q2" s="10"/>
      <c r="R2" s="10"/>
      <c r="S2" s="17"/>
      <c r="T2" s="45"/>
    </row>
    <row r="3" spans="1:23" x14ac:dyDescent="0.25">
      <c r="A3" s="19" t="s">
        <v>48</v>
      </c>
      <c r="B3" s="50" t="str">
        <f>HYPERLINK(siteUrl&amp;"Lists/"&amp;oppList&amp;"/NewForm.aspx?","New ")</f>
        <v xml:space="preserve">New </v>
      </c>
      <c r="C3" s="50" t="str">
        <f>HYPERLINK(siteUrl&amp;"/Lists/"&amp;oppList,"List")</f>
        <v>List</v>
      </c>
      <c r="D3" s="50"/>
    </row>
    <row r="5" spans="1:23" x14ac:dyDescent="0.25">
      <c r="A5" s="19" t="s">
        <v>37</v>
      </c>
      <c r="B5" s="6" t="s">
        <v>31</v>
      </c>
    </row>
    <row r="6" spans="1:23" x14ac:dyDescent="0.25">
      <c r="A6" s="19" t="s">
        <v>42</v>
      </c>
      <c r="B6" s="6" t="s">
        <v>43</v>
      </c>
    </row>
    <row r="7" spans="1:23" x14ac:dyDescent="0.25">
      <c r="E7" s="11" t="s">
        <v>75</v>
      </c>
      <c r="F7" s="12" t="s">
        <v>82</v>
      </c>
      <c r="G7" s="12" t="s">
        <v>46</v>
      </c>
      <c r="H7" s="12" t="s">
        <v>14</v>
      </c>
      <c r="I7" s="12" t="s">
        <v>389</v>
      </c>
      <c r="J7" s="12" t="s">
        <v>80</v>
      </c>
      <c r="K7" s="12" t="s">
        <v>390</v>
      </c>
      <c r="L7" s="12" t="s">
        <v>34</v>
      </c>
      <c r="M7" s="12" t="s">
        <v>76</v>
      </c>
      <c r="N7" s="12" t="s">
        <v>385</v>
      </c>
      <c r="O7" s="12" t="s">
        <v>40</v>
      </c>
      <c r="P7" s="12" t="s">
        <v>30</v>
      </c>
      <c r="Q7" s="12" t="s">
        <v>81</v>
      </c>
      <c r="R7" s="12" t="s">
        <v>43</v>
      </c>
      <c r="S7" s="12" t="s">
        <v>28</v>
      </c>
      <c r="T7" s="12" t="s">
        <v>44</v>
      </c>
    </row>
    <row r="8" spans="1:23" x14ac:dyDescent="0.25">
      <c r="E8" s="36" t="str">
        <f>_xlfn.XLOOKUP(View[[#This Row],[ID]],Opportunities[ID],Opportunities[status symbol])</f>
        <v>✓</v>
      </c>
      <c r="F8" s="37" t="str">
        <f>HYPERLINK(siteUrl&amp;"Lists/"&amp;oppList&amp;"/DispForm.aspx?ID="&amp;View[[#This Row],[ID]],_xlfn.XLOOKUP(View[[#This Row],[ID]],Opportunities[ID],Opportunities[OpportunityName]))</f>
        <v>Integration Services Project</v>
      </c>
      <c r="G8" s="49" t="str">
        <f>HYPERLINK(_xlfn.XLOOKUP(View[[#This Row],[ID]],Opportunities[ID],Opportunities[url]),_xlfn.XLOOKUP(View[[#This Row],[ID]],Opportunities[ID],Opportunities[Customer Name]))</f>
        <v>Chemical Processing</v>
      </c>
      <c r="H8" s="38" t="str">
        <f>_xlfn.XLOOKUP(View[[#This Row],[ID]],Opportunities[ID],Opportunities[DisplayStage])</f>
        <v>➄ - Project Execution</v>
      </c>
      <c r="I8" s="1">
        <f>IF(pipelineType="Unweighted",_xlfn.XLOOKUP(View[[#This Row],[ID]],Opportunities[ID],Opportunities[Amount])/1000,_xlfn.XLOOKUP(View[[#This Row],[ID]],Opportunities[ID],Opportunities[Weighted])/1000)</f>
        <v>1259.133</v>
      </c>
      <c r="J8" s="27" t="str">
        <f>_xlfn.XLOOKUP(View[[#This Row],[ID]],Opportunities[ID],Opportunities[WinProbDisplay])</f>
        <v>← Medium</v>
      </c>
      <c r="K8" s="28">
        <f>View[[#This Row],[Estmated Revenue]]</f>
        <v>503.65320000000003</v>
      </c>
      <c r="L8" s="2">
        <f>_xlfn.XLOOKUP(View[[#This Row],[ID]],Opportunities[ID],Opportunities[Close])</f>
        <v>45896</v>
      </c>
      <c r="M8" s="24" t="str">
        <f>IF(_xlfn.XLOOKUP(View[[#This Row],[ID]],Opportunities[ID],Opportunities[Comment Log])=0,"",_xlfn.XLOOKUP(View[[#This Row],[ID]],Opportunities[ID],Opportunities[Comment Log]))</f>
        <v/>
      </c>
      <c r="N8">
        <v>36</v>
      </c>
      <c r="O8" s="3">
        <f ca="1">_xlfn.XLOOKUP(View[[#This Row],[ID]],Opportunities[ID],Opportunities[NextMilestoneDate])-TODAY()</f>
        <v>44</v>
      </c>
      <c r="P8"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Q8" s="1">
        <f>_xlfn.XLOOKUP(View[[#This Row],[ID]],Opportunities[ID],Opportunities[Weighted])/1000</f>
        <v>503.65320000000003</v>
      </c>
      <c r="R8" s="4">
        <f>_xlfn.XLOOKUP(View[[#This Row],[ID]],Opportunities[ID],Opportunities[Amount])/1000</f>
        <v>1259.133</v>
      </c>
      <c r="S8" t="b">
        <f>View[[#This Row],[Win Probability]]="High"</f>
        <v>0</v>
      </c>
      <c r="T8">
        <f>SUBTOTAL(103, View[[#This Row],[S]])</f>
        <v>1</v>
      </c>
    </row>
    <row r="9" spans="1:23" x14ac:dyDescent="0.25">
      <c r="E9" s="36" t="str">
        <f>_xlfn.XLOOKUP(View[[#This Row],[ID]],Opportunities[ID],Opportunities[status symbol])</f>
        <v>✓</v>
      </c>
      <c r="F9" s="37" t="str">
        <f>HYPERLINK(siteUrl&amp;"Lists/"&amp;oppList&amp;"/DispForm.aspx?ID="&amp;View[[#This Row],[ID]],_xlfn.XLOOKUP(View[[#This Row],[ID]],Opportunities[ID],Opportunities[OpportunityName]))</f>
        <v>Project Management Software</v>
      </c>
      <c r="G9" s="49" t="str">
        <f>HYPERLINK(_xlfn.XLOOKUP(View[[#This Row],[ID]],Opportunities[ID],Opportunities[url]),_xlfn.XLOOKUP(View[[#This Row],[ID]],Opportunities[ID],Opportunities[Customer Name]))</f>
        <v>ACME Corporation</v>
      </c>
      <c r="H9" s="38" t="str">
        <f>_xlfn.XLOOKUP(View[[#This Row],[ID]],Opportunities[ID],Opportunities[DisplayStage])</f>
        <v>➅ - Closeout</v>
      </c>
      <c r="I9" s="1">
        <f>IF(pipelineType="Unweighted",_xlfn.XLOOKUP(View[[#This Row],[ID]],Opportunities[ID],Opportunities[Amount])/1000,_xlfn.XLOOKUP(View[[#This Row],[ID]],Opportunities[ID],Opportunities[Weighted])/1000)</f>
        <v>1218.81</v>
      </c>
      <c r="J9" s="27" t="str">
        <f>_xlfn.XLOOKUP(View[[#This Row],[ID]],Opportunities[ID],Opportunities[WinProbDisplay])</f>
        <v>← Medium</v>
      </c>
      <c r="K9" s="28">
        <f>View[[#This Row],[Estmated Revenue]]</f>
        <v>487.524</v>
      </c>
      <c r="L9" s="2">
        <f>_xlfn.XLOOKUP(View[[#This Row],[ID]],Opportunities[ID],Opportunities[Close])</f>
        <v>45925</v>
      </c>
      <c r="M9" s="24" t="str">
        <f>IF(_xlfn.XLOOKUP(View[[#This Row],[ID]],Opportunities[ID],Opportunities[Comment Log])=0,"",_xlfn.XLOOKUP(View[[#This Row],[ID]],Opportunities[ID],Opportunities[Comment Log]))</f>
        <v xml:space="preserve">new comment
</v>
      </c>
      <c r="N9">
        <v>25</v>
      </c>
      <c r="O9" s="3">
        <f ca="1">_xlfn.XLOOKUP(View[[#This Row],[ID]],Opportunities[ID],Opportunities[NextMilestoneDate])-TODAY()</f>
        <v>52</v>
      </c>
      <c r="P9"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Q9" s="1">
        <f>_xlfn.XLOOKUP(View[[#This Row],[ID]],Opportunities[ID],Opportunities[Weighted])/1000</f>
        <v>487.524</v>
      </c>
      <c r="R9" s="4">
        <f>_xlfn.XLOOKUP(View[[#This Row],[ID]],Opportunities[ID],Opportunities[Amount])/1000</f>
        <v>1218.81</v>
      </c>
      <c r="S9" t="b">
        <f>View[[#This Row],[Win Probability]]="High"</f>
        <v>0</v>
      </c>
      <c r="T9">
        <f>SUBTOTAL(103, View[[#This Row],[S]])</f>
        <v>1</v>
      </c>
    </row>
    <row r="10" spans="1:23" x14ac:dyDescent="0.25">
      <c r="E10" s="36" t="str">
        <f>_xlfn.XLOOKUP(View[[#This Row],[ID]],Opportunities[ID],Opportunities[status symbol])</f>
        <v>✓</v>
      </c>
      <c r="F10" s="37" t="str">
        <f>HYPERLINK(siteUrl&amp;"Lists/"&amp;oppList&amp;"/DispForm.aspx?ID="&amp;View[[#This Row],[ID]],_xlfn.XLOOKUP(View[[#This Row],[ID]],Opportunities[ID],Opportunities[OpportunityName]))</f>
        <v>Digital Transformation Project</v>
      </c>
      <c r="G10" s="49" t="str">
        <f>HYPERLINK(_xlfn.XLOOKUP(View[[#This Row],[ID]],Opportunities[ID],Opportunities[url]),_xlfn.XLOOKUP(View[[#This Row],[ID]],Opportunities[ID],Opportunities[Customer Name]))</f>
        <v>ACME Corporation</v>
      </c>
      <c r="H10" s="38" t="str">
        <f>_xlfn.XLOOKUP(View[[#This Row],[ID]],Opportunities[ID],Opportunities[DisplayStage])</f>
        <v>➃ - Negotiation</v>
      </c>
      <c r="I10" s="1">
        <f>IF(pipelineType="Unweighted",_xlfn.XLOOKUP(View[[#This Row],[ID]],Opportunities[ID],Opportunities[Amount])/1000,_xlfn.XLOOKUP(View[[#This Row],[ID]],Opportunities[ID],Opportunities[Weighted])/1000)</f>
        <v>990.59299999999996</v>
      </c>
      <c r="J10" s="27" t="str">
        <f>_xlfn.XLOOKUP(View[[#This Row],[ID]],Opportunities[ID],Opportunities[WinProbDisplay])</f>
        <v>↙ Low</v>
      </c>
      <c r="K10" s="28">
        <f>View[[#This Row],[Estmated Revenue]]</f>
        <v>198.11860000000001</v>
      </c>
      <c r="L10" s="2">
        <f>_xlfn.XLOOKUP(View[[#This Row],[ID]],Opportunities[ID],Opportunities[Close])</f>
        <v>45943</v>
      </c>
      <c r="M10" s="24" t="str">
        <f>IF(_xlfn.XLOOKUP(View[[#This Row],[ID]],Opportunities[ID],Opportunities[Comment Log])=0,"",_xlfn.XLOOKUP(View[[#This Row],[ID]],Opportunities[ID],Opportunities[Comment Log]))</f>
        <v/>
      </c>
      <c r="N10">
        <v>6</v>
      </c>
      <c r="O10" s="3">
        <f ca="1">_xlfn.XLOOKUP(View[[#This Row],[ID]],Opportunities[ID],Opportunities[NextMilestoneDate])-TODAY()</f>
        <v>27</v>
      </c>
      <c r="P10"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Q10" s="1">
        <f>_xlfn.XLOOKUP(View[[#This Row],[ID]],Opportunities[ID],Opportunities[Weighted])/1000</f>
        <v>198.11860000000001</v>
      </c>
      <c r="R10" s="4">
        <f>_xlfn.XLOOKUP(View[[#This Row],[ID]],Opportunities[ID],Opportunities[Amount])/1000</f>
        <v>990.59299999999996</v>
      </c>
      <c r="S10" t="b">
        <f>View[[#This Row],[Win Probability]]="High"</f>
        <v>0</v>
      </c>
      <c r="T10">
        <f>SUBTOTAL(103, View[[#This Row],[S]])</f>
        <v>1</v>
      </c>
    </row>
    <row r="11" spans="1:23" x14ac:dyDescent="0.25">
      <c r="E11" s="36" t="str">
        <f>_xlfn.XLOOKUP(View[[#This Row],[ID]],Opportunities[ID],Opportunities[status symbol])</f>
        <v>✓</v>
      </c>
      <c r="F11" s="37" t="str">
        <f>HYPERLINK(siteUrl&amp;"Lists/"&amp;oppList&amp;"/DispForm.aspx?ID="&amp;View[[#This Row],[ID]],_xlfn.XLOOKUP(View[[#This Row],[ID]],Opportunities[ID],Opportunities[OpportunityName]))</f>
        <v>Compliance Management Tool</v>
      </c>
      <c r="G11" s="49" t="str">
        <f>HYPERLINK(_xlfn.XLOOKUP(View[[#This Row],[ID]],Opportunities[ID],Opportunities[url]),_xlfn.XLOOKUP(View[[#This Row],[ID]],Opportunities[ID],Opportunities[Customer Name]))</f>
        <v>ACME Corporation</v>
      </c>
      <c r="H11" s="38" t="str">
        <f>_xlfn.XLOOKUP(View[[#This Row],[ID]],Opportunities[ID],Opportunities[DisplayStage])</f>
        <v>➃ - Negotiation</v>
      </c>
      <c r="I11" s="1">
        <f>IF(pipelineType="Unweighted",_xlfn.XLOOKUP(View[[#This Row],[ID]],Opportunities[ID],Opportunities[Amount])/1000,_xlfn.XLOOKUP(View[[#This Row],[ID]],Opportunities[ID],Opportunities[Weighted])/1000)</f>
        <v>1708.9280000000001</v>
      </c>
      <c r="J11" s="27" t="str">
        <f>_xlfn.XLOOKUP(View[[#This Row],[ID]],Opportunities[ID],Opportunities[WinProbDisplay])</f>
        <v>↙ Low</v>
      </c>
      <c r="K11" s="28">
        <f>View[[#This Row],[Estmated Revenue]]</f>
        <v>341.78560000000004</v>
      </c>
      <c r="L11" s="2">
        <f>_xlfn.XLOOKUP(View[[#This Row],[ID]],Opportunities[ID],Opportunities[Close])</f>
        <v>45988</v>
      </c>
      <c r="M11" s="24" t="str">
        <f>IF(_xlfn.XLOOKUP(View[[#This Row],[ID]],Opportunities[ID],Opportunities[Comment Log])=0,"",_xlfn.XLOOKUP(View[[#This Row],[ID]],Opportunities[ID],Opportunities[Comment Log]))</f>
        <v/>
      </c>
      <c r="N11">
        <v>24</v>
      </c>
      <c r="O11" s="3">
        <f ca="1">_xlfn.XLOOKUP(View[[#This Row],[ID]],Opportunities[ID],Opportunities[NextMilestoneDate])-TODAY()</f>
        <v>57</v>
      </c>
      <c r="P11"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Q11" s="1">
        <f>_xlfn.XLOOKUP(View[[#This Row],[ID]],Opportunities[ID],Opportunities[Weighted])/1000</f>
        <v>341.78560000000004</v>
      </c>
      <c r="R11" s="4">
        <f>_xlfn.XLOOKUP(View[[#This Row],[ID]],Opportunities[ID],Opportunities[Amount])/1000</f>
        <v>1708.9280000000001</v>
      </c>
      <c r="S11" t="b">
        <f>View[[#This Row],[Win Probability]]="High"</f>
        <v>0</v>
      </c>
      <c r="T11">
        <f>SUBTOTAL(103, View[[#This Row],[S]])</f>
        <v>1</v>
      </c>
    </row>
    <row r="12" spans="1:23" x14ac:dyDescent="0.25">
      <c r="E12" s="36" t="str">
        <f>_xlfn.XLOOKUP(View[[#This Row],[ID]],Opportunities[ID],Opportunities[status symbol])</f>
        <v>✓</v>
      </c>
      <c r="F12" s="37" t="str">
        <f>HYPERLINK(siteUrl&amp;"Lists/"&amp;oppList&amp;"/DispForm.aspx?ID="&amp;View[[#This Row],[ID]],_xlfn.XLOOKUP(View[[#This Row],[ID]],Opportunities[ID],Opportunities[OpportunityName]))</f>
        <v>Machine Learning Implementation</v>
      </c>
      <c r="G12" s="49" t="str">
        <f>HYPERLINK(_xlfn.XLOOKUP(View[[#This Row],[ID]],Opportunities[ID],Opportunities[url]),_xlfn.XLOOKUP(View[[#This Row],[ID]],Opportunities[ID],Opportunities[Customer Name]))</f>
        <v>Tech Solutions Inc</v>
      </c>
      <c r="H12" s="38" t="str">
        <f>_xlfn.XLOOKUP(View[[#This Row],[ID]],Opportunities[ID],Opportunities[DisplayStage])</f>
        <v>➄ - Project Execution</v>
      </c>
      <c r="I12" s="1">
        <f>IF(pipelineType="Unweighted",_xlfn.XLOOKUP(View[[#This Row],[ID]],Opportunities[ID],Opportunities[Amount])/1000,_xlfn.XLOOKUP(View[[#This Row],[ID]],Opportunities[ID],Opportunities[Weighted])/1000)</f>
        <v>1474.9269999999999</v>
      </c>
      <c r="J12" s="27" t="str">
        <f>_xlfn.XLOOKUP(View[[#This Row],[ID]],Opportunities[ID],Opportunities[WinProbDisplay])</f>
        <v>← Medium</v>
      </c>
      <c r="K12" s="28">
        <f>View[[#This Row],[Estmated Revenue]]</f>
        <v>589.97080000000005</v>
      </c>
      <c r="L12" s="2">
        <f>_xlfn.XLOOKUP(View[[#This Row],[ID]],Opportunities[ID],Opportunities[Close])</f>
        <v>45999</v>
      </c>
      <c r="M12" s="24" t="str">
        <f>IF(_xlfn.XLOOKUP(View[[#This Row],[ID]],Opportunities[ID],Opportunities[Comment Log])=0,"",_xlfn.XLOOKUP(View[[#This Row],[ID]],Opportunities[ID],Opportunities[Comment Log]))</f>
        <v/>
      </c>
      <c r="N12">
        <v>40</v>
      </c>
      <c r="O12" s="3">
        <f ca="1">_xlfn.XLOOKUP(View[[#This Row],[ID]],Opportunities[ID],Opportunities[NextMilestoneDate])-TODAY()</f>
        <v>49</v>
      </c>
      <c r="P12"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Q12" s="1">
        <f>_xlfn.XLOOKUP(View[[#This Row],[ID]],Opportunities[ID],Opportunities[Weighted])/1000</f>
        <v>589.97080000000005</v>
      </c>
      <c r="R12" s="4">
        <f>_xlfn.XLOOKUP(View[[#This Row],[ID]],Opportunities[ID],Opportunities[Amount])/1000</f>
        <v>1474.9269999999999</v>
      </c>
      <c r="S12" t="b">
        <f>View[[#This Row],[Win Probability]]="High"</f>
        <v>0</v>
      </c>
      <c r="T12">
        <f>SUBTOTAL(103, View[[#This Row],[S]])</f>
        <v>1</v>
      </c>
    </row>
    <row r="13" spans="1:23" x14ac:dyDescent="0.25">
      <c r="E13" s="36" t="str">
        <f>_xlfn.XLOOKUP(View[[#This Row],[ID]],Opportunities[ID],Opportunities[status symbol])</f>
        <v>✓</v>
      </c>
      <c r="F13" s="37" t="str">
        <f>HYPERLINK(siteUrl&amp;"Lists/"&amp;oppList&amp;"/DispForm.aspx?ID="&amp;View[[#This Row],[ID]],_xlfn.XLOOKUP(View[[#This Row],[ID]],Opportunities[ID],Opportunities[OpportunityName]))</f>
        <v>Database Migration Project</v>
      </c>
      <c r="G13" s="49" t="str">
        <f>HYPERLINK(_xlfn.XLOOKUP(View[[#This Row],[ID]],Opportunities[ID],Opportunities[url]),_xlfn.XLOOKUP(View[[#This Row],[ID]],Opportunities[ID],Opportunities[Customer Name]))</f>
        <v>Construction Dynamics</v>
      </c>
      <c r="H13" s="38" t="str">
        <f>_xlfn.XLOOKUP(View[[#This Row],[ID]],Opportunities[ID],Opportunities[DisplayStage])</f>
        <v>➀ - Lead Qualification</v>
      </c>
      <c r="I13" s="1">
        <f>IF(pipelineType="Unweighted",_xlfn.XLOOKUP(View[[#This Row],[ID]],Opportunities[ID],Opportunities[Amount])/1000,_xlfn.XLOOKUP(View[[#This Row],[ID]],Opportunities[ID],Opportunities[Weighted])/1000)</f>
        <v>630.28899999999999</v>
      </c>
      <c r="J13" s="27" t="str">
        <f>_xlfn.XLOOKUP(View[[#This Row],[ID]],Opportunities[ID],Opportunities[WinProbDisplay])</f>
        <v>← Medium</v>
      </c>
      <c r="K13" s="28">
        <f>View[[#This Row],[Estmated Revenue]]</f>
        <v>252.1156</v>
      </c>
      <c r="L13" s="2">
        <f>_xlfn.XLOOKUP(View[[#This Row],[ID]],Opportunities[ID],Opportunities[Close])</f>
        <v>46024</v>
      </c>
      <c r="M13" s="24" t="str">
        <f>IF(_xlfn.XLOOKUP(View[[#This Row],[ID]],Opportunities[ID],Opportunities[Comment Log])=0,"",_xlfn.XLOOKUP(View[[#This Row],[ID]],Opportunities[ID],Opportunities[Comment Log]))</f>
        <v/>
      </c>
      <c r="N13">
        <v>37</v>
      </c>
      <c r="O13" s="3">
        <f ca="1">_xlfn.XLOOKUP(View[[#This Row],[ID]],Opportunities[ID],Opportunities[NextMilestoneDate])-TODAY()</f>
        <v>31</v>
      </c>
      <c r="P13"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3" s="1">
        <f>_xlfn.XLOOKUP(View[[#This Row],[ID]],Opportunities[ID],Opportunities[Weighted])/1000</f>
        <v>252.1156</v>
      </c>
      <c r="R13" s="4">
        <f>_xlfn.XLOOKUP(View[[#This Row],[ID]],Opportunities[ID],Opportunities[Amount])/1000</f>
        <v>630.28899999999999</v>
      </c>
      <c r="S13" t="b">
        <f>View[[#This Row],[Win Probability]]="High"</f>
        <v>0</v>
      </c>
      <c r="T13">
        <f>SUBTOTAL(103, View[[#This Row],[S]])</f>
        <v>1</v>
      </c>
    </row>
    <row r="14" spans="1:23" x14ac:dyDescent="0.25">
      <c r="E14" s="36" t="str">
        <f>_xlfn.XLOOKUP(View[[#This Row],[ID]],Opportunities[ID],Opportunities[status symbol])</f>
        <v>✓</v>
      </c>
      <c r="F14" s="37" t="str">
        <f>HYPERLINK(siteUrl&amp;"Lists/"&amp;oppList&amp;"/DispForm.aspx?ID="&amp;View[[#This Row],[ID]],_xlfn.XLOOKUP(View[[#This Row],[ID]],Opportunities[ID],Opportunities[OpportunityName]))</f>
        <v>Workflow Automation Tool</v>
      </c>
      <c r="G14" s="49" t="str">
        <f>HYPERLINK(_xlfn.XLOOKUP(View[[#This Row],[ID]],Opportunities[ID],Opportunities[url]),_xlfn.XLOOKUP(View[[#This Row],[ID]],Opportunities[ID],Opportunities[Customer Name]))</f>
        <v>Global Industries</v>
      </c>
      <c r="H14" s="38" t="str">
        <f>_xlfn.XLOOKUP(View[[#This Row],[ID]],Opportunities[ID],Opportunities[DisplayStage])</f>
        <v>➄ - Project Execution</v>
      </c>
      <c r="I14" s="1">
        <f>IF(pipelineType="Unweighted",_xlfn.XLOOKUP(View[[#This Row],[ID]],Opportunities[ID],Opportunities[Amount])/1000,_xlfn.XLOOKUP(View[[#This Row],[ID]],Opportunities[ID],Opportunities[Weighted])/1000)</f>
        <v>1362.8320000000001</v>
      </c>
      <c r="J14" s="27" t="str">
        <f>_xlfn.XLOOKUP(View[[#This Row],[ID]],Opportunities[ID],Opportunities[WinProbDisplay])</f>
        <v>← Medium</v>
      </c>
      <c r="K14" s="28">
        <f>View[[#This Row],[Estmated Revenue]]</f>
        <v>545.13280000000009</v>
      </c>
      <c r="L14" s="2">
        <f>_xlfn.XLOOKUP(View[[#This Row],[ID]],Opportunities[ID],Opportunities[Close])</f>
        <v>46035</v>
      </c>
      <c r="M14" s="24" t="str">
        <f>IF(_xlfn.XLOOKUP(View[[#This Row],[ID]],Opportunities[ID],Opportunities[Comment Log])=0,"",_xlfn.XLOOKUP(View[[#This Row],[ID]],Opportunities[ID],Opportunities[Comment Log]))</f>
        <v/>
      </c>
      <c r="N14">
        <v>35</v>
      </c>
      <c r="O14" s="3">
        <f ca="1">_xlfn.XLOOKUP(View[[#This Row],[ID]],Opportunities[ID],Opportunities[NextMilestoneDate])-TODAY()</f>
        <v>23</v>
      </c>
      <c r="P14"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4" s="1">
        <f>_xlfn.XLOOKUP(View[[#This Row],[ID]],Opportunities[ID],Opportunities[Weighted])/1000</f>
        <v>545.13280000000009</v>
      </c>
      <c r="R14" s="4">
        <f>_xlfn.XLOOKUP(View[[#This Row],[ID]],Opportunities[ID],Opportunities[Amount])/1000</f>
        <v>1362.8320000000001</v>
      </c>
      <c r="S14" t="b">
        <f>View[[#This Row],[Win Probability]]="High"</f>
        <v>0</v>
      </c>
      <c r="T14">
        <f>SUBTOTAL(103, View[[#This Row],[S]])</f>
        <v>1</v>
      </c>
    </row>
    <row r="15" spans="1:23" x14ac:dyDescent="0.25">
      <c r="E15" s="36" t="str">
        <f>_xlfn.XLOOKUP(View[[#This Row],[ID]],Opportunities[ID],Opportunities[status symbol])</f>
        <v>✓</v>
      </c>
      <c r="F15" s="37" t="str">
        <f>HYPERLINK(siteUrl&amp;"Lists/"&amp;oppList&amp;"/DispForm.aspx?ID="&amp;View[[#This Row],[ID]],_xlfn.XLOOKUP(View[[#This Row],[ID]],Opportunities[ID],Opportunities[OpportunityName]))</f>
        <v>Business Intelligence Solution</v>
      </c>
      <c r="G15" s="49" t="str">
        <f>HYPERLINK(_xlfn.XLOOKUP(View[[#This Row],[ID]],Opportunities[ID],Opportunities[url]),_xlfn.XLOOKUP(View[[#This Row],[ID]],Opportunities[ID],Opportunities[Customer Name]))</f>
        <v>Real Estate Ventures</v>
      </c>
      <c r="H15" s="38" t="str">
        <f>_xlfn.XLOOKUP(View[[#This Row],[ID]],Opportunities[ID],Opportunities[DisplayStage])</f>
        <v>➅ - Closeout</v>
      </c>
      <c r="I15" s="1">
        <f>IF(pipelineType="Unweighted",_xlfn.XLOOKUP(View[[#This Row],[ID]],Opportunities[ID],Opportunities[Amount])/1000,_xlfn.XLOOKUP(View[[#This Row],[ID]],Opportunities[ID],Opportunities[Weighted])/1000)</f>
        <v>666.33100000000002</v>
      </c>
      <c r="J15" s="27" t="str">
        <f>_xlfn.XLOOKUP(View[[#This Row],[ID]],Opportunities[ID],Opportunities[WinProbDisplay])</f>
        <v>← Medium</v>
      </c>
      <c r="K15" s="28">
        <f>View[[#This Row],[Estmated Revenue]]</f>
        <v>266.5324</v>
      </c>
      <c r="L15" s="2">
        <f>_xlfn.XLOOKUP(View[[#This Row],[ID]],Opportunities[ID],Opportunities[Close])</f>
        <v>46036</v>
      </c>
      <c r="M15" s="24" t="str">
        <f>IF(_xlfn.XLOOKUP(View[[#This Row],[ID]],Opportunities[ID],Opportunities[Comment Log])=0,"",_xlfn.XLOOKUP(View[[#This Row],[ID]],Opportunities[ID],Opportunities[Comment Log]))</f>
        <v/>
      </c>
      <c r="N15">
        <v>8</v>
      </c>
      <c r="O15" s="3">
        <f ca="1">_xlfn.XLOOKUP(View[[#This Row],[ID]],Opportunities[ID],Opportunities[NextMilestoneDate])-TODAY()</f>
        <v>36</v>
      </c>
      <c r="P15"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5" s="1">
        <f>_xlfn.XLOOKUP(View[[#This Row],[ID]],Opportunities[ID],Opportunities[Weighted])/1000</f>
        <v>266.5324</v>
      </c>
      <c r="R15" s="4">
        <f>_xlfn.XLOOKUP(View[[#This Row],[ID]],Opportunities[ID],Opportunities[Amount])/1000</f>
        <v>666.33100000000002</v>
      </c>
      <c r="S15" t="b">
        <f>View[[#This Row],[Win Probability]]="High"</f>
        <v>0</v>
      </c>
      <c r="T15">
        <f>SUBTOTAL(103, View[[#This Row],[S]])</f>
        <v>1</v>
      </c>
    </row>
    <row r="16" spans="1:23" x14ac:dyDescent="0.25">
      <c r="E16" s="36" t="str">
        <f>_xlfn.XLOOKUP(View[[#This Row],[ID]],Opportunities[ID],Opportunities[status symbol])</f>
        <v>✓</v>
      </c>
      <c r="F16" s="37" t="str">
        <f>HYPERLINK(siteUrl&amp;"Lists/"&amp;oppList&amp;"/DispForm.aspx?ID="&amp;View[[#This Row],[ID]],_xlfn.XLOOKUP(View[[#This Row],[ID]],Opportunities[ID],Opportunities[OpportunityName]))</f>
        <v>Social Media Management Tool</v>
      </c>
      <c r="G16" s="49" t="str">
        <f>HYPERLINK(_xlfn.XLOOKUP(View[[#This Row],[ID]],Opportunities[ID],Opportunities[url]),_xlfn.XLOOKUP(View[[#This Row],[ID]],Opportunities[ID],Opportunities[Customer Name]))</f>
        <v>Waste Management Co</v>
      </c>
      <c r="H16" s="38" t="str">
        <f>_xlfn.XLOOKUP(View[[#This Row],[ID]],Opportunities[ID],Opportunities[DisplayStage])</f>
        <v>➀ - Lead Qualification</v>
      </c>
      <c r="I16" s="1">
        <f>IF(pipelineType="Unweighted",_xlfn.XLOOKUP(View[[#This Row],[ID]],Opportunities[ID],Opportunities[Amount])/1000,_xlfn.XLOOKUP(View[[#This Row],[ID]],Opportunities[ID],Opportunities[Weighted])/1000)</f>
        <v>1091.6320000000001</v>
      </c>
      <c r="J16" s="27" t="str">
        <f>_xlfn.XLOOKUP(View[[#This Row],[ID]],Opportunities[ID],Opportunities[WinProbDisplay])</f>
        <v>↖ High</v>
      </c>
      <c r="K16" s="28">
        <f>View[[#This Row],[Estmated Revenue]]</f>
        <v>982.4688000000001</v>
      </c>
      <c r="L16" s="2">
        <f>_xlfn.XLOOKUP(View[[#This Row],[ID]],Opportunities[ID],Opportunities[Close])</f>
        <v>46038</v>
      </c>
      <c r="M16" s="24" t="str">
        <f>IF(_xlfn.XLOOKUP(View[[#This Row],[ID]],Opportunities[ID],Opportunities[Comment Log])=0,"",_xlfn.XLOOKUP(View[[#This Row],[ID]],Opportunities[ID],Opportunities[Comment Log]))</f>
        <v/>
      </c>
      <c r="N16">
        <v>29</v>
      </c>
      <c r="O16" s="3">
        <f ca="1">_xlfn.XLOOKUP(View[[#This Row],[ID]],Opportunities[ID],Opportunities[NextMilestoneDate])-TODAY()</f>
        <v>56</v>
      </c>
      <c r="P16"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6" s="1">
        <f>_xlfn.XLOOKUP(View[[#This Row],[ID]],Opportunities[ID],Opportunities[Weighted])/1000</f>
        <v>982.4688000000001</v>
      </c>
      <c r="R16" s="4">
        <f>_xlfn.XLOOKUP(View[[#This Row],[ID]],Opportunities[ID],Opportunities[Amount])/1000</f>
        <v>1091.6320000000001</v>
      </c>
      <c r="S16" t="b">
        <f>View[[#This Row],[Win Probability]]="High"</f>
        <v>0</v>
      </c>
      <c r="T16">
        <f>SUBTOTAL(103, View[[#This Row],[S]])</f>
        <v>1</v>
      </c>
    </row>
    <row r="17" spans="5:20" x14ac:dyDescent="0.25">
      <c r="E17" s="36" t="str">
        <f>_xlfn.XLOOKUP(View[[#This Row],[ID]],Opportunities[ID],Opportunities[status symbol])</f>
        <v>✓</v>
      </c>
      <c r="F17" s="37" t="str">
        <f>HYPERLINK(siteUrl&amp;"Lists/"&amp;oppList&amp;"/DispForm.aspx?ID="&amp;View[[#This Row],[ID]],_xlfn.XLOOKUP(View[[#This Row],[ID]],Opportunities[ID],Opportunities[OpportunityName]))</f>
        <v>Healthcare Data Analytics Platform</v>
      </c>
      <c r="G17" s="49" t="str">
        <f>HYPERLINK(_xlfn.XLOOKUP(View[[#This Row],[ID]],Opportunities[ID],Opportunities[url]),_xlfn.XLOOKUP(View[[#This Row],[ID]],Opportunities[ID],Opportunities[Customer Name]))</f>
        <v>Global Industries</v>
      </c>
      <c r="H17" s="38" t="str">
        <f>_xlfn.XLOOKUP(View[[#This Row],[ID]],Opportunities[ID],Opportunities[DisplayStage])</f>
        <v>➄ - Project Execution</v>
      </c>
      <c r="I17" s="1">
        <f>IF(pipelineType="Unweighted",_xlfn.XLOOKUP(View[[#This Row],[ID]],Opportunities[ID],Opportunities[Amount])/1000,_xlfn.XLOOKUP(View[[#This Row],[ID]],Opportunities[ID],Opportunities[Weighted])/1000)</f>
        <v>1191.2059999999999</v>
      </c>
      <c r="J17" s="27" t="str">
        <f>_xlfn.XLOOKUP(View[[#This Row],[ID]],Opportunities[ID],Opportunities[WinProbDisplay])</f>
        <v>↙ Low</v>
      </c>
      <c r="K17" s="28">
        <f>View[[#This Row],[Estmated Revenue]]</f>
        <v>238.24120000000002</v>
      </c>
      <c r="L17" s="2">
        <f>_xlfn.XLOOKUP(View[[#This Row],[ID]],Opportunities[ID],Opportunities[Close])</f>
        <v>46042</v>
      </c>
      <c r="M17" s="24" t="str">
        <f>IF(_xlfn.XLOOKUP(View[[#This Row],[ID]],Opportunities[ID],Opportunities[Comment Log])=0,"",_xlfn.XLOOKUP(View[[#This Row],[ID]],Opportunities[ID],Opportunities[Comment Log]))</f>
        <v/>
      </c>
      <c r="N17">
        <v>5</v>
      </c>
      <c r="O17" s="3">
        <f ca="1">_xlfn.XLOOKUP(View[[#This Row],[ID]],Opportunities[ID],Opportunities[NextMilestoneDate])-TODAY()</f>
        <v>8</v>
      </c>
      <c r="P17"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7" s="1">
        <f>_xlfn.XLOOKUP(View[[#This Row],[ID]],Opportunities[ID],Opportunities[Weighted])/1000</f>
        <v>238.24120000000002</v>
      </c>
      <c r="R17" s="4">
        <f>_xlfn.XLOOKUP(View[[#This Row],[ID]],Opportunities[ID],Opportunities[Amount])/1000</f>
        <v>1191.2059999999999</v>
      </c>
      <c r="S17" t="b">
        <f>View[[#This Row],[Win Probability]]="High"</f>
        <v>0</v>
      </c>
      <c r="T17">
        <f>SUBTOTAL(103, View[[#This Row],[S]])</f>
        <v>1</v>
      </c>
    </row>
    <row r="18" spans="5:20" x14ac:dyDescent="0.25">
      <c r="E18" s="36" t="str">
        <f>_xlfn.XLOOKUP(View[[#This Row],[ID]],Opportunities[ID],Opportunities[status symbol])</f>
        <v>✓</v>
      </c>
      <c r="F18" s="37" t="str">
        <f>HYPERLINK(siteUrl&amp;"Lists/"&amp;oppList&amp;"/DispForm.aspx?ID="&amp;View[[#This Row],[ID]],_xlfn.XLOOKUP(View[[#This Row],[ID]],Opportunities[ID],Opportunities[OpportunityName]))</f>
        <v>Point of Sale System</v>
      </c>
      <c r="G18" s="49" t="str">
        <f>HYPERLINK(_xlfn.XLOOKUP(View[[#This Row],[ID]],Opportunities[ID],Opportunities[url]),_xlfn.XLOOKUP(View[[#This Row],[ID]],Opportunities[ID],Opportunities[Customer Name]))</f>
        <v>Food Service Partners</v>
      </c>
      <c r="H18" s="38" t="str">
        <f>_xlfn.XLOOKUP(View[[#This Row],[ID]],Opportunities[ID],Opportunities[DisplayStage])</f>
        <v>➃ - Negotiation</v>
      </c>
      <c r="I18" s="1">
        <f>IF(pipelineType="Unweighted",_xlfn.XLOOKUP(View[[#This Row],[ID]],Opportunities[ID],Opportunities[Amount])/1000,_xlfn.XLOOKUP(View[[#This Row],[ID]],Opportunities[ID],Opportunities[Weighted])/1000)</f>
        <v>1236.222</v>
      </c>
      <c r="J18" s="27" t="str">
        <f>_xlfn.XLOOKUP(View[[#This Row],[ID]],Opportunities[ID],Opportunities[WinProbDisplay])</f>
        <v>← Medium</v>
      </c>
      <c r="K18" s="28">
        <f>View[[#This Row],[Estmated Revenue]]</f>
        <v>494.48880000000003</v>
      </c>
      <c r="L18" s="2">
        <f>_xlfn.XLOOKUP(View[[#This Row],[ID]],Opportunities[ID],Opportunities[Close])</f>
        <v>46050</v>
      </c>
      <c r="M18" s="24" t="str">
        <f>IF(_xlfn.XLOOKUP(View[[#This Row],[ID]],Opportunities[ID],Opportunities[Comment Log])=0,"",_xlfn.XLOOKUP(View[[#This Row],[ID]],Opportunities[ID],Opportunities[Comment Log]))</f>
        <v/>
      </c>
      <c r="N18">
        <v>23</v>
      </c>
      <c r="O18" s="3">
        <f ca="1">_xlfn.XLOOKUP(View[[#This Row],[ID]],Opportunities[ID],Opportunities[NextMilestoneDate])-TODAY()</f>
        <v>30</v>
      </c>
      <c r="P18"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8" s="1">
        <f>_xlfn.XLOOKUP(View[[#This Row],[ID]],Opportunities[ID],Opportunities[Weighted])/1000</f>
        <v>494.48880000000003</v>
      </c>
      <c r="R18" s="4">
        <f>_xlfn.XLOOKUP(View[[#This Row],[ID]],Opportunities[ID],Opportunities[Amount])/1000</f>
        <v>1236.222</v>
      </c>
      <c r="S18" t="b">
        <f>View[[#This Row],[Win Probability]]="High"</f>
        <v>0</v>
      </c>
      <c r="T18">
        <f>SUBTOTAL(103, View[[#This Row],[S]])</f>
        <v>1</v>
      </c>
    </row>
    <row r="19" spans="5:20" x14ac:dyDescent="0.25">
      <c r="E19" s="36" t="str">
        <f>_xlfn.XLOOKUP(View[[#This Row],[ID]],Opportunities[ID],Opportunities[status symbol])</f>
        <v>✓</v>
      </c>
      <c r="F19" s="37" t="str">
        <f>HYPERLINK(siteUrl&amp;"Lists/"&amp;oppList&amp;"/DispForm.aspx?ID="&amp;View[[#This Row],[ID]],_xlfn.XLOOKUP(View[[#This Row],[ID]],Opportunities[ID],Opportunities[OpportunityName]))</f>
        <v>Network Infrastructure Upgrade</v>
      </c>
      <c r="G19" s="49" t="str">
        <f>HYPERLINK(_xlfn.XLOOKUP(View[[#This Row],[ID]],Opportunities[ID],Opportunities[url]),_xlfn.XLOOKUP(View[[#This Row],[ID]],Opportunities[ID],Opportunities[Customer Name]))</f>
        <v>Pharmaceutical Research</v>
      </c>
      <c r="H19" s="38" t="str">
        <f>_xlfn.XLOOKUP(View[[#This Row],[ID]],Opportunities[ID],Opportunities[DisplayStage])</f>
        <v>➂ - Proposal</v>
      </c>
      <c r="I19" s="1">
        <f>IF(pipelineType="Unweighted",_xlfn.XLOOKUP(View[[#This Row],[ID]],Opportunities[ID],Opportunities[Amount])/1000,_xlfn.XLOOKUP(View[[#This Row],[ID]],Opportunities[ID],Opportunities[Weighted])/1000)</f>
        <v>1166.3920000000001</v>
      </c>
      <c r="J19" s="27" t="str">
        <f>_xlfn.XLOOKUP(View[[#This Row],[ID]],Opportunities[ID],Opportunities[WinProbDisplay])</f>
        <v>← Medium</v>
      </c>
      <c r="K19" s="28">
        <f>View[[#This Row],[Estmated Revenue]]</f>
        <v>466.55680000000007</v>
      </c>
      <c r="L19" s="2">
        <f>_xlfn.XLOOKUP(View[[#This Row],[ID]],Opportunities[ID],Opportunities[Close])</f>
        <v>46055</v>
      </c>
      <c r="M19" s="24" t="str">
        <f>IF(_xlfn.XLOOKUP(View[[#This Row],[ID]],Opportunities[ID],Opportunities[Comment Log])=0,"",_xlfn.XLOOKUP(View[[#This Row],[ID]],Opportunities[ID],Opportunities[Comment Log]))</f>
        <v/>
      </c>
      <c r="N19">
        <v>7</v>
      </c>
      <c r="O19" s="3">
        <f ca="1">_xlfn.XLOOKUP(View[[#This Row],[ID]],Opportunities[ID],Opportunities[NextMilestoneDate])-TODAY()</f>
        <v>38</v>
      </c>
      <c r="P19"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19" s="1">
        <f>_xlfn.XLOOKUP(View[[#This Row],[ID]],Opportunities[ID],Opportunities[Weighted])/1000</f>
        <v>466.55680000000007</v>
      </c>
      <c r="R19" s="4">
        <f>_xlfn.XLOOKUP(View[[#This Row],[ID]],Opportunities[ID],Opportunities[Amount])/1000</f>
        <v>1166.3920000000001</v>
      </c>
      <c r="S19" t="b">
        <f>View[[#This Row],[Win Probability]]="High"</f>
        <v>0</v>
      </c>
      <c r="T19">
        <f>SUBTOTAL(103, View[[#This Row],[S]])</f>
        <v>1</v>
      </c>
    </row>
    <row r="20" spans="5:20" x14ac:dyDescent="0.25">
      <c r="E20" s="36" t="str">
        <f>_xlfn.XLOOKUP(View[[#This Row],[ID]],Opportunities[ID],Opportunities[status symbol])</f>
        <v>⚠</v>
      </c>
      <c r="F20" s="37" t="str">
        <f>HYPERLINK(siteUrl&amp;"Lists/"&amp;oppList&amp;"/DispForm.aspx?ID="&amp;View[[#This Row],[ID]],_xlfn.XLOOKUP(View[[#This Row],[ID]],Opportunities[ID],Opportunities[OpportunityName]))</f>
        <v>Training &amp; Development Program</v>
      </c>
      <c r="G20" s="49" t="str">
        <f>HYPERLINK(_xlfn.XLOOKUP(View[[#This Row],[ID]],Opportunities[ID],Opportunities[url]),_xlfn.XLOOKUP(View[[#This Row],[ID]],Opportunities[ID],Opportunities[Customer Name]))</f>
        <v>Sports &amp; Recreation</v>
      </c>
      <c r="H20" s="38" t="str">
        <f>_xlfn.XLOOKUP(View[[#This Row],[ID]],Opportunities[ID],Opportunities[DisplayStage])</f>
        <v>➂ - Proposal</v>
      </c>
      <c r="I20" s="1">
        <f>IF(pipelineType="Unweighted",_xlfn.XLOOKUP(View[[#This Row],[ID]],Opportunities[ID],Opportunities[Amount])/1000,_xlfn.XLOOKUP(View[[#This Row],[ID]],Opportunities[ID],Opportunities[Weighted])/1000)</f>
        <v>1308.796</v>
      </c>
      <c r="J20" s="27" t="str">
        <f>_xlfn.XLOOKUP(View[[#This Row],[ID]],Opportunities[ID],Opportunities[WinProbDisplay])</f>
        <v>← Medium</v>
      </c>
      <c r="K20" s="28">
        <f>View[[#This Row],[Estmated Revenue]]</f>
        <v>523.51840000000004</v>
      </c>
      <c r="L20" s="2">
        <f>_xlfn.XLOOKUP(View[[#This Row],[ID]],Opportunities[ID],Opportunities[Close])</f>
        <v>46069</v>
      </c>
      <c r="M20" s="24" t="str">
        <f>IF(_xlfn.XLOOKUP(View[[#This Row],[ID]],Opportunities[ID],Opportunities[Comment Log])=0,"",_xlfn.XLOOKUP(View[[#This Row],[ID]],Opportunities[ID],Opportunities[Comment Log]))</f>
        <v/>
      </c>
      <c r="N20">
        <v>15</v>
      </c>
      <c r="O20" s="3">
        <f ca="1">_xlfn.XLOOKUP(View[[#This Row],[ID]],Opportunities[ID],Opportunities[NextMilestoneDate])-TODAY()</f>
        <v>56</v>
      </c>
      <c r="P20"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20" s="1">
        <f>_xlfn.XLOOKUP(View[[#This Row],[ID]],Opportunities[ID],Opportunities[Weighted])/1000</f>
        <v>523.51840000000004</v>
      </c>
      <c r="R20" s="4">
        <f>_xlfn.XLOOKUP(View[[#This Row],[ID]],Opportunities[ID],Opportunities[Amount])/1000</f>
        <v>1308.796</v>
      </c>
      <c r="S20" t="b">
        <f>View[[#This Row],[Win Probability]]="High"</f>
        <v>0</v>
      </c>
      <c r="T20">
        <f>SUBTOTAL(103, View[[#This Row],[S]])</f>
        <v>1</v>
      </c>
    </row>
    <row r="21" spans="5:20" x14ac:dyDescent="0.25">
      <c r="E21" s="36" t="str">
        <f>_xlfn.XLOOKUP(View[[#This Row],[ID]],Opportunities[ID],Opportunities[status symbol])</f>
        <v>✓</v>
      </c>
      <c r="F21" s="37" t="str">
        <f>HYPERLINK(siteUrl&amp;"Lists/"&amp;oppList&amp;"/DispForm.aspx?ID="&amp;View[[#This Row],[ID]],_xlfn.XLOOKUP(View[[#This Row],[ID]],Opportunities[ID],Opportunities[OpportunityName]))</f>
        <v>Performance Analytics Dashboard</v>
      </c>
      <c r="G21" s="49" t="str">
        <f>HYPERLINK(_xlfn.XLOOKUP(View[[#This Row],[ID]],Opportunities[ID],Opportunities[url]),_xlfn.XLOOKUP(View[[#This Row],[ID]],Opportunities[ID],Opportunities[Customer Name]))</f>
        <v>Global Industries</v>
      </c>
      <c r="H21" s="38" t="str">
        <f>_xlfn.XLOOKUP(View[[#This Row],[ID]],Opportunities[ID],Opportunities[DisplayStage])</f>
        <v>➃ - Negotiation</v>
      </c>
      <c r="I21" s="1">
        <f>IF(pipelineType="Unweighted",_xlfn.XLOOKUP(View[[#This Row],[ID]],Opportunities[ID],Opportunities[Amount])/1000,_xlfn.XLOOKUP(View[[#This Row],[ID]],Opportunities[ID],Opportunities[Weighted])/1000)</f>
        <v>1225.1579999999999</v>
      </c>
      <c r="J21" s="27" t="str">
        <f>_xlfn.XLOOKUP(View[[#This Row],[ID]],Opportunities[ID],Opportunities[WinProbDisplay])</f>
        <v>↙ Low</v>
      </c>
      <c r="K21" s="28">
        <f>View[[#This Row],[Estmated Revenue]]</f>
        <v>245.0316</v>
      </c>
      <c r="L21" s="2">
        <f>_xlfn.XLOOKUP(View[[#This Row],[ID]],Opportunities[ID],Opportunities[Close])</f>
        <v>46077</v>
      </c>
      <c r="M21" s="24" t="str">
        <f>IF(_xlfn.XLOOKUP(View[[#This Row],[ID]],Opportunities[ID],Opportunities[Comment Log])=0,"",_xlfn.XLOOKUP(View[[#This Row],[ID]],Opportunities[ID],Opportunities[Comment Log]))</f>
        <v/>
      </c>
      <c r="N21">
        <v>34</v>
      </c>
      <c r="O21" s="3">
        <f ca="1">_xlfn.XLOOKUP(View[[#This Row],[ID]],Opportunities[ID],Opportunities[NextMilestoneDate])-TODAY()</f>
        <v>49</v>
      </c>
      <c r="P21"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21" s="1">
        <f>_xlfn.XLOOKUP(View[[#This Row],[ID]],Opportunities[ID],Opportunities[Weighted])/1000</f>
        <v>245.0316</v>
      </c>
      <c r="R21" s="4">
        <f>_xlfn.XLOOKUP(View[[#This Row],[ID]],Opportunities[ID],Opportunities[Amount])/1000</f>
        <v>1225.1579999999999</v>
      </c>
      <c r="S21" t="b">
        <f>View[[#This Row],[Win Probability]]="High"</f>
        <v>0</v>
      </c>
      <c r="T21">
        <f>SUBTOTAL(103, View[[#This Row],[S]])</f>
        <v>1</v>
      </c>
    </row>
    <row r="22" spans="5:20" x14ac:dyDescent="0.25">
      <c r="E22" s="36" t="str">
        <f>_xlfn.XLOOKUP(View[[#This Row],[ID]],Opportunities[ID],Opportunities[status symbol])</f>
        <v>✓</v>
      </c>
      <c r="F22" s="37" t="str">
        <f>HYPERLINK(siteUrl&amp;"Lists/"&amp;oppList&amp;"/DispForm.aspx?ID="&amp;View[[#This Row],[ID]],_xlfn.XLOOKUP(View[[#This Row],[ID]],Opportunities[ID],Opportunities[OpportunityName]))</f>
        <v>Cybersecurity Enhancement</v>
      </c>
      <c r="G22" s="49" t="str">
        <f>HYPERLINK(_xlfn.XLOOKUP(View[[#This Row],[ID]],Opportunities[ID],Opportunities[url]),_xlfn.XLOOKUP(View[[#This Row],[ID]],Opportunities[ID],Opportunities[Customer Name]))</f>
        <v>Consulting Experts</v>
      </c>
      <c r="H22" s="38" t="str">
        <f>_xlfn.XLOOKUP(View[[#This Row],[ID]],Opportunities[ID],Opportunities[DisplayStage])</f>
        <v>➁ - Nurturing</v>
      </c>
      <c r="I22" s="1">
        <f>IF(pipelineType="Unweighted",_xlfn.XLOOKUP(View[[#This Row],[ID]],Opportunities[ID],Opportunities[Amount])/1000,_xlfn.XLOOKUP(View[[#This Row],[ID]],Opportunities[ID],Opportunities[Weighted])/1000)</f>
        <v>1217.08</v>
      </c>
      <c r="J22" s="27" t="str">
        <f>_xlfn.XLOOKUP(View[[#This Row],[ID]],Opportunities[ID],Opportunities[WinProbDisplay])</f>
        <v>↖ High</v>
      </c>
      <c r="K22" s="28">
        <f>View[[#This Row],[Estmated Revenue]]</f>
        <v>1095.3720000000001</v>
      </c>
      <c r="L22" s="2">
        <f>_xlfn.XLOOKUP(View[[#This Row],[ID]],Opportunities[ID],Opportunities[Close])</f>
        <v>46097</v>
      </c>
      <c r="M22" s="24" t="str">
        <f>IF(_xlfn.XLOOKUP(View[[#This Row],[ID]],Opportunities[ID],Opportunities[Comment Log])=0,"",_xlfn.XLOOKUP(View[[#This Row],[ID]],Opportunities[ID],Opportunities[Comment Log]))</f>
        <v/>
      </c>
      <c r="N22">
        <v>12</v>
      </c>
      <c r="O22" s="3">
        <f ca="1">_xlfn.XLOOKUP(View[[#This Row],[ID]],Opportunities[ID],Opportunities[NextMilestoneDate])-TODAY()</f>
        <v>48</v>
      </c>
      <c r="P22"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22" s="1">
        <f>_xlfn.XLOOKUP(View[[#This Row],[ID]],Opportunities[ID],Opportunities[Weighted])/1000</f>
        <v>1095.3720000000001</v>
      </c>
      <c r="R22" s="4">
        <f>_xlfn.XLOOKUP(View[[#This Row],[ID]],Opportunities[ID],Opportunities[Amount])/1000</f>
        <v>1217.08</v>
      </c>
      <c r="S22" t="b">
        <f>View[[#This Row],[Win Probability]]="High"</f>
        <v>0</v>
      </c>
      <c r="T22">
        <f>SUBTOTAL(103, View[[#This Row],[S]])</f>
        <v>1</v>
      </c>
    </row>
    <row r="23" spans="5:20" x14ac:dyDescent="0.25">
      <c r="E23" s="36" t="str">
        <f>_xlfn.XLOOKUP(View[[#This Row],[ID]],Opportunities[ID],Opportunities[status symbol])</f>
        <v>✓</v>
      </c>
      <c r="F23" s="37" t="str">
        <f>HYPERLINK(siteUrl&amp;"Lists/"&amp;oppList&amp;"/DispForm.aspx?ID="&amp;View[[#This Row],[ID]],_xlfn.XLOOKUP(View[[#This Row],[ID]],Opportunities[ID],Opportunities[OpportunityName]))</f>
        <v>Legacy System Modernization</v>
      </c>
      <c r="G23" s="49" t="str">
        <f>HYPERLINK(_xlfn.XLOOKUP(View[[#This Row],[ID]],Opportunities[ID],Opportunities[url]),_xlfn.XLOOKUP(View[[#This Row],[ID]],Opportunities[ID],Opportunities[Customer Name]))</f>
        <v>Professional Services Group</v>
      </c>
      <c r="H23" s="38" t="str">
        <f>_xlfn.XLOOKUP(View[[#This Row],[ID]],Opportunities[ID],Opportunities[DisplayStage])</f>
        <v>➁ - Nurturing</v>
      </c>
      <c r="I23" s="1">
        <f>IF(pipelineType="Unweighted",_xlfn.XLOOKUP(View[[#This Row],[ID]],Opportunities[ID],Opportunities[Amount])/1000,_xlfn.XLOOKUP(View[[#This Row],[ID]],Opportunities[ID],Opportunities[Weighted])/1000)</f>
        <v>1778.4090000000001</v>
      </c>
      <c r="J23" s="27" t="str">
        <f>_xlfn.XLOOKUP(View[[#This Row],[ID]],Opportunities[ID],Opportunities[WinProbDisplay])</f>
        <v>↙ Low</v>
      </c>
      <c r="K23" s="28">
        <f>View[[#This Row],[Estmated Revenue]]</f>
        <v>355.68180000000007</v>
      </c>
      <c r="L23" s="2">
        <f>_xlfn.XLOOKUP(View[[#This Row],[ID]],Opportunities[ID],Opportunities[Close])</f>
        <v>46099</v>
      </c>
      <c r="M23" s="24" t="str">
        <f>IF(_xlfn.XLOOKUP(View[[#This Row],[ID]],Opportunities[ID],Opportunities[Comment Log])=0,"",_xlfn.XLOOKUP(View[[#This Row],[ID]],Opportunities[ID],Opportunities[Comment Log]))</f>
        <v/>
      </c>
      <c r="N23">
        <v>38</v>
      </c>
      <c r="O23" s="3">
        <f ca="1">_xlfn.XLOOKUP(View[[#This Row],[ID]],Opportunities[ID],Opportunities[NextMilestoneDate])-TODAY()</f>
        <v>14</v>
      </c>
      <c r="P23"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23" s="1">
        <f>_xlfn.XLOOKUP(View[[#This Row],[ID]],Opportunities[ID],Opportunities[Weighted])/1000</f>
        <v>355.68180000000007</v>
      </c>
      <c r="R23" s="4">
        <f>_xlfn.XLOOKUP(View[[#This Row],[ID]],Opportunities[ID],Opportunities[Amount])/1000</f>
        <v>1778.4090000000001</v>
      </c>
      <c r="S23" t="b">
        <f>View[[#This Row],[Win Probability]]="High"</f>
        <v>0</v>
      </c>
      <c r="T23">
        <f>SUBTOTAL(103, View[[#This Row],[S]])</f>
        <v>1</v>
      </c>
    </row>
    <row r="24" spans="5:20" x14ac:dyDescent="0.25">
      <c r="E24" s="36" t="str">
        <f>_xlfn.XLOOKUP(View[[#This Row],[ID]],Opportunities[ID],Opportunities[status symbol])</f>
        <v>✓</v>
      </c>
      <c r="F24" s="37" t="str">
        <f>HYPERLINK(siteUrl&amp;"Lists/"&amp;oppList&amp;"/DispForm.aspx?ID="&amp;View[[#This Row],[ID]],_xlfn.XLOOKUP(View[[#This Row],[ID]],Opportunities[ID],Opportunities[OpportunityName]))</f>
        <v>Video Conferencing Solution</v>
      </c>
      <c r="G24" s="49" t="str">
        <f>HYPERLINK(_xlfn.XLOOKUP(View[[#This Row],[ID]],Opportunities[ID],Opportunities[url]),_xlfn.XLOOKUP(View[[#This Row],[ID]],Opportunities[ID],Opportunities[Customer Name]))</f>
        <v>Pharmaceutical Research</v>
      </c>
      <c r="H24" s="38" t="str">
        <f>_xlfn.XLOOKUP(View[[#This Row],[ID]],Opportunities[ID],Opportunities[DisplayStage])</f>
        <v>➃ - Negotiation</v>
      </c>
      <c r="I24" s="1">
        <f>IF(pipelineType="Unweighted",_xlfn.XLOOKUP(View[[#This Row],[ID]],Opportunities[ID],Opportunities[Amount])/1000,_xlfn.XLOOKUP(View[[#This Row],[ID]],Opportunities[ID],Opportunities[Weighted])/1000)</f>
        <v>2183.2469999999998</v>
      </c>
      <c r="J24" s="27" t="str">
        <f>_xlfn.XLOOKUP(View[[#This Row],[ID]],Opportunities[ID],Opportunities[WinProbDisplay])</f>
        <v>↙ Low</v>
      </c>
      <c r="K24" s="28">
        <f>View[[#This Row],[Estmated Revenue]]</f>
        <v>436.64940000000001</v>
      </c>
      <c r="L24" s="2">
        <f>_xlfn.XLOOKUP(View[[#This Row],[ID]],Opportunities[ID],Opportunities[Close])</f>
        <v>46100</v>
      </c>
      <c r="M24" s="24" t="str">
        <f>IF(_xlfn.XLOOKUP(View[[#This Row],[ID]],Opportunities[ID],Opportunities[Comment Log])=0,"",_xlfn.XLOOKUP(View[[#This Row],[ID]],Opportunities[ID],Opportunities[Comment Log]))</f>
        <v/>
      </c>
      <c r="N24">
        <v>26</v>
      </c>
      <c r="O24" s="3">
        <f ca="1">_xlfn.XLOOKUP(View[[#This Row],[ID]],Opportunities[ID],Opportunities[NextMilestoneDate])-TODAY()</f>
        <v>30</v>
      </c>
      <c r="P24"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Q24" s="1">
        <f>_xlfn.XLOOKUP(View[[#This Row],[ID]],Opportunities[ID],Opportunities[Weighted])/1000</f>
        <v>436.64940000000001</v>
      </c>
      <c r="R24" s="4">
        <f>_xlfn.XLOOKUP(View[[#This Row],[ID]],Opportunities[ID],Opportunities[Amount])/1000</f>
        <v>2183.2469999999998</v>
      </c>
      <c r="S24" t="b">
        <f>View[[#This Row],[Win Probability]]="High"</f>
        <v>0</v>
      </c>
      <c r="T24">
        <f>SUBTOTAL(103, View[[#This Row],[S]])</f>
        <v>1</v>
      </c>
    </row>
    <row r="25" spans="5:20" x14ac:dyDescent="0.25">
      <c r="E25" s="36" t="str">
        <f>_xlfn.XLOOKUP(View[[#This Row],[ID]],Opportunities[ID],Opportunities[status symbol])</f>
        <v>✓</v>
      </c>
      <c r="F25" s="37" t="str">
        <f>HYPERLINK(siteUrl&amp;"Lists/"&amp;oppList&amp;"/DispForm.aspx?ID="&amp;View[[#This Row],[ID]],_xlfn.XLOOKUP(View[[#This Row],[ID]],Opportunities[ID],Opportunities[OpportunityName]))</f>
        <v>Website Redesign Project</v>
      </c>
      <c r="G25" s="49" t="str">
        <f>HYPERLINK(_xlfn.XLOOKUP(View[[#This Row],[ID]],Opportunities[ID],Opportunities[url]),_xlfn.XLOOKUP(View[[#This Row],[ID]],Opportunities[ID],Opportunities[Customer Name]))</f>
        <v>Tech Solutions Inc</v>
      </c>
      <c r="H25" s="38" t="str">
        <f>_xlfn.XLOOKUP(View[[#This Row],[ID]],Opportunities[ID],Opportunities[DisplayStage])</f>
        <v>➁ - Nurturing</v>
      </c>
      <c r="I25" s="1">
        <f>IF(pipelineType="Unweighted",_xlfn.XLOOKUP(View[[#This Row],[ID]],Opportunities[ID],Opportunities[Amount])/1000,_xlfn.XLOOKUP(View[[#This Row],[ID]],Opportunities[ID],Opportunities[Weighted])/1000)</f>
        <v>1001.054</v>
      </c>
      <c r="J25" s="27" t="str">
        <f>_xlfn.XLOOKUP(View[[#This Row],[ID]],Opportunities[ID],Opportunities[WinProbDisplay])</f>
        <v>↖ High</v>
      </c>
      <c r="K25" s="28">
        <f>View[[#This Row],[Estmated Revenue]]</f>
        <v>900.94859999999994</v>
      </c>
      <c r="L25" s="2">
        <f>_xlfn.XLOOKUP(View[[#This Row],[ID]],Opportunities[ID],Opportunities[Close])</f>
        <v>46113</v>
      </c>
      <c r="M25" s="24" t="str">
        <f>IF(_xlfn.XLOOKUP(View[[#This Row],[ID]],Opportunities[ID],Opportunities[Comment Log])=0,"",_xlfn.XLOOKUP(View[[#This Row],[ID]],Opportunities[ID],Opportunities[Comment Log]))</f>
        <v/>
      </c>
      <c r="N25">
        <v>28</v>
      </c>
      <c r="O25" s="3">
        <f ca="1">_xlfn.XLOOKUP(View[[#This Row],[ID]],Opportunities[ID],Opportunities[NextMilestoneDate])-TODAY()</f>
        <v>6</v>
      </c>
      <c r="P25"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25" s="1">
        <f>_xlfn.XLOOKUP(View[[#This Row],[ID]],Opportunities[ID],Opportunities[Weighted])/1000</f>
        <v>900.94859999999994</v>
      </c>
      <c r="R25" s="4">
        <f>_xlfn.XLOOKUP(View[[#This Row],[ID]],Opportunities[ID],Opportunities[Amount])/1000</f>
        <v>1001.054</v>
      </c>
      <c r="S25" t="b">
        <f>View[[#This Row],[Win Probability]]="High"</f>
        <v>0</v>
      </c>
      <c r="T25">
        <f>SUBTOTAL(103, View[[#This Row],[S]])</f>
        <v>1</v>
      </c>
    </row>
    <row r="26" spans="5:20" x14ac:dyDescent="0.25">
      <c r="E26" s="36" t="str">
        <f>_xlfn.XLOOKUP(View[[#This Row],[ID]],Opportunities[ID],Opportunities[status symbol])</f>
        <v>⚠</v>
      </c>
      <c r="F26" s="37" t="str">
        <f>HYPERLINK(siteUrl&amp;"Lists/"&amp;oppList&amp;"/DispForm.aspx?ID="&amp;View[[#This Row],[ID]],_xlfn.XLOOKUP(View[[#This Row],[ID]],Opportunities[ID],Opportunities[OpportunityName]))</f>
        <v>Backup &amp; Recovery System</v>
      </c>
      <c r="G26" s="49" t="str">
        <f>HYPERLINK(_xlfn.XLOOKUP(View[[#This Row],[ID]],Opportunities[ID],Opportunities[url]),_xlfn.XLOOKUP(View[[#This Row],[ID]],Opportunities[ID],Opportunities[Customer Name]))</f>
        <v>Construction Dynamics</v>
      </c>
      <c r="H26" s="38" t="str">
        <f>_xlfn.XLOOKUP(View[[#This Row],[ID]],Opportunities[ID],Opportunities[DisplayStage])</f>
        <v>➁ - Nurturing</v>
      </c>
      <c r="I26" s="1">
        <f>IF(pipelineType="Unweighted",_xlfn.XLOOKUP(View[[#This Row],[ID]],Opportunities[ID],Opportunities[Amount])/1000,_xlfn.XLOOKUP(View[[#This Row],[ID]],Opportunities[ID],Opportunities[Weighted])/1000)</f>
        <v>993.71900000000005</v>
      </c>
      <c r="J26" s="27" t="str">
        <f>_xlfn.XLOOKUP(View[[#This Row],[ID]],Opportunities[ID],Opportunities[WinProbDisplay])</f>
        <v>← Medium</v>
      </c>
      <c r="K26" s="28">
        <f>View[[#This Row],[Estmated Revenue]]</f>
        <v>397.48760000000004</v>
      </c>
      <c r="L26" s="2">
        <f>_xlfn.XLOOKUP(View[[#This Row],[ID]],Opportunities[ID],Opportunities[Close])</f>
        <v>46118</v>
      </c>
      <c r="M26" s="24" t="str">
        <f>IF(_xlfn.XLOOKUP(View[[#This Row],[ID]],Opportunities[ID],Opportunities[Comment Log])=0,"",_xlfn.XLOOKUP(View[[#This Row],[ID]],Opportunities[ID],Opportunities[Comment Log]))</f>
        <v/>
      </c>
      <c r="N26">
        <v>27</v>
      </c>
      <c r="O26" s="3">
        <f ca="1">_xlfn.XLOOKUP(View[[#This Row],[ID]],Opportunities[ID],Opportunities[NextMilestoneDate])-TODAY()</f>
        <v>51</v>
      </c>
      <c r="P26"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26" s="1">
        <f>_xlfn.XLOOKUP(View[[#This Row],[ID]],Opportunities[ID],Opportunities[Weighted])/1000</f>
        <v>397.48760000000004</v>
      </c>
      <c r="R26" s="4">
        <f>_xlfn.XLOOKUP(View[[#This Row],[ID]],Opportunities[ID],Opportunities[Amount])/1000</f>
        <v>993.71900000000005</v>
      </c>
      <c r="S26" t="b">
        <f>View[[#This Row],[Win Probability]]="High"</f>
        <v>0</v>
      </c>
      <c r="T26">
        <f>SUBTOTAL(103, View[[#This Row],[S]])</f>
        <v>1</v>
      </c>
    </row>
    <row r="27" spans="5:20" x14ac:dyDescent="0.25">
      <c r="E27" s="36" t="str">
        <f>_xlfn.XLOOKUP(View[[#This Row],[ID]],Opportunities[ID],Opportunities[status symbol])</f>
        <v>⚠</v>
      </c>
      <c r="F27" s="37" t="str">
        <f>HYPERLINK(siteUrl&amp;"Lists/"&amp;oppList&amp;"/DispForm.aspx?ID="&amp;View[[#This Row],[ID]],_xlfn.XLOOKUP(View[[#This Row],[ID]],Opportunities[ID],Opportunities[OpportunityName]))</f>
        <v>Cloud Migration Initiative</v>
      </c>
      <c r="G27" s="49" t="str">
        <f>HYPERLINK(_xlfn.XLOOKUP(View[[#This Row],[ID]],Opportunities[ID],Opportunities[url]),_xlfn.XLOOKUP(View[[#This Row],[ID]],Opportunities[ID],Opportunities[Customer Name]))</f>
        <v>Food Service Partners</v>
      </c>
      <c r="H27" s="38" t="str">
        <f>_xlfn.XLOOKUP(View[[#This Row],[ID]],Opportunities[ID],Opportunities[DisplayStage])</f>
        <v>➀ - Lead Qualification</v>
      </c>
      <c r="I27" s="1">
        <f>IF(pipelineType="Unweighted",_xlfn.XLOOKUP(View[[#This Row],[ID]],Opportunities[ID],Opportunities[Amount])/1000,_xlfn.XLOOKUP(View[[#This Row],[ID]],Opportunities[ID],Opportunities[Weighted])/1000)</f>
        <v>1096.559</v>
      </c>
      <c r="J27" s="27" t="str">
        <f>_xlfn.XLOOKUP(View[[#This Row],[ID]],Opportunities[ID],Opportunities[WinProbDisplay])</f>
        <v>↖ High</v>
      </c>
      <c r="K27" s="28">
        <f>View[[#This Row],[Estmated Revenue]]</f>
        <v>986.90309999999999</v>
      </c>
      <c r="L27" s="2">
        <f>_xlfn.XLOOKUP(View[[#This Row],[ID]],Opportunities[ID],Opportunities[Close])</f>
        <v>46122</v>
      </c>
      <c r="M27" s="24" t="str">
        <f>IF(_xlfn.XLOOKUP(View[[#This Row],[ID]],Opportunities[ID],Opportunities[Comment Log])=0,"",_xlfn.XLOOKUP(View[[#This Row],[ID]],Opportunities[ID],Opportunities[Comment Log]))</f>
        <v/>
      </c>
      <c r="N27">
        <v>2</v>
      </c>
      <c r="O27" s="3">
        <f ca="1">_xlfn.XLOOKUP(View[[#This Row],[ID]],Opportunities[ID],Opportunities[NextMilestoneDate])-TODAY()</f>
        <v>49</v>
      </c>
      <c r="P27"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27" s="1">
        <f>_xlfn.XLOOKUP(View[[#This Row],[ID]],Opportunities[ID],Opportunities[Weighted])/1000</f>
        <v>986.90309999999999</v>
      </c>
      <c r="R27" s="4">
        <f>_xlfn.XLOOKUP(View[[#This Row],[ID]],Opportunities[ID],Opportunities[Amount])/1000</f>
        <v>1096.559</v>
      </c>
      <c r="S27" t="b">
        <f>View[[#This Row],[Win Probability]]="High"</f>
        <v>0</v>
      </c>
      <c r="T27">
        <f>SUBTOTAL(103, View[[#This Row],[S]])</f>
        <v>1</v>
      </c>
    </row>
    <row r="28" spans="5:20" x14ac:dyDescent="0.25">
      <c r="E28" s="36" t="str">
        <f>_xlfn.XLOOKUP(View[[#This Row],[ID]],Opportunities[ID],Opportunities[status symbol])</f>
        <v>✓</v>
      </c>
      <c r="F28" s="37" t="str">
        <f>HYPERLINK(siteUrl&amp;"Lists/"&amp;oppList&amp;"/DispForm.aspx?ID="&amp;View[[#This Row],[ID]],_xlfn.XLOOKUP(View[[#This Row],[ID]],Opportunities[ID],Opportunities[OpportunityName]))</f>
        <v>Supply Chain Optimization</v>
      </c>
      <c r="G28" s="49" t="str">
        <f>HYPERLINK(_xlfn.XLOOKUP(View[[#This Row],[ID]],Opportunities[ID],Opportunities[url]),_xlfn.XLOOKUP(View[[#This Row],[ID]],Opportunities[ID],Opportunities[Customer Name]))</f>
        <v>Education First</v>
      </c>
      <c r="H28" s="38" t="str">
        <f>_xlfn.XLOOKUP(View[[#This Row],[ID]],Opportunities[ID],Opportunities[DisplayStage])</f>
        <v>➂ - Proposal</v>
      </c>
      <c r="I28" s="1">
        <f>IF(pipelineType="Unweighted",_xlfn.XLOOKUP(View[[#This Row],[ID]],Opportunities[ID],Opportunities[Amount])/1000,_xlfn.XLOOKUP(View[[#This Row],[ID]],Opportunities[ID],Opportunities[Weighted])/1000)</f>
        <v>692.69600000000003</v>
      </c>
      <c r="J28" s="27" t="str">
        <f>_xlfn.XLOOKUP(View[[#This Row],[ID]],Opportunities[ID],Opportunities[WinProbDisplay])</f>
        <v>↙ Low</v>
      </c>
      <c r="K28" s="28">
        <f>View[[#This Row],[Estmated Revenue]]</f>
        <v>138.53920000000002</v>
      </c>
      <c r="L28" s="2">
        <f>_xlfn.XLOOKUP(View[[#This Row],[ID]],Opportunities[ID],Opportunities[Close])</f>
        <v>46127</v>
      </c>
      <c r="M28" s="24" t="str">
        <f>IF(_xlfn.XLOOKUP(View[[#This Row],[ID]],Opportunities[ID],Opportunities[Comment Log])=0,"",_xlfn.XLOOKUP(View[[#This Row],[ID]],Opportunities[ID],Opportunities[Comment Log]))</f>
        <v/>
      </c>
      <c r="N28">
        <v>17</v>
      </c>
      <c r="O28" s="3">
        <f ca="1">_xlfn.XLOOKUP(View[[#This Row],[ID]],Opportunities[ID],Opportunities[NextMilestoneDate])-TODAY()</f>
        <v>39</v>
      </c>
      <c r="P28"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28" s="1">
        <f>_xlfn.XLOOKUP(View[[#This Row],[ID]],Opportunities[ID],Opportunities[Weighted])/1000</f>
        <v>138.53920000000002</v>
      </c>
      <c r="R28" s="4">
        <f>_xlfn.XLOOKUP(View[[#This Row],[ID]],Opportunities[ID],Opportunities[Amount])/1000</f>
        <v>692.69600000000003</v>
      </c>
      <c r="S28" t="b">
        <f>View[[#This Row],[Win Probability]]="High"</f>
        <v>0</v>
      </c>
      <c r="T28">
        <f>SUBTOTAL(103, View[[#This Row],[S]])</f>
        <v>1</v>
      </c>
    </row>
    <row r="29" spans="5:20" x14ac:dyDescent="0.25">
      <c r="E29" s="36" t="str">
        <f>_xlfn.XLOOKUP(View[[#This Row],[ID]],Opportunities[ID],Opportunities[status symbol])</f>
        <v>✓</v>
      </c>
      <c r="F29" s="37" t="str">
        <f>HYPERLINK(siteUrl&amp;"Lists/"&amp;oppList&amp;"/DispForm.aspx?ID="&amp;View[[#This Row],[ID]],_xlfn.XLOOKUP(View[[#This Row],[ID]],Opportunities[ID],Opportunities[OpportunityName]))</f>
        <v>Mobile Application Development</v>
      </c>
      <c r="G29" s="49" t="str">
        <f>HYPERLINK(_xlfn.XLOOKUP(View[[#This Row],[ID]],Opportunities[ID],Opportunities[url]),_xlfn.XLOOKUP(View[[#This Row],[ID]],Opportunities[ID],Opportunities[Customer Name]))</f>
        <v>Publishing House</v>
      </c>
      <c r="H29" s="38" t="str">
        <f>_xlfn.XLOOKUP(View[[#This Row],[ID]],Opportunities[ID],Opportunities[DisplayStage])</f>
        <v>➀ - Lead Qualification</v>
      </c>
      <c r="I29" s="1">
        <f>IF(pipelineType="Unweighted",_xlfn.XLOOKUP(View[[#This Row],[ID]],Opportunities[ID],Opportunities[Amount])/1000,_xlfn.XLOOKUP(View[[#This Row],[ID]],Opportunities[ID],Opportunities[Weighted])/1000)</f>
        <v>1461.9259999999999</v>
      </c>
      <c r="J29" s="27" t="str">
        <f>_xlfn.XLOOKUP(View[[#This Row],[ID]],Opportunities[ID],Opportunities[WinProbDisplay])</f>
        <v>↖ High</v>
      </c>
      <c r="K29" s="28">
        <f>View[[#This Row],[Estmated Revenue]]</f>
        <v>1315.7334000000001</v>
      </c>
      <c r="L29" s="2">
        <f>_xlfn.XLOOKUP(View[[#This Row],[ID]],Opportunities[ID],Opportunities[Close])</f>
        <v>46139</v>
      </c>
      <c r="M29" s="24" t="str">
        <f>IF(_xlfn.XLOOKUP(View[[#This Row],[ID]],Opportunities[ID],Opportunities[Comment Log])=0,"",_xlfn.XLOOKUP(View[[#This Row],[ID]],Opportunities[ID],Opportunities[Comment Log]))</f>
        <v/>
      </c>
      <c r="N29">
        <v>10</v>
      </c>
      <c r="O29" s="3">
        <f ca="1">_xlfn.XLOOKUP(View[[#This Row],[ID]],Opportunities[ID],Opportunities[NextMilestoneDate])-TODAY()</f>
        <v>5</v>
      </c>
      <c r="P29"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29" s="1">
        <f>_xlfn.XLOOKUP(View[[#This Row],[ID]],Opportunities[ID],Opportunities[Weighted])/1000</f>
        <v>1315.7334000000001</v>
      </c>
      <c r="R29" s="4">
        <f>_xlfn.XLOOKUP(View[[#This Row],[ID]],Opportunities[ID],Opportunities[Amount])/1000</f>
        <v>1461.9259999999999</v>
      </c>
      <c r="S29" t="b">
        <f>View[[#This Row],[Win Probability]]="High"</f>
        <v>0</v>
      </c>
      <c r="T29">
        <f>SUBTOTAL(103, View[[#This Row],[S]])</f>
        <v>1</v>
      </c>
    </row>
    <row r="30" spans="5:20" x14ac:dyDescent="0.25">
      <c r="E30" s="36" t="str">
        <f>_xlfn.XLOOKUP(View[[#This Row],[ID]],Opportunities[ID],Opportunities[status symbol])</f>
        <v>✓</v>
      </c>
      <c r="F30" s="37" t="str">
        <f>HYPERLINK(siteUrl&amp;"Lists/"&amp;oppList&amp;"/DispForm.aspx?ID="&amp;View[[#This Row],[ID]],_xlfn.XLOOKUP(View[[#This Row],[ID]],Opportunities[ID],Opportunities[OpportunityName]))</f>
        <v>API Development Project</v>
      </c>
      <c r="G30" s="49" t="str">
        <f>HYPERLINK(_xlfn.XLOOKUP(View[[#This Row],[ID]],Opportunities[ID],Opportunities[url]),_xlfn.XLOOKUP(View[[#This Row],[ID]],Opportunities[ID],Opportunities[Customer Name]))</f>
        <v>Tech Solutions Inc</v>
      </c>
      <c r="H30" s="38" t="str">
        <f>_xlfn.XLOOKUP(View[[#This Row],[ID]],Opportunities[ID],Opportunities[DisplayStage])</f>
        <v>➃ - Negotiation</v>
      </c>
      <c r="I30" s="1">
        <f>IF(pipelineType="Unweighted",_xlfn.XLOOKUP(View[[#This Row],[ID]],Opportunities[ID],Opportunities[Amount])/1000,_xlfn.XLOOKUP(View[[#This Row],[ID]],Opportunities[ID],Opportunities[Weighted])/1000)</f>
        <v>1366.1969999999999</v>
      </c>
      <c r="J30" s="27" t="str">
        <f>_xlfn.XLOOKUP(View[[#This Row],[ID]],Opportunities[ID],Opportunities[WinProbDisplay])</f>
        <v>← Medium</v>
      </c>
      <c r="K30" s="28">
        <f>View[[#This Row],[Estmated Revenue]]</f>
        <v>546.47880000000009</v>
      </c>
      <c r="L30" s="2">
        <f>_xlfn.XLOOKUP(View[[#This Row],[ID]],Opportunities[ID],Opportunities[Close])</f>
        <v>46153</v>
      </c>
      <c r="M30" s="24" t="str">
        <f>IF(_xlfn.XLOOKUP(View[[#This Row],[ID]],Opportunities[ID],Opportunities[Comment Log])=0,"",_xlfn.XLOOKUP(View[[#This Row],[ID]],Opportunities[ID],Opportunities[Comment Log]))</f>
        <v/>
      </c>
      <c r="N30">
        <v>39</v>
      </c>
      <c r="O30" s="3">
        <f ca="1">_xlfn.XLOOKUP(View[[#This Row],[ID]],Opportunities[ID],Opportunities[NextMilestoneDate])-TODAY()</f>
        <v>4</v>
      </c>
      <c r="P30"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0" s="1">
        <f>_xlfn.XLOOKUP(View[[#This Row],[ID]],Opportunities[ID],Opportunities[Weighted])/1000</f>
        <v>546.47880000000009</v>
      </c>
      <c r="R30" s="4">
        <f>_xlfn.XLOOKUP(View[[#This Row],[ID]],Opportunities[ID],Opportunities[Amount])/1000</f>
        <v>1366.1969999999999</v>
      </c>
      <c r="S30" t="b">
        <f>View[[#This Row],[Win Probability]]="High"</f>
        <v>0</v>
      </c>
      <c r="T30">
        <f>SUBTOTAL(103, View[[#This Row],[S]])</f>
        <v>1</v>
      </c>
    </row>
    <row r="31" spans="5:20" x14ac:dyDescent="0.25">
      <c r="E31" s="36" t="str">
        <f>_xlfn.XLOOKUP(View[[#This Row],[ID]],Opportunities[ID],Opportunities[status symbol])</f>
        <v>✓</v>
      </c>
      <c r="F31" s="37" t="str">
        <f>HYPERLINK(siteUrl&amp;"Lists/"&amp;oppList&amp;"/DispForm.aspx?ID="&amp;View[[#This Row],[ID]],_xlfn.XLOOKUP(View[[#This Row],[ID]],Opportunities[ID],Opportunities[OpportunityName]))</f>
        <v>Marketing Automation Platform</v>
      </c>
      <c r="G31" s="49" t="str">
        <f>HYPERLINK(_xlfn.XLOOKUP(View[[#This Row],[ID]],Opportunities[ID],Opportunities[url]),_xlfn.XLOOKUP(View[[#This Row],[ID]],Opportunities[ID],Opportunities[Customer Name]))</f>
        <v>Environmental Services</v>
      </c>
      <c r="H31" s="38" t="str">
        <f>_xlfn.XLOOKUP(View[[#This Row],[ID]],Opportunities[ID],Opportunities[DisplayStage])</f>
        <v>➅ - Closeout</v>
      </c>
      <c r="I31" s="1">
        <f>IF(pipelineType="Unweighted",_xlfn.XLOOKUP(View[[#This Row],[ID]],Opportunities[ID],Opportunities[Amount])/1000,_xlfn.XLOOKUP(View[[#This Row],[ID]],Opportunities[ID],Opportunities[Weighted])/1000)</f>
        <v>1164.8589999999999</v>
      </c>
      <c r="J31" s="27" t="str">
        <f>_xlfn.XLOOKUP(View[[#This Row],[ID]],Opportunities[ID],Opportunities[WinProbDisplay])</f>
        <v>← Medium</v>
      </c>
      <c r="K31" s="28">
        <f>View[[#This Row],[Estmated Revenue]]</f>
        <v>465.94360000000006</v>
      </c>
      <c r="L31" s="2">
        <f>_xlfn.XLOOKUP(View[[#This Row],[ID]],Opportunities[ID],Opportunities[Close])</f>
        <v>46155</v>
      </c>
      <c r="M31" s="24" t="str">
        <f>IF(_xlfn.XLOOKUP(View[[#This Row],[ID]],Opportunities[ID],Opportunities[Comment Log])=0,"",_xlfn.XLOOKUP(View[[#This Row],[ID]],Opportunities[ID],Opportunities[Comment Log]))</f>
        <v/>
      </c>
      <c r="N31">
        <v>20</v>
      </c>
      <c r="O31" s="3">
        <f ca="1">_xlfn.XLOOKUP(View[[#This Row],[ID]],Opportunities[ID],Opportunities[NextMilestoneDate])-TODAY()</f>
        <v>19</v>
      </c>
      <c r="P31"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1" s="1">
        <f>_xlfn.XLOOKUP(View[[#This Row],[ID]],Opportunities[ID],Opportunities[Weighted])/1000</f>
        <v>465.94360000000006</v>
      </c>
      <c r="R31" s="4">
        <f>_xlfn.XLOOKUP(View[[#This Row],[ID]],Opportunities[ID],Opportunities[Amount])/1000</f>
        <v>1164.8589999999999</v>
      </c>
      <c r="S31" t="b">
        <f>View[[#This Row],[Win Probability]]="High"</f>
        <v>0</v>
      </c>
      <c r="T31">
        <f>SUBTOTAL(103, View[[#This Row],[S]])</f>
        <v>1</v>
      </c>
    </row>
    <row r="32" spans="5:20" x14ac:dyDescent="0.25">
      <c r="E32" s="36" t="str">
        <f>_xlfn.XLOOKUP(View[[#This Row],[ID]],Opportunities[ID],Opportunities[status symbol])</f>
        <v>⚠</v>
      </c>
      <c r="F32" s="37" t="str">
        <f>HYPERLINK(siteUrl&amp;"Lists/"&amp;oppList&amp;"/DispForm.aspx?ID="&amp;View[[#This Row],[ID]],_xlfn.XLOOKUP(View[[#This Row],[ID]],Opportunities[ID],Opportunities[OpportunityName]))</f>
        <v>Security Assessment &amp; Audit</v>
      </c>
      <c r="G32" s="49" t="str">
        <f>HYPERLINK(_xlfn.XLOOKUP(View[[#This Row],[ID]],Opportunities[ID],Opportunities[url]),_xlfn.XLOOKUP(View[[#This Row],[ID]],Opportunities[ID],Opportunities[Customer Name]))</f>
        <v>Telecommunications Inc</v>
      </c>
      <c r="H32" s="38" t="str">
        <f>_xlfn.XLOOKUP(View[[#This Row],[ID]],Opportunities[ID],Opportunities[DisplayStage])</f>
        <v>➁ - Nurturing</v>
      </c>
      <c r="I32" s="1">
        <f>IF(pipelineType="Unweighted",_xlfn.XLOOKUP(View[[#This Row],[ID]],Opportunities[ID],Opportunities[Amount])/1000,_xlfn.XLOOKUP(View[[#This Row],[ID]],Opportunities[ID],Opportunities[Weighted])/1000)</f>
        <v>1433.298</v>
      </c>
      <c r="J32" s="27" t="str">
        <f>_xlfn.XLOOKUP(View[[#This Row],[ID]],Opportunities[ID],Opportunities[WinProbDisplay])</f>
        <v>↙ Low</v>
      </c>
      <c r="K32" s="28">
        <f>View[[#This Row],[Estmated Revenue]]</f>
        <v>286.65960000000001</v>
      </c>
      <c r="L32" s="2">
        <f>_xlfn.XLOOKUP(View[[#This Row],[ID]],Opportunities[ID],Opportunities[Close])</f>
        <v>46171</v>
      </c>
      <c r="M32" s="24" t="str">
        <f>IF(_xlfn.XLOOKUP(View[[#This Row],[ID]],Opportunities[ID],Opportunities[Comment Log])=0,"",_xlfn.XLOOKUP(View[[#This Row],[ID]],Opportunities[ID],Opportunities[Comment Log]))</f>
        <v/>
      </c>
      <c r="N32">
        <v>3</v>
      </c>
      <c r="O32" s="3">
        <f ca="1">_xlfn.XLOOKUP(View[[#This Row],[ID]],Opportunities[ID],Opportunities[NextMilestoneDate])-TODAY()</f>
        <v>48</v>
      </c>
      <c r="P32"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2" s="1">
        <f>_xlfn.XLOOKUP(View[[#This Row],[ID]],Opportunities[ID],Opportunities[Weighted])/1000</f>
        <v>286.65960000000001</v>
      </c>
      <c r="R32" s="4">
        <f>_xlfn.XLOOKUP(View[[#This Row],[ID]],Opportunities[ID],Opportunities[Amount])/1000</f>
        <v>1433.298</v>
      </c>
      <c r="S32" t="b">
        <f>View[[#This Row],[Win Probability]]="High"</f>
        <v>0</v>
      </c>
      <c r="T32">
        <f>SUBTOTAL(103, View[[#This Row],[S]])</f>
        <v>1</v>
      </c>
    </row>
    <row r="33" spans="5:20" x14ac:dyDescent="0.25">
      <c r="E33" s="36" t="str">
        <f>_xlfn.XLOOKUP(View[[#This Row],[ID]],Opportunities[ID],Opportunities[status symbol])</f>
        <v>✓</v>
      </c>
      <c r="F33" s="37" t="str">
        <f>HYPERLINK(siteUrl&amp;"Lists/"&amp;oppList&amp;"/DispForm.aspx?ID="&amp;View[[#This Row],[ID]],_xlfn.XLOOKUP(View[[#This Row],[ID]],Opportunities[ID],Opportunities[OpportunityName]))</f>
        <v>Safety Management System</v>
      </c>
      <c r="G33" s="49" t="str">
        <f>HYPERLINK(_xlfn.XLOOKUP(View[[#This Row],[ID]],Opportunities[ID],Opportunities[url]),_xlfn.XLOOKUP(View[[#This Row],[ID]],Opportunities[ID],Opportunities[Customer Name]))</f>
        <v>Insurance Specialists</v>
      </c>
      <c r="H33" s="38" t="str">
        <f>_xlfn.XLOOKUP(View[[#This Row],[ID]],Opportunities[ID],Opportunities[DisplayStage])</f>
        <v>➂ - Proposal</v>
      </c>
      <c r="I33" s="1">
        <f>IF(pipelineType="Unweighted",_xlfn.XLOOKUP(View[[#This Row],[ID]],Opportunities[ID],Opportunities[Amount])/1000,_xlfn.XLOOKUP(View[[#This Row],[ID]],Opportunities[ID],Opportunities[Weighted])/1000)</f>
        <v>927.08</v>
      </c>
      <c r="J33" s="27" t="str">
        <f>_xlfn.XLOOKUP(View[[#This Row],[ID]],Opportunities[ID],Opportunities[WinProbDisplay])</f>
        <v>← Medium</v>
      </c>
      <c r="K33" s="28">
        <f>View[[#This Row],[Estmated Revenue]]</f>
        <v>370.83199999999999</v>
      </c>
      <c r="L33" s="2">
        <f>_xlfn.XLOOKUP(View[[#This Row],[ID]],Opportunities[ID],Opportunities[Close])</f>
        <v>46181</v>
      </c>
      <c r="M33" s="24" t="str">
        <f>IF(_xlfn.XLOOKUP(View[[#This Row],[ID]],Opportunities[ID],Opportunities[Comment Log])=0,"",_xlfn.XLOOKUP(View[[#This Row],[ID]],Opportunities[ID],Opportunities[Comment Log]))</f>
        <v/>
      </c>
      <c r="N33">
        <v>33</v>
      </c>
      <c r="O33" s="3">
        <f ca="1">_xlfn.XLOOKUP(View[[#This Row],[ID]],Opportunities[ID],Opportunities[NextMilestoneDate])-TODAY()</f>
        <v>48</v>
      </c>
      <c r="P33"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3" s="1">
        <f>_xlfn.XLOOKUP(View[[#This Row],[ID]],Opportunities[ID],Opportunities[Weighted])/1000</f>
        <v>370.83199999999999</v>
      </c>
      <c r="R33" s="4">
        <f>_xlfn.XLOOKUP(View[[#This Row],[ID]],Opportunities[ID],Opportunities[Amount])/1000</f>
        <v>927.08</v>
      </c>
      <c r="S33" t="b">
        <f>View[[#This Row],[Win Probability]]="High"</f>
        <v>0</v>
      </c>
      <c r="T33">
        <f>SUBTOTAL(103, View[[#This Row],[S]])</f>
        <v>1</v>
      </c>
    </row>
    <row r="34" spans="5:20" x14ac:dyDescent="0.25">
      <c r="E34" s="36" t="str">
        <f>_xlfn.XLOOKUP(View[[#This Row],[ID]],Opportunities[ID],Opportunities[status symbol])</f>
        <v>✓</v>
      </c>
      <c r="F34" s="37" t="str">
        <f>HYPERLINK(siteUrl&amp;"Lists/"&amp;oppList&amp;"/DispForm.aspx?ID="&amp;View[[#This Row],[ID]],_xlfn.XLOOKUP(View[[#This Row],[ID]],Opportunities[ID],Opportunities[OpportunityName]))</f>
        <v>HR Management System</v>
      </c>
      <c r="G34" s="49" t="str">
        <f>HYPERLINK(_xlfn.XLOOKUP(View[[#This Row],[ID]],Opportunities[ID],Opportunities[url]),_xlfn.XLOOKUP(View[[#This Row],[ID]],Opportunities[ID],Opportunities[Customer Name]))</f>
        <v>Hotel Management Group</v>
      </c>
      <c r="H34" s="38" t="str">
        <f>_xlfn.XLOOKUP(View[[#This Row],[ID]],Opportunities[ID],Opportunities[DisplayStage])</f>
        <v>➅ - Closeout</v>
      </c>
      <c r="I34" s="1">
        <f>IF(pipelineType="Unweighted",_xlfn.XLOOKUP(View[[#This Row],[ID]],Opportunities[ID],Opportunities[Amount])/1000,_xlfn.XLOOKUP(View[[#This Row],[ID]],Opportunities[ID],Opportunities[Weighted])/1000)</f>
        <v>1248.7470000000001</v>
      </c>
      <c r="J34" s="27" t="str">
        <f>_xlfn.XLOOKUP(View[[#This Row],[ID]],Opportunities[ID],Opportunities[WinProbDisplay])</f>
        <v>↖ High</v>
      </c>
      <c r="K34" s="28">
        <f>View[[#This Row],[Estmated Revenue]]</f>
        <v>1123.8723</v>
      </c>
      <c r="L34" s="2">
        <f>_xlfn.XLOOKUP(View[[#This Row],[ID]],Opportunities[ID],Opportunities[Close])</f>
        <v>46197</v>
      </c>
      <c r="M34" s="24" t="str">
        <f>IF(_xlfn.XLOOKUP(View[[#This Row],[ID]],Opportunities[ID],Opportunities[Comment Log])=0,"",_xlfn.XLOOKUP(View[[#This Row],[ID]],Opportunities[ID],Opportunities[Comment Log]))</f>
        <v/>
      </c>
      <c r="N34">
        <v>19</v>
      </c>
      <c r="O34" s="3">
        <f ca="1">_xlfn.XLOOKUP(View[[#This Row],[ID]],Opportunities[ID],Opportunities[NextMilestoneDate])-TODAY()</f>
        <v>7</v>
      </c>
      <c r="P34"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4" s="1">
        <f>_xlfn.XLOOKUP(View[[#This Row],[ID]],Opportunities[ID],Opportunities[Weighted])/1000</f>
        <v>1123.8723</v>
      </c>
      <c r="R34" s="4">
        <f>_xlfn.XLOOKUP(View[[#This Row],[ID]],Opportunities[ID],Opportunities[Amount])/1000</f>
        <v>1248.7470000000001</v>
      </c>
      <c r="S34" t="b">
        <f>View[[#This Row],[Win Probability]]="High"</f>
        <v>0</v>
      </c>
      <c r="T34">
        <f>SUBTOTAL(103, View[[#This Row],[S]])</f>
        <v>1</v>
      </c>
    </row>
    <row r="35" spans="5:20" x14ac:dyDescent="0.25">
      <c r="E35" s="36" t="str">
        <f>_xlfn.XLOOKUP(View[[#This Row],[ID]],Opportunities[ID],Opportunities[status symbol])</f>
        <v>✓</v>
      </c>
      <c r="F35" s="37" t="str">
        <f>HYPERLINK(siteUrl&amp;"Lists/"&amp;oppList&amp;"/DispForm.aspx?ID="&amp;View[[#This Row],[ID]],_xlfn.XLOOKUP(View[[#This Row],[ID]],Opportunities[ID],Opportunities[OpportunityName]))</f>
        <v>Manufacturing Automation System</v>
      </c>
      <c r="G35" s="49" t="str">
        <f>HYPERLINK(_xlfn.XLOOKUP(View[[#This Row],[ID]],Opportunities[ID],Opportunities[url]),_xlfn.XLOOKUP(View[[#This Row],[ID]],Opportunities[ID],Opportunities[Customer Name]))</f>
        <v>Security Solutions</v>
      </c>
      <c r="H35" s="38" t="str">
        <f>_xlfn.XLOOKUP(View[[#This Row],[ID]],Opportunities[ID],Opportunities[DisplayStage])</f>
        <v>➂ - Proposal</v>
      </c>
      <c r="I35" s="1">
        <f>IF(pipelineType="Unweighted",_xlfn.XLOOKUP(View[[#This Row],[ID]],Opportunities[ID],Opportunities[Amount])/1000,_xlfn.XLOOKUP(View[[#This Row],[ID]],Opportunities[ID],Opportunities[Weighted])/1000)</f>
        <v>649.70100000000002</v>
      </c>
      <c r="J35" s="27" t="str">
        <f>_xlfn.XLOOKUP(View[[#This Row],[ID]],Opportunities[ID],Opportunities[WinProbDisplay])</f>
        <v>↙ Low</v>
      </c>
      <c r="K35" s="28">
        <f>View[[#This Row],[Estmated Revenue]]</f>
        <v>129.9402</v>
      </c>
      <c r="L35" s="2">
        <f>_xlfn.XLOOKUP(View[[#This Row],[ID]],Opportunities[ID],Opportunities[Close])</f>
        <v>46197</v>
      </c>
      <c r="M35" s="24" t="str">
        <f>IF(_xlfn.XLOOKUP(View[[#This Row],[ID]],Opportunities[ID],Opportunities[Comment Log])=0,"",_xlfn.XLOOKUP(View[[#This Row],[ID]],Opportunities[ID],Opportunities[Comment Log]))</f>
        <v/>
      </c>
      <c r="N35">
        <v>4</v>
      </c>
      <c r="O35" s="3">
        <f ca="1">_xlfn.XLOOKUP(View[[#This Row],[ID]],Opportunities[ID],Opportunities[NextMilestoneDate])-TODAY()</f>
        <v>12</v>
      </c>
      <c r="P35"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Q35" s="1">
        <f>_xlfn.XLOOKUP(View[[#This Row],[ID]],Opportunities[ID],Opportunities[Weighted])/1000</f>
        <v>129.9402</v>
      </c>
      <c r="R35" s="4">
        <f>_xlfn.XLOOKUP(View[[#This Row],[ID]],Opportunities[ID],Opportunities[Amount])/1000</f>
        <v>649.70100000000002</v>
      </c>
      <c r="S35" t="b">
        <f>View[[#This Row],[Win Probability]]="High"</f>
        <v>0</v>
      </c>
      <c r="T35">
        <f>SUBTOTAL(103, View[[#This Row],[S]])</f>
        <v>1</v>
      </c>
    </row>
    <row r="36" spans="5:20" x14ac:dyDescent="0.25">
      <c r="E36" s="36" t="str">
        <f>_xlfn.XLOOKUP(View[[#This Row],[ID]],Opportunities[ID],Opportunities[status symbol])</f>
        <v>✓</v>
      </c>
      <c r="F36" s="37" t="str">
        <f>HYPERLINK(siteUrl&amp;"Lists/"&amp;oppList&amp;"/DispForm.aspx?ID="&amp;View[[#This Row],[ID]],_xlfn.XLOOKUP(View[[#This Row],[ID]],Opportunities[ID],Opportunities[OpportunityName]))</f>
        <v>Data Center Consolidation</v>
      </c>
      <c r="G36" s="49" t="str">
        <f>HYPERLINK(_xlfn.XLOOKUP(View[[#This Row],[ID]],Opportunities[ID],Opportunities[url]),_xlfn.XLOOKUP(View[[#This Row],[ID]],Opportunities[ID],Opportunities[Customer Name]))</f>
        <v>Transport Logistics</v>
      </c>
      <c r="H36" s="38" t="str">
        <f>_xlfn.XLOOKUP(View[[#This Row],[ID]],Opportunities[ID],Opportunities[DisplayStage])</f>
        <v>➃ - Negotiation</v>
      </c>
      <c r="I36" s="1">
        <f>IF(pipelineType="Unweighted",_xlfn.XLOOKUP(View[[#This Row],[ID]],Opportunities[ID],Opportunities[Amount])/1000,_xlfn.XLOOKUP(View[[#This Row],[ID]],Opportunities[ID],Opportunities[Weighted])/1000)</f>
        <v>1315.15</v>
      </c>
      <c r="J36" s="27" t="str">
        <f>_xlfn.XLOOKUP(View[[#This Row],[ID]],Opportunities[ID],Opportunities[WinProbDisplay])</f>
        <v>↙ Low</v>
      </c>
      <c r="K36" s="28">
        <f>View[[#This Row],[Estmated Revenue]]</f>
        <v>263.02999999999997</v>
      </c>
      <c r="L36" s="2">
        <f>_xlfn.XLOOKUP(View[[#This Row],[ID]],Opportunities[ID],Opportunities[Close])</f>
        <v>46204</v>
      </c>
      <c r="M36" s="24" t="str">
        <f>IF(_xlfn.XLOOKUP(View[[#This Row],[ID]],Opportunities[ID],Opportunities[Comment Log])=0,"",_xlfn.XLOOKUP(View[[#This Row],[ID]],Opportunities[ID],Opportunities[Comment Log]))</f>
        <v/>
      </c>
      <c r="N36">
        <v>11</v>
      </c>
      <c r="O36" s="3">
        <f ca="1">_xlfn.XLOOKUP(View[[#This Row],[ID]],Opportunities[ID],Opportunities[NextMilestoneDate])-TODAY()</f>
        <v>43</v>
      </c>
      <c r="P36"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36" s="1">
        <f>_xlfn.XLOOKUP(View[[#This Row],[ID]],Opportunities[ID],Opportunities[Weighted])/1000</f>
        <v>263.02999999999997</v>
      </c>
      <c r="R36" s="4">
        <f>_xlfn.XLOOKUP(View[[#This Row],[ID]],Opportunities[ID],Opportunities[Amount])/1000</f>
        <v>1315.15</v>
      </c>
      <c r="S36" t="b">
        <f>View[[#This Row],[Win Probability]]="High"</f>
        <v>0</v>
      </c>
      <c r="T36">
        <f>SUBTOTAL(103, View[[#This Row],[S]])</f>
        <v>1</v>
      </c>
    </row>
    <row r="37" spans="5:20" x14ac:dyDescent="0.25">
      <c r="E37" s="36" t="str">
        <f>_xlfn.XLOOKUP(View[[#This Row],[ID]],Opportunities[ID],Opportunities[status symbol])</f>
        <v>✓</v>
      </c>
      <c r="F37" s="37" t="str">
        <f>HYPERLINK(siteUrl&amp;"Lists/"&amp;oppList&amp;"/DispForm.aspx?ID="&amp;View[[#This Row],[ID]],_xlfn.XLOOKUP(View[[#This Row],[ID]],Opportunities[ID],Opportunities[OpportunityName]))</f>
        <v>Environmental Monitoring Solution</v>
      </c>
      <c r="G37" s="49" t="str">
        <f>HYPERLINK(_xlfn.XLOOKUP(View[[#This Row],[ID]],Opportunities[ID],Opportunities[url]),_xlfn.XLOOKUP(View[[#This Row],[ID]],Opportunities[ID],Opportunities[Customer Name]))</f>
        <v>Media Communications</v>
      </c>
      <c r="H37" s="38" t="str">
        <f>_xlfn.XLOOKUP(View[[#This Row],[ID]],Opportunities[ID],Opportunities[DisplayStage])</f>
        <v>➄ - Project Execution</v>
      </c>
      <c r="I37" s="1">
        <f>IF(pipelineType="Unweighted",_xlfn.XLOOKUP(View[[#This Row],[ID]],Opportunities[ID],Opportunities[Amount])/1000,_xlfn.XLOOKUP(View[[#This Row],[ID]],Opportunities[ID],Opportunities[Weighted])/1000)</f>
        <v>1850.0709999999999</v>
      </c>
      <c r="J37" s="27" t="str">
        <f>_xlfn.XLOOKUP(View[[#This Row],[ID]],Opportunities[ID],Opportunities[WinProbDisplay])</f>
        <v>← Medium</v>
      </c>
      <c r="K37" s="28">
        <f>View[[#This Row],[Estmated Revenue]]</f>
        <v>740.02840000000003</v>
      </c>
      <c r="L37" s="2">
        <f>_xlfn.XLOOKUP(View[[#This Row],[ID]],Opportunities[ID],Opportunities[Close])</f>
        <v>46211</v>
      </c>
      <c r="M37" s="24" t="str">
        <f>IF(_xlfn.XLOOKUP(View[[#This Row],[ID]],Opportunities[ID],Opportunities[Comment Log])=0,"",_xlfn.XLOOKUP(View[[#This Row],[ID]],Opportunities[ID],Opportunities[Comment Log]))</f>
        <v/>
      </c>
      <c r="N37">
        <v>32</v>
      </c>
      <c r="O37" s="3">
        <f ca="1">_xlfn.XLOOKUP(View[[#This Row],[ID]],Opportunities[ID],Opportunities[NextMilestoneDate])-TODAY()</f>
        <v>10</v>
      </c>
      <c r="P37"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37" s="1">
        <f>_xlfn.XLOOKUP(View[[#This Row],[ID]],Opportunities[ID],Opportunities[Weighted])/1000</f>
        <v>740.02840000000003</v>
      </c>
      <c r="R37" s="4">
        <f>_xlfn.XLOOKUP(View[[#This Row],[ID]],Opportunities[ID],Opportunities[Amount])/1000</f>
        <v>1850.0709999999999</v>
      </c>
      <c r="S37" t="b">
        <f>View[[#This Row],[Win Probability]]="High"</f>
        <v>0</v>
      </c>
      <c r="T37">
        <f>SUBTOTAL(103, View[[#This Row],[S]])</f>
        <v>1</v>
      </c>
    </row>
    <row r="38" spans="5:20" x14ac:dyDescent="0.25">
      <c r="E38" s="36" t="str">
        <f>_xlfn.XLOOKUP(View[[#This Row],[ID]],Opportunities[ID],Opportunities[status symbol])</f>
        <v>⚠</v>
      </c>
      <c r="F38" s="37" t="str">
        <f>HYPERLINK(siteUrl&amp;"Lists/"&amp;oppList&amp;"/DispForm.aspx?ID="&amp;View[[#This Row],[ID]],_xlfn.XLOOKUP(View[[#This Row],[ID]],Opportunities[ID],Opportunities[OpportunityName]))</f>
        <v>Fleet Management System</v>
      </c>
      <c r="G38" s="49" t="str">
        <f>HYPERLINK(_xlfn.XLOOKUP(View[[#This Row],[ID]],Opportunities[ID],Opportunities[url]),_xlfn.XLOOKUP(View[[#This Row],[ID]],Opportunities[ID],Opportunities[Customer Name]))</f>
        <v>Professional Services Group</v>
      </c>
      <c r="H38" s="38" t="str">
        <f>_xlfn.XLOOKUP(View[[#This Row],[ID]],Opportunities[ID],Opportunities[DisplayStage])</f>
        <v>➅ - Closeout</v>
      </c>
      <c r="I38" s="1">
        <f>IF(pipelineType="Unweighted",_xlfn.XLOOKUP(View[[#This Row],[ID]],Opportunities[ID],Opportunities[Amount])/1000,_xlfn.XLOOKUP(View[[#This Row],[ID]],Opportunities[ID],Opportunities[Weighted])/1000)</f>
        <v>1181.1890000000001</v>
      </c>
      <c r="J38" s="27" t="str">
        <f>_xlfn.XLOOKUP(View[[#This Row],[ID]],Opportunities[ID],Opportunities[WinProbDisplay])</f>
        <v>← Medium</v>
      </c>
      <c r="K38" s="28">
        <f>View[[#This Row],[Estmated Revenue]]</f>
        <v>472.47560000000004</v>
      </c>
      <c r="L38" s="2">
        <f>_xlfn.XLOOKUP(View[[#This Row],[ID]],Opportunities[ID],Opportunities[Close])</f>
        <v>46255</v>
      </c>
      <c r="M38" s="24" t="str">
        <f>IF(_xlfn.XLOOKUP(View[[#This Row],[ID]],Opportunities[ID],Opportunities[Comment Log])=0,"",_xlfn.XLOOKUP(View[[#This Row],[ID]],Opportunities[ID],Opportunities[Comment Log]))</f>
        <v/>
      </c>
      <c r="N38">
        <v>31</v>
      </c>
      <c r="O38" s="3">
        <f ca="1">_xlfn.XLOOKUP(View[[#This Row],[ID]],Opportunities[ID],Opportunities[NextMilestoneDate])-TODAY()</f>
        <v>57</v>
      </c>
      <c r="P38"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38" s="1">
        <f>_xlfn.XLOOKUP(View[[#This Row],[ID]],Opportunities[ID],Opportunities[Weighted])/1000</f>
        <v>472.47560000000004</v>
      </c>
      <c r="R38" s="4">
        <f>_xlfn.XLOOKUP(View[[#This Row],[ID]],Opportunities[ID],Opportunities[Amount])/1000</f>
        <v>1181.1890000000001</v>
      </c>
      <c r="S38" t="b">
        <f>View[[#This Row],[Win Probability]]="High"</f>
        <v>0</v>
      </c>
      <c r="T38">
        <f>SUBTOTAL(103, View[[#This Row],[S]])</f>
        <v>1</v>
      </c>
    </row>
    <row r="39" spans="5:20" x14ac:dyDescent="0.25">
      <c r="E39" s="36" t="str">
        <f>_xlfn.XLOOKUP(View[[#This Row],[ID]],Opportunities[ID],Opportunities[status symbol])</f>
        <v>⚠</v>
      </c>
      <c r="F39" s="37" t="str">
        <f>HYPERLINK(siteUrl&amp;"Lists/"&amp;oppList&amp;"/DispForm.aspx?ID="&amp;View[[#This Row],[ID]],_xlfn.XLOOKUP(View[[#This Row],[ID]],Opportunities[ID],Opportunities[OpportunityName]))</f>
        <v>ERP Implementation Project</v>
      </c>
      <c r="G39" s="49" t="str">
        <f>HYPERLINK(_xlfn.XLOOKUP(View[[#This Row],[ID]],Opportunities[ID],Opportunities[url]),_xlfn.XLOOKUP(View[[#This Row],[ID]],Opportunities[ID],Opportunities[Customer Name]))</f>
        <v>ACME Corporation</v>
      </c>
      <c r="H39" s="38" t="str">
        <f>_xlfn.XLOOKUP(View[[#This Row],[ID]],Opportunities[ID],Opportunities[DisplayStage])</f>
        <v>➀ - Lead Qualification</v>
      </c>
      <c r="I39" s="1">
        <f>IF(pipelineType="Unweighted",_xlfn.XLOOKUP(View[[#This Row],[ID]],Opportunities[ID],Opportunities[Amount])/1000,_xlfn.XLOOKUP(View[[#This Row],[ID]],Opportunities[ID],Opportunities[Weighted])/1000)</f>
        <v>908.38</v>
      </c>
      <c r="J39" s="27" t="str">
        <f>_xlfn.XLOOKUP(View[[#This Row],[ID]],Opportunities[ID],Opportunities[WinProbDisplay])</f>
        <v>↙ Low</v>
      </c>
      <c r="K39" s="28">
        <f>View[[#This Row],[Estmated Revenue]]</f>
        <v>181.67599999999999</v>
      </c>
      <c r="L39" s="2">
        <f>_xlfn.XLOOKUP(View[[#This Row],[ID]],Opportunities[ID],Opportunities[Close])</f>
        <v>46261</v>
      </c>
      <c r="M39" s="24" t="str">
        <f>IF(_xlfn.XLOOKUP(View[[#This Row],[ID]],Opportunities[ID],Opportunities[Comment Log])=0,"",_xlfn.XLOOKUP(View[[#This Row],[ID]],Opportunities[ID],Opportunities[Comment Log]))</f>
        <v/>
      </c>
      <c r="N39">
        <v>1</v>
      </c>
      <c r="O39" s="3">
        <f ca="1">_xlfn.XLOOKUP(View[[#This Row],[ID]],Opportunities[ID],Opportunities[NextMilestoneDate])-TODAY()</f>
        <v>39</v>
      </c>
      <c r="P39"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39" s="1">
        <f>_xlfn.XLOOKUP(View[[#This Row],[ID]],Opportunities[ID],Opportunities[Weighted])/1000</f>
        <v>181.67599999999999</v>
      </c>
      <c r="R39" s="4">
        <f>_xlfn.XLOOKUP(View[[#This Row],[ID]],Opportunities[ID],Opportunities[Amount])/1000</f>
        <v>908.38</v>
      </c>
      <c r="S39" t="b">
        <f>View[[#This Row],[Win Probability]]="High"</f>
        <v>0</v>
      </c>
      <c r="T39">
        <f>SUBTOTAL(103, View[[#This Row],[S]])</f>
        <v>1</v>
      </c>
    </row>
    <row r="40" spans="5:20" x14ac:dyDescent="0.25">
      <c r="E40" s="36" t="str">
        <f>_xlfn.XLOOKUP(View[[#This Row],[ID]],Opportunities[ID],Opportunities[status symbol])</f>
        <v>⚠</v>
      </c>
      <c r="F40" s="37" t="str">
        <f>HYPERLINK(siteUrl&amp;"Lists/"&amp;oppList&amp;"/DispForm.aspx?ID="&amp;View[[#This Row],[ID]],_xlfn.XLOOKUP(View[[#This Row],[ID]],Opportunities[ID],Opportunities[OpportunityName]))</f>
        <v>Document Management System</v>
      </c>
      <c r="G40" s="49" t="str">
        <f>HYPERLINK(_xlfn.XLOOKUP(View[[#This Row],[ID]],Opportunities[ID],Opportunities[url]),_xlfn.XLOOKUP(View[[#This Row],[ID]],Opportunities[ID],Opportunities[Customer Name]))</f>
        <v>Agricultural Systems</v>
      </c>
      <c r="H40" s="38" t="str">
        <f>_xlfn.XLOOKUP(View[[#This Row],[ID]],Opportunities[ID],Opportunities[DisplayStage])</f>
        <v>➀ - Lead Qualification</v>
      </c>
      <c r="I40" s="1">
        <f>IF(pipelineType="Unweighted",_xlfn.XLOOKUP(View[[#This Row],[ID]],Opportunities[ID],Opportunities[Amount])/1000,_xlfn.XLOOKUP(View[[#This Row],[ID]],Opportunities[ID],Opportunities[Weighted])/1000)</f>
        <v>1410.1130000000001</v>
      </c>
      <c r="J40" s="27" t="str">
        <f>_xlfn.XLOOKUP(View[[#This Row],[ID]],Opportunities[ID],Opportunities[WinProbDisplay])</f>
        <v>↙ Low</v>
      </c>
      <c r="K40" s="28">
        <f>View[[#This Row],[Estmated Revenue]]</f>
        <v>282.02260000000001</v>
      </c>
      <c r="L40" s="2">
        <f>_xlfn.XLOOKUP(View[[#This Row],[ID]],Opportunities[ID],Opportunities[Close])</f>
        <v>46283</v>
      </c>
      <c r="M40" s="24" t="str">
        <f>IF(_xlfn.XLOOKUP(View[[#This Row],[ID]],Opportunities[ID],Opportunities[Comment Log])=0,"",_xlfn.XLOOKUP(View[[#This Row],[ID]],Opportunities[ID],Opportunities[Comment Log]))</f>
        <v/>
      </c>
      <c r="N40">
        <v>14</v>
      </c>
      <c r="O40" s="3">
        <f ca="1">_xlfn.XLOOKUP(View[[#This Row],[ID]],Opportunities[ID],Opportunities[NextMilestoneDate])-TODAY()</f>
        <v>38</v>
      </c>
      <c r="P40"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40" s="1">
        <f>_xlfn.XLOOKUP(View[[#This Row],[ID]],Opportunities[ID],Opportunities[Weighted])/1000</f>
        <v>282.02260000000001</v>
      </c>
      <c r="R40" s="4">
        <f>_xlfn.XLOOKUP(View[[#This Row],[ID]],Opportunities[ID],Opportunities[Amount])/1000</f>
        <v>1410.1130000000001</v>
      </c>
      <c r="S40" t="b">
        <f>View[[#This Row],[Win Probability]]="High"</f>
        <v>0</v>
      </c>
      <c r="T40">
        <f>SUBTOTAL(103, View[[#This Row],[S]])</f>
        <v>1</v>
      </c>
    </row>
    <row r="41" spans="5:20" x14ac:dyDescent="0.25">
      <c r="E41" s="36" t="str">
        <f>_xlfn.XLOOKUP(View[[#This Row],[ID]],Opportunities[ID],Opportunities[status symbol])</f>
        <v>✓</v>
      </c>
      <c r="F41" s="37" t="str">
        <f>HYPERLINK(siteUrl&amp;"Lists/"&amp;oppList&amp;"/DispForm.aspx?ID="&amp;View[[#This Row],[ID]],_xlfn.XLOOKUP(View[[#This Row],[ID]],Opportunities[ID],Opportunities[OpportunityName]))</f>
        <v>CRM System Upgrade</v>
      </c>
      <c r="G41" s="49" t="str">
        <f>HYPERLINK(_xlfn.XLOOKUP(View[[#This Row],[ID]],Opportunities[ID],Opportunities[url]),_xlfn.XLOOKUP(View[[#This Row],[ID]],Opportunities[ID],Opportunities[Customer Name]))</f>
        <v>Transport Logistics</v>
      </c>
      <c r="H41" s="38" t="str">
        <f>_xlfn.XLOOKUP(View[[#This Row],[ID]],Opportunities[ID],Opportunities[DisplayStage])</f>
        <v>➀ - Lead Qualification</v>
      </c>
      <c r="I41" s="1">
        <f>IF(pipelineType="Unweighted",_xlfn.XLOOKUP(View[[#This Row],[ID]],Opportunities[ID],Opportunities[Amount])/1000,_xlfn.XLOOKUP(View[[#This Row],[ID]],Opportunities[ID],Opportunities[Weighted])/1000)</f>
        <v>1278.194</v>
      </c>
      <c r="J41" s="27" t="str">
        <f>_xlfn.XLOOKUP(View[[#This Row],[ID]],Opportunities[ID],Opportunities[WinProbDisplay])</f>
        <v>↖ High</v>
      </c>
      <c r="K41" s="28">
        <f>View[[#This Row],[Estmated Revenue]]</f>
        <v>1150.3746000000001</v>
      </c>
      <c r="L41" s="2">
        <f>_xlfn.XLOOKUP(View[[#This Row],[ID]],Opportunities[ID],Opportunities[Close])</f>
        <v>46286</v>
      </c>
      <c r="M41" s="24" t="str">
        <f>IF(_xlfn.XLOOKUP(View[[#This Row],[ID]],Opportunities[ID],Opportunities[Comment Log])=0,"",_xlfn.XLOOKUP(View[[#This Row],[ID]],Opportunities[ID],Opportunities[Comment Log]))</f>
        <v/>
      </c>
      <c r="N41">
        <v>21</v>
      </c>
      <c r="O41" s="3">
        <f ca="1">_xlfn.XLOOKUP(View[[#This Row],[ID]],Opportunities[ID],Opportunities[NextMilestoneDate])-TODAY()</f>
        <v>38</v>
      </c>
      <c r="P41"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Q41" s="1">
        <f>_xlfn.XLOOKUP(View[[#This Row],[ID]],Opportunities[ID],Opportunities[Weighted])/1000</f>
        <v>1150.3746000000001</v>
      </c>
      <c r="R41" s="4">
        <f>_xlfn.XLOOKUP(View[[#This Row],[ID]],Opportunities[ID],Opportunities[Amount])/1000</f>
        <v>1278.194</v>
      </c>
      <c r="S41" t="b">
        <f>View[[#This Row],[Win Probability]]="High"</f>
        <v>0</v>
      </c>
      <c r="T41">
        <f>SUBTOTAL(103, View[[#This Row],[S]])</f>
        <v>1</v>
      </c>
    </row>
    <row r="42" spans="5:20" x14ac:dyDescent="0.25">
      <c r="E42" s="36" t="str">
        <f>_xlfn.XLOOKUP(View[[#This Row],[ID]],Opportunities[ID],Opportunities[status symbol])</f>
        <v>⮾</v>
      </c>
      <c r="F42" s="37" t="str">
        <f>HYPERLINK(siteUrl&amp;"Lists/"&amp;oppList&amp;"/DispForm.aspx?ID="&amp;View[[#This Row],[ID]],_xlfn.XLOOKUP(View[[#This Row],[ID]],Opportunities[ID],Opportunities[OpportunityName]))</f>
        <v>Customer Service Platform</v>
      </c>
      <c r="G42" s="49" t="str">
        <f>HYPERLINK(_xlfn.XLOOKUP(View[[#This Row],[ID]],Opportunities[ID],Opportunities[url]),_xlfn.XLOOKUP(View[[#This Row],[ID]],Opportunities[ID],Opportunities[Customer Name]))</f>
        <v>ACME Corporation</v>
      </c>
      <c r="H42" s="38" t="str">
        <f>_xlfn.XLOOKUP(View[[#This Row],[ID]],Opportunities[ID],Opportunities[DisplayStage])</f>
        <v>➁ - Nurturing</v>
      </c>
      <c r="I42" s="1">
        <f>IF(pipelineType="Unweighted",_xlfn.XLOOKUP(View[[#This Row],[ID]],Opportunities[ID],Opportunities[Amount])/1000,_xlfn.XLOOKUP(View[[#This Row],[ID]],Opportunities[ID],Opportunities[Weighted])/1000)</f>
        <v>1555.472</v>
      </c>
      <c r="J42" s="27" t="str">
        <f>_xlfn.XLOOKUP(View[[#This Row],[ID]],Opportunities[ID],Opportunities[WinProbDisplay])</f>
        <v>← Medium</v>
      </c>
      <c r="K42" s="28">
        <f>View[[#This Row],[Estmated Revenue]]</f>
        <v>622.18880000000001</v>
      </c>
      <c r="L42" s="2">
        <f>_xlfn.XLOOKUP(View[[#This Row],[ID]],Opportunities[ID],Opportunities[Close])</f>
        <v>46307</v>
      </c>
      <c r="M42" s="24" t="str">
        <f>IF(_xlfn.XLOOKUP(View[[#This Row],[ID]],Opportunities[ID],Opportunities[Comment Log])=0,"",_xlfn.XLOOKUP(View[[#This Row],[ID]],Opportunities[ID],Opportunities[Comment Log]))</f>
        <v/>
      </c>
      <c r="N42">
        <v>30</v>
      </c>
      <c r="O42" s="3">
        <f ca="1">_xlfn.XLOOKUP(View[[#This Row],[ID]],Opportunities[ID],Opportunities[NextMilestoneDate])-TODAY()</f>
        <v>6</v>
      </c>
      <c r="P42"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2" s="1">
        <f>_xlfn.XLOOKUP(View[[#This Row],[ID]],Opportunities[ID],Opportunities[Weighted])/1000</f>
        <v>622.18880000000001</v>
      </c>
      <c r="R42" s="4">
        <f>_xlfn.XLOOKUP(View[[#This Row],[ID]],Opportunities[ID],Opportunities[Amount])/1000</f>
        <v>1555.472</v>
      </c>
      <c r="S42" t="b">
        <f>View[[#This Row],[Win Probability]]="High"</f>
        <v>0</v>
      </c>
      <c r="T42">
        <f>SUBTOTAL(103, View[[#This Row],[S]])</f>
        <v>1</v>
      </c>
    </row>
    <row r="43" spans="5:20" x14ac:dyDescent="0.25">
      <c r="E43" s="36" t="str">
        <f>_xlfn.XLOOKUP(View[[#This Row],[ID]],Opportunities[ID],Opportunities[status symbol])</f>
        <v>⚠</v>
      </c>
      <c r="F43" s="37" t="str">
        <f>HYPERLINK(siteUrl&amp;"Lists/"&amp;oppList&amp;"/DispForm.aspx?ID="&amp;View[[#This Row],[ID]],_xlfn.XLOOKUP(View[[#This Row],[ID]],Opportunities[ID],Opportunities[OpportunityName]))</f>
        <v>Customer Portal Development</v>
      </c>
      <c r="G43" s="49" t="str">
        <f>HYPERLINK(_xlfn.XLOOKUP(View[[#This Row],[ID]],Opportunities[ID],Opportunities[url]),_xlfn.XLOOKUP(View[[#This Row],[ID]],Opportunities[ID],Opportunities[Customer Name]))</f>
        <v>Textile Manufacturing</v>
      </c>
      <c r="H43" s="38" t="str">
        <f>_xlfn.XLOOKUP(View[[#This Row],[ID]],Opportunities[ID],Opportunities[DisplayStage])</f>
        <v>➅ - Closeout</v>
      </c>
      <c r="I43" s="1">
        <f>IF(pipelineType="Unweighted",_xlfn.XLOOKUP(View[[#This Row],[ID]],Opportunities[ID],Opportunities[Amount])/1000,_xlfn.XLOOKUP(View[[#This Row],[ID]],Opportunities[ID],Opportunities[Weighted])/1000)</f>
        <v>1095.721</v>
      </c>
      <c r="J43" s="27" t="str">
        <f>_xlfn.XLOOKUP(View[[#This Row],[ID]],Opportunities[ID],Opportunities[WinProbDisplay])</f>
        <v>← Medium</v>
      </c>
      <c r="K43" s="28">
        <f>View[[#This Row],[Estmated Revenue]]</f>
        <v>438.28840000000002</v>
      </c>
      <c r="L43" s="2">
        <f>_xlfn.XLOOKUP(View[[#This Row],[ID]],Opportunities[ID],Opportunities[Close])</f>
        <v>46321</v>
      </c>
      <c r="M43" s="24" t="str">
        <f>IF(_xlfn.XLOOKUP(View[[#This Row],[ID]],Opportunities[ID],Opportunities[Comment Log])=0,"",_xlfn.XLOOKUP(View[[#This Row],[ID]],Opportunities[ID],Opportunities[Comment Log]))</f>
        <v/>
      </c>
      <c r="N43">
        <v>9</v>
      </c>
      <c r="O43" s="3">
        <f ca="1">_xlfn.XLOOKUP(View[[#This Row],[ID]],Opportunities[ID],Opportunities[NextMilestoneDate])-TODAY()</f>
        <v>40</v>
      </c>
      <c r="P43"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3" s="1">
        <f>_xlfn.XLOOKUP(View[[#This Row],[ID]],Opportunities[ID],Opportunities[Weighted])/1000</f>
        <v>438.28840000000002</v>
      </c>
      <c r="R43" s="4">
        <f>_xlfn.XLOOKUP(View[[#This Row],[ID]],Opportunities[ID],Opportunities[Amount])/1000</f>
        <v>1095.721</v>
      </c>
      <c r="S43" t="b">
        <f>View[[#This Row],[Win Probability]]="High"</f>
        <v>0</v>
      </c>
      <c r="T43">
        <f>SUBTOTAL(103, View[[#This Row],[S]])</f>
        <v>1</v>
      </c>
    </row>
    <row r="44" spans="5:20" x14ac:dyDescent="0.25">
      <c r="E44" s="36" t="str">
        <f>_xlfn.XLOOKUP(View[[#This Row],[ID]],Opportunities[ID],Opportunities[status symbol])</f>
        <v>⚠</v>
      </c>
      <c r="F44" s="37" t="str">
        <f>HYPERLINK(siteUrl&amp;"Lists/"&amp;oppList&amp;"/DispForm.aspx?ID="&amp;View[[#This Row],[ID]],_xlfn.XLOOKUP(View[[#This Row],[ID]],Opportunities[ID],Opportunities[OpportunityName]))</f>
        <v>Financial Planning Software</v>
      </c>
      <c r="G44" s="49" t="str">
        <f>HYPERLINK(_xlfn.XLOOKUP(View[[#This Row],[ID]],Opportunities[ID],Opportunities[url]),_xlfn.XLOOKUP(View[[#This Row],[ID]],Opportunities[ID],Opportunities[Customer Name]))</f>
        <v>Education First</v>
      </c>
      <c r="H44" s="38" t="str">
        <f>_xlfn.XLOOKUP(View[[#This Row],[ID]],Opportunities[ID],Opportunities[DisplayStage])</f>
        <v>➂ - Proposal</v>
      </c>
      <c r="I44" s="1">
        <f>IF(pipelineType="Unweighted",_xlfn.XLOOKUP(View[[#This Row],[ID]],Opportunities[ID],Opportunities[Amount])/1000,_xlfn.XLOOKUP(View[[#This Row],[ID]],Opportunities[ID],Opportunities[Weighted])/1000)</f>
        <v>779.43899999999996</v>
      </c>
      <c r="J44" s="27" t="str">
        <f>_xlfn.XLOOKUP(View[[#This Row],[ID]],Opportunities[ID],Opportunities[WinProbDisplay])</f>
        <v>← Medium</v>
      </c>
      <c r="K44" s="28">
        <f>View[[#This Row],[Estmated Revenue]]</f>
        <v>311.77560000000005</v>
      </c>
      <c r="L44" s="2">
        <f>_xlfn.XLOOKUP(View[[#This Row],[ID]],Opportunities[ID],Opportunities[Close])</f>
        <v>46329</v>
      </c>
      <c r="M44" s="24" t="str">
        <f>IF(_xlfn.XLOOKUP(View[[#This Row],[ID]],Opportunities[ID],Opportunities[Comment Log])=0,"",_xlfn.XLOOKUP(View[[#This Row],[ID]],Opportunities[ID],Opportunities[Comment Log]))</f>
        <v/>
      </c>
      <c r="N44">
        <v>18</v>
      </c>
      <c r="O44" s="3">
        <f ca="1">_xlfn.XLOOKUP(View[[#This Row],[ID]],Opportunities[ID],Opportunities[NextMilestoneDate])-TODAY()</f>
        <v>23</v>
      </c>
      <c r="P44"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4" s="1">
        <f>_xlfn.XLOOKUP(View[[#This Row],[ID]],Opportunities[ID],Opportunities[Weighted])/1000</f>
        <v>311.77560000000005</v>
      </c>
      <c r="R44" s="4">
        <f>_xlfn.XLOOKUP(View[[#This Row],[ID]],Opportunities[ID],Opportunities[Amount])/1000</f>
        <v>779.43899999999996</v>
      </c>
      <c r="S44" t="b">
        <f>View[[#This Row],[Win Probability]]="High"</f>
        <v>0</v>
      </c>
      <c r="T44">
        <f>SUBTOTAL(103, View[[#This Row],[S]])</f>
        <v>1</v>
      </c>
    </row>
    <row r="45" spans="5:20" x14ac:dyDescent="0.25">
      <c r="E45" s="36" t="str">
        <f>_xlfn.XLOOKUP(View[[#This Row],[ID]],Opportunities[ID],Opportunities[status symbol])</f>
        <v>✓</v>
      </c>
      <c r="F45" s="37" t="str">
        <f>HYPERLINK(siteUrl&amp;"Lists/"&amp;oppList&amp;"/DispForm.aspx?ID="&amp;View[[#This Row],[ID]],_xlfn.XLOOKUP(View[[#This Row],[ID]],Opportunities[ID],Opportunities[OpportunityName]))</f>
        <v>Quality Management System</v>
      </c>
      <c r="G45" s="49" t="str">
        <f>HYPERLINK(_xlfn.XLOOKUP(View[[#This Row],[ID]],Opportunities[ID],Opportunities[url]),_xlfn.XLOOKUP(View[[#This Row],[ID]],Opportunities[ID],Opportunities[Customer Name]))</f>
        <v>Mining Operations</v>
      </c>
      <c r="H45" s="38" t="str">
        <f>_xlfn.XLOOKUP(View[[#This Row],[ID]],Opportunities[ID],Opportunities[DisplayStage])</f>
        <v>➂ - Proposal</v>
      </c>
      <c r="I45" s="1">
        <f>IF(pipelineType="Unweighted",_xlfn.XLOOKUP(View[[#This Row],[ID]],Opportunities[ID],Opportunities[Amount])/1000,_xlfn.XLOOKUP(View[[#This Row],[ID]],Opportunities[ID],Opportunities[Weighted])/1000)</f>
        <v>1818.9459999999999</v>
      </c>
      <c r="J45" s="27" t="str">
        <f>_xlfn.XLOOKUP(View[[#This Row],[ID]],Opportunities[ID],Opportunities[WinProbDisplay])</f>
        <v>↙ Low</v>
      </c>
      <c r="K45" s="28">
        <f>View[[#This Row],[Estmated Revenue]]</f>
        <v>363.78919999999999</v>
      </c>
      <c r="L45" s="2">
        <f>_xlfn.XLOOKUP(View[[#This Row],[ID]],Opportunities[ID],Opportunities[Close])</f>
        <v>46337</v>
      </c>
      <c r="M45" s="24" t="str">
        <f>IF(_xlfn.XLOOKUP(View[[#This Row],[ID]],Opportunities[ID],Opportunities[Comment Log])=0,"",_xlfn.XLOOKUP(View[[#This Row],[ID]],Opportunities[ID],Opportunities[Comment Log]))</f>
        <v/>
      </c>
      <c r="N45">
        <v>16</v>
      </c>
      <c r="O45" s="3">
        <f ca="1">_xlfn.XLOOKUP(View[[#This Row],[ID]],Opportunities[ID],Opportunities[NextMilestoneDate])-TODAY()</f>
        <v>5</v>
      </c>
      <c r="P45"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5" s="1">
        <f>_xlfn.XLOOKUP(View[[#This Row],[ID]],Opportunities[ID],Opportunities[Weighted])/1000</f>
        <v>363.78919999999999</v>
      </c>
      <c r="R45" s="4">
        <f>_xlfn.XLOOKUP(View[[#This Row],[ID]],Opportunities[ID],Opportunities[Amount])/1000</f>
        <v>1818.9459999999999</v>
      </c>
      <c r="S45" t="b">
        <f>View[[#This Row],[Win Probability]]="High"</f>
        <v>0</v>
      </c>
      <c r="T45">
        <f>SUBTOTAL(103, View[[#This Row],[S]])</f>
        <v>1</v>
      </c>
    </row>
    <row r="46" spans="5:20" x14ac:dyDescent="0.25">
      <c r="E46" s="36" t="str">
        <f>_xlfn.XLOOKUP(View[[#This Row],[ID]],Opportunities[ID],Opportunities[status symbol])</f>
        <v>✓</v>
      </c>
      <c r="F46" s="37" t="str">
        <f>HYPERLINK(siteUrl&amp;"Lists/"&amp;oppList&amp;"/DispForm.aspx?ID="&amp;View[[#This Row],[ID]],_xlfn.XLOOKUP(View[[#This Row],[ID]],Opportunities[ID],Opportunities[OpportunityName]))</f>
        <v>Inventory Management Solution</v>
      </c>
      <c r="G46" s="49" t="str">
        <f>HYPERLINK(_xlfn.XLOOKUP(View[[#This Row],[ID]],Opportunities[ID],Opportunities[url]),_xlfn.XLOOKUP(View[[#This Row],[ID]],Opportunities[ID],Opportunities[Customer Name]))</f>
        <v>Media Communications</v>
      </c>
      <c r="H46" s="38" t="str">
        <f>_xlfn.XLOOKUP(View[[#This Row],[ID]],Opportunities[ID],Opportunities[DisplayStage])</f>
        <v>➁ - Nurturing</v>
      </c>
      <c r="I46" s="1">
        <f>IF(pipelineType="Unweighted",_xlfn.XLOOKUP(View[[#This Row],[ID]],Opportunities[ID],Opportunities[Amount])/1000,_xlfn.XLOOKUP(View[[#This Row],[ID]],Opportunities[ID],Opportunities[Weighted])/1000)</f>
        <v>843.11300000000006</v>
      </c>
      <c r="J46" s="27" t="str">
        <f>_xlfn.XLOOKUP(View[[#This Row],[ID]],Opportunities[ID],Opportunities[WinProbDisplay])</f>
        <v>↙ Low</v>
      </c>
      <c r="K46" s="28">
        <f>View[[#This Row],[Estmated Revenue]]</f>
        <v>168.62260000000001</v>
      </c>
      <c r="L46" s="2">
        <f>_xlfn.XLOOKUP(View[[#This Row],[ID]],Opportunities[ID],Opportunities[Close])</f>
        <v>46339</v>
      </c>
      <c r="M46" s="24" t="str">
        <f>IF(_xlfn.XLOOKUP(View[[#This Row],[ID]],Opportunities[ID],Opportunities[Comment Log])=0,"",_xlfn.XLOOKUP(View[[#This Row],[ID]],Opportunities[ID],Opportunities[Comment Log]))</f>
        <v/>
      </c>
      <c r="N46">
        <v>22</v>
      </c>
      <c r="O46" s="3">
        <f ca="1">_xlfn.XLOOKUP(View[[#This Row],[ID]],Opportunities[ID],Opportunities[NextMilestoneDate])-TODAY()</f>
        <v>14</v>
      </c>
      <c r="P46"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6" s="1">
        <f>_xlfn.XLOOKUP(View[[#This Row],[ID]],Opportunities[ID],Opportunities[Weighted])/1000</f>
        <v>168.62260000000001</v>
      </c>
      <c r="R46" s="4">
        <f>_xlfn.XLOOKUP(View[[#This Row],[ID]],Opportunities[ID],Opportunities[Amount])/1000</f>
        <v>843.11300000000006</v>
      </c>
      <c r="S46" t="b">
        <f>View[[#This Row],[Win Probability]]="High"</f>
        <v>0</v>
      </c>
      <c r="T46">
        <f>SUBTOTAL(103, View[[#This Row],[S]])</f>
        <v>1</v>
      </c>
    </row>
    <row r="47" spans="5:20" x14ac:dyDescent="0.25">
      <c r="E47" s="36" t="str">
        <f>_xlfn.XLOOKUP(View[[#This Row],[ID]],Opportunities[ID],Opportunities[status symbol])</f>
        <v>✓</v>
      </c>
      <c r="F47" s="37" t="str">
        <f>HYPERLINK(siteUrl&amp;"Lists/"&amp;oppList&amp;"/DispForm.aspx?ID="&amp;View[[#This Row],[ID]],_xlfn.XLOOKUP(View[[#This Row],[ID]],Opportunities[ID],Opportunities[OpportunityName]))</f>
        <v>E-commerce Platform</v>
      </c>
      <c r="G47" s="49" t="str">
        <f>HYPERLINK(_xlfn.XLOOKUP(View[[#This Row],[ID]],Opportunities[ID],Opportunities[url]),_xlfn.XLOOKUP(View[[#This Row],[ID]],Opportunities[ID],Opportunities[Customer Name]))</f>
        <v>Automotive Parts Plus</v>
      </c>
      <c r="H47" s="38" t="str">
        <f>_xlfn.XLOOKUP(View[[#This Row],[ID]],Opportunities[ID],Opportunities[DisplayStage])</f>
        <v>➄ - Project Execution</v>
      </c>
      <c r="I47" s="1">
        <f>IF(pipelineType="Unweighted",_xlfn.XLOOKUP(View[[#This Row],[ID]],Opportunities[ID],Opportunities[Amount])/1000,_xlfn.XLOOKUP(View[[#This Row],[ID]],Opportunities[ID],Opportunities[Weighted])/1000)</f>
        <v>1688.01</v>
      </c>
      <c r="J47" s="27" t="str">
        <f>_xlfn.XLOOKUP(View[[#This Row],[ID]],Opportunities[ID],Opportunities[WinProbDisplay])</f>
        <v>↖ High</v>
      </c>
      <c r="K47" s="28">
        <f>View[[#This Row],[Estmated Revenue]]</f>
        <v>1519.2090000000001</v>
      </c>
      <c r="L47" s="2">
        <f>_xlfn.XLOOKUP(View[[#This Row],[ID]],Opportunities[ID],Opportunities[Close])</f>
        <v>46345</v>
      </c>
      <c r="M47" s="24" t="str">
        <f>IF(_xlfn.XLOOKUP(View[[#This Row],[ID]],Opportunities[ID],Opportunities[Comment Log])=0,"",_xlfn.XLOOKUP(View[[#This Row],[ID]],Opportunities[ID],Opportunities[Comment Log]))</f>
        <v/>
      </c>
      <c r="N47">
        <v>13</v>
      </c>
      <c r="O47" s="3">
        <f ca="1">_xlfn.XLOOKUP(View[[#This Row],[ID]],Opportunities[ID],Opportunities[NextMilestoneDate])-TODAY()</f>
        <v>17</v>
      </c>
      <c r="P47" s="38"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Q47" s="1">
        <f>_xlfn.XLOOKUP(View[[#This Row],[ID]],Opportunities[ID],Opportunities[Weighted])/1000</f>
        <v>1519.2090000000001</v>
      </c>
      <c r="R47" s="4">
        <f>_xlfn.XLOOKUP(View[[#This Row],[ID]],Opportunities[ID],Opportunities[Amount])/1000</f>
        <v>1688.01</v>
      </c>
      <c r="S47" t="b">
        <f>View[[#This Row],[Win Probability]]="High"</f>
        <v>0</v>
      </c>
      <c r="T47">
        <f>SUBTOTAL(103, View[[#This Row],[S]])</f>
        <v>1</v>
      </c>
    </row>
  </sheetData>
  <phoneticPr fontId="4" type="noConversion"/>
  <conditionalFormatting sqref="E8:F47">
    <cfRule type="expression" dxfId="8" priority="23">
      <formula>E8="⚠"</formula>
    </cfRule>
    <cfRule type="expression" dxfId="7" priority="24">
      <formula>E8="⮾"</formula>
    </cfRule>
    <cfRule type="expression" dxfId="6" priority="25">
      <formula>E8="✓"</formula>
    </cfRule>
  </conditionalFormatting>
  <conditionalFormatting sqref="G8">
    <cfRule type="iconSet" priority="1">
      <iconSet iconSet="4Rating">
        <cfvo type="percent" val="0"/>
        <cfvo type="percent" val="25"/>
        <cfvo type="percent" val="50"/>
        <cfvo type="percent" val="75"/>
      </iconSet>
    </cfRule>
  </conditionalFormatting>
  <conditionalFormatting sqref="H8:H47">
    <cfRule type="expression" dxfId="5" priority="10">
      <formula>H8="3 - Proposal"</formula>
    </cfRule>
    <cfRule type="expression" dxfId="4" priority="11">
      <formula>H8="4 - Negotiation"</formula>
    </cfRule>
    <cfRule type="expression" dxfId="3" priority="12">
      <formula>H8="5 - Project Execution"</formula>
    </cfRule>
    <cfRule type="expression" dxfId="2" priority="13">
      <formula>H8="6 - Closeout"</formula>
    </cfRule>
    <cfRule type="expression" dxfId="1" priority="14">
      <formula>H8="1 - Lead Qualification"</formula>
    </cfRule>
    <cfRule type="expression" dxfId="0" priority="15">
      <formula>H8="2 - Nurturing"</formula>
    </cfRule>
  </conditionalFormatting>
  <conditionalFormatting sqref="J8:J47">
    <cfRule type="iconSet" priority="919">
      <iconSet iconSet="4Rating">
        <cfvo type="percent" val="0"/>
        <cfvo type="percent" val="25"/>
        <cfvo type="percent" val="50"/>
        <cfvo type="percent" val="75"/>
      </iconSet>
    </cfRule>
  </conditionalFormatting>
  <conditionalFormatting sqref="O8:O47">
    <cfRule type="colorScale" priority="921">
      <colorScale>
        <cfvo type="min"/>
        <cfvo type="max"/>
        <color rgb="FF63BE7B"/>
        <color rgb="FFFCFCFF"/>
      </colorScale>
    </cfRule>
  </conditionalFormatting>
  <conditionalFormatting sqref="Q8:Q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R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R8:R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5" xr:uid="{0FFE2634-DCDA-4577-9878-5674941738A4}">
      <formula1>"FQ,CQ"</formula1>
    </dataValidation>
    <dataValidation type="list" allowBlank="1" showInputMessage="1" showErrorMessage="1" sqref="B6"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R8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R8:R47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S18"/>
  <sheetViews>
    <sheetView showGridLines="0" workbookViewId="0">
      <selection activeCell="H14" sqref="H14:H18"/>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9" x14ac:dyDescent="0.25">
      <c r="A1" s="46" t="s">
        <v>395</v>
      </c>
      <c r="C1" s="19" t="s">
        <v>47</v>
      </c>
      <c r="D1" s="30">
        <v>45839</v>
      </c>
      <c r="G1" s="19" t="s">
        <v>49</v>
      </c>
      <c r="H1" s="31" t="s">
        <v>50</v>
      </c>
      <c r="J1" s="51" t="s">
        <v>398</v>
      </c>
      <c r="K1" s="46" t="s">
        <v>396</v>
      </c>
    </row>
    <row r="2" spans="1:19" x14ac:dyDescent="0.25">
      <c r="A2" s="50" t="str">
        <f>HYPERLINK("https://github.com/pgaljan/funneler/blob/main/docs/manual-deploy.md","Citizen Developer Guide")</f>
        <v>Citizen Developer Guide</v>
      </c>
      <c r="G2" s="19" t="s">
        <v>144</v>
      </c>
      <c r="H2" s="29" t="s">
        <v>412</v>
      </c>
      <c r="J2" s="52" t="s">
        <v>408</v>
      </c>
      <c r="K2" s="48" t="s">
        <v>393</v>
      </c>
    </row>
    <row r="3" spans="1:19" x14ac:dyDescent="0.25">
      <c r="A3" s="50" t="str">
        <f>HYPERLINK("https://github.com/pgaljan/funneler/blob/main/docs/auto-deploy.md","Operator Guide")</f>
        <v>Operator Guide</v>
      </c>
      <c r="C3" s="12" t="s">
        <v>80</v>
      </c>
      <c r="D3" s="12" t="s">
        <v>88</v>
      </c>
      <c r="F3" s="35" t="str">
        <f>HYPERLINK(siteUrl&amp;"/Lists/"&amp;custList,"Test")</f>
        <v>Test</v>
      </c>
      <c r="G3" s="19" t="s">
        <v>145</v>
      </c>
      <c r="H3" s="32" t="str">
        <f>listPrefix &amp; custListAppend</f>
        <v>citizenCustomers</v>
      </c>
      <c r="J3" s="52" t="s">
        <v>399</v>
      </c>
      <c r="K3" s="47" t="str" cm="1">
        <f t="array" ref="K3">"./Deploy-Lists.ps1"&amp; psAftermetter</f>
        <v>./Deploy-Lists.ps1 -SiteUrl "https://cleansheet5.sharepoint.com/sites/SalesFunnel/" -ListPrefix "citizen" -ClientId "4f2cadf3-cdfe-4c73-819d-6e8141ad5b51"</v>
      </c>
    </row>
    <row r="4" spans="1:19" x14ac:dyDescent="0.25">
      <c r="A4" s="50" t="str">
        <f>HYPERLINK("https://github.com/pgaljan/funneler/blob/main/docs/security.md","Security &amp; Governance")</f>
        <v>Security &amp; Governance</v>
      </c>
      <c r="C4" s="34" t="s">
        <v>85</v>
      </c>
      <c r="D4" s="39">
        <v>0.2</v>
      </c>
      <c r="F4" s="35" t="str">
        <f>HYPERLINK(siteUrl&amp;"/Lists/"&amp;oppList,"Test")</f>
        <v>Test</v>
      </c>
      <c r="G4" s="19" t="s">
        <v>48</v>
      </c>
      <c r="H4" s="32" t="str">
        <f>listPrefix &amp; oppListAppend</f>
        <v>citizenOpportunities</v>
      </c>
      <c r="K4" s="47" t="str" cm="1">
        <f t="array" ref="K4">"./Set-Required-Fields.ps1" &amp;psAftermetter</f>
        <v>./Set-Required-Fields.ps1 -SiteUrl "https://cleansheet5.sharepoint.com/sites/SalesFunnel/" -ListPrefix "citizen" -ClientId "4f2cadf3-cdfe-4c73-819d-6e8141ad5b51"</v>
      </c>
    </row>
    <row r="5" spans="1:19" x14ac:dyDescent="0.25">
      <c r="A5" s="50" t="str">
        <f>HYPERLINK("https://github.com/pgaljan/funneler/blob/main/docs/code-guide.md","Code Guide")</f>
        <v>Code Guide</v>
      </c>
      <c r="C5" s="34" t="s">
        <v>83</v>
      </c>
      <c r="D5" s="39">
        <v>0.4</v>
      </c>
      <c r="G5" s="19" t="s">
        <v>391</v>
      </c>
      <c r="H5" s="29" t="s">
        <v>392</v>
      </c>
      <c r="K5" s="47" t="str" cm="1">
        <f t="array" ref="K5">"./Add-Comment-Log.ps1"&amp;psAftermetter</f>
        <v>./Add-Comment-Log.ps1 -SiteUrl "https://cleansheet5.sharepoint.com/sites/SalesFunnel/" -ListPrefix "citizen" -ClientId "4f2cadf3-cdfe-4c73-819d-6e8141ad5b51"</v>
      </c>
    </row>
    <row r="6" spans="1:19" x14ac:dyDescent="0.25">
      <c r="A6" s="50" t="str">
        <f>HYPERLINK("https://github.com/pgaljan/funneler/blob/main/docs/form-body-json.md","Form Body JSON")</f>
        <v>Form Body JSON</v>
      </c>
      <c r="C6" s="34" t="s">
        <v>84</v>
      </c>
      <c r="D6" s="39">
        <v>0.9</v>
      </c>
      <c r="K6" s="47" t="str" cm="1">
        <f t="array" ref="K6">"./Populate-Sample-Data.ps1"&amp;psAftermetter</f>
        <v>./Populate-Sample-Data.ps1 -SiteUrl "https://cleansheet5.sharepoint.com/sites/SalesFunnel/" -ListPrefix "citizen" -ClientId "4f2cadf3-cdfe-4c73-819d-6e8141ad5b51"</v>
      </c>
    </row>
    <row r="7" spans="1:19" x14ac:dyDescent="0.25">
      <c r="A7" s="38"/>
      <c r="K7" s="46" t="s">
        <v>397</v>
      </c>
    </row>
    <row r="8" spans="1:19" x14ac:dyDescent="0.25">
      <c r="A8" s="38"/>
      <c r="K8" s="47" t="str" cm="1">
        <f t="array" ref="K8">"./Audit-List-Security.ps1"&amp;psAftermetter</f>
        <v>./Audit-List-Security.ps1 -SiteUrl "https://cleansheet5.sharepoint.com/sites/SalesFunnel/" -ListPrefix "citizen" -ClientId "4f2cadf3-cdfe-4c73-819d-6e8141ad5b51"</v>
      </c>
    </row>
    <row r="9" spans="1:19" x14ac:dyDescent="0.25">
      <c r="K9" s="47" t="str" cm="1">
        <f t="array" ref="K9">"./Delete-Lists.ps1"&amp;psAftermetter</f>
        <v>./Delete-Lists.ps1 -SiteUrl "https://cleansheet5.sharepoint.com/sites/SalesFunnel/" -ListPrefix "citizen" -ClientId "4f2cadf3-cdfe-4c73-819d-6e8141ad5b51"</v>
      </c>
    </row>
    <row r="11" spans="1:19" x14ac:dyDescent="0.25">
      <c r="I11" s="33"/>
    </row>
    <row r="12" spans="1:19" x14ac:dyDescent="0.25">
      <c r="I12" s="33"/>
      <c r="P12" s="12" t="s">
        <v>33</v>
      </c>
      <c r="Q12" s="12" t="s">
        <v>401</v>
      </c>
      <c r="R12" s="12" t="s">
        <v>87</v>
      </c>
      <c r="S12" s="12" t="s">
        <v>378</v>
      </c>
    </row>
    <row r="13" spans="1:19" ht="20.25" x14ac:dyDescent="0.3">
      <c r="I13" s="33"/>
      <c r="P13" s="33">
        <v>1</v>
      </c>
      <c r="Q13" s="53" t="s">
        <v>402</v>
      </c>
      <c r="R13" s="33" t="s">
        <v>20</v>
      </c>
      <c r="S13" s="33" t="str">
        <f>stage[[#This Row],[Symbol]]&amp;" - "&amp;stage[[#This Row],[Stage Name]]</f>
        <v>➀ - Lead Qualification</v>
      </c>
    </row>
    <row r="14" spans="1:19" ht="20.25" x14ac:dyDescent="0.3">
      <c r="I14" s="33"/>
      <c r="P14" s="33">
        <v>2</v>
      </c>
      <c r="Q14" s="53" t="s">
        <v>403</v>
      </c>
      <c r="R14" s="33" t="s">
        <v>23</v>
      </c>
      <c r="S14" s="33" t="str">
        <f>stage[[#This Row],[Symbol]]&amp;" - "&amp;stage[[#This Row],[Stage Name]]</f>
        <v>➁ - Nurturing</v>
      </c>
    </row>
    <row r="15" spans="1:19" ht="20.25" x14ac:dyDescent="0.3">
      <c r="H15" s="33"/>
      <c r="P15" s="33">
        <v>3</v>
      </c>
      <c r="Q15" s="53" t="s">
        <v>404</v>
      </c>
      <c r="R15" s="33" t="s">
        <v>22</v>
      </c>
      <c r="S15" s="33" t="str">
        <f>stage[[#This Row],[Symbol]]&amp;" - "&amp;stage[[#This Row],[Stage Name]]</f>
        <v>➂ - Proposal</v>
      </c>
    </row>
    <row r="16" spans="1:19" ht="20.25" x14ac:dyDescent="0.3">
      <c r="H16" s="33"/>
      <c r="P16" s="33">
        <v>4</v>
      </c>
      <c r="Q16" s="53" t="s">
        <v>405</v>
      </c>
      <c r="R16" s="33" t="s">
        <v>18</v>
      </c>
      <c r="S16" s="33" t="str">
        <f>stage[[#This Row],[Symbol]]&amp;" - "&amp;stage[[#This Row],[Stage Name]]</f>
        <v>➃ - Negotiation</v>
      </c>
    </row>
    <row r="17" spans="16:19" ht="20.25" x14ac:dyDescent="0.3">
      <c r="P17" s="33">
        <v>5</v>
      </c>
      <c r="Q17" s="53" t="s">
        <v>406</v>
      </c>
      <c r="R17" s="33" t="s">
        <v>21</v>
      </c>
      <c r="S17" s="33" t="str">
        <f>stage[[#This Row],[Symbol]]&amp;" - "&amp;stage[[#This Row],[Stage Name]]</f>
        <v>➄ - Project Execution</v>
      </c>
    </row>
    <row r="18" spans="16:19" ht="20.25" x14ac:dyDescent="0.3">
      <c r="P18" s="33">
        <v>6</v>
      </c>
      <c r="Q18" s="53" t="s">
        <v>407</v>
      </c>
      <c r="R18" s="33" t="s">
        <v>24</v>
      </c>
      <c r="S18" s="33" t="str">
        <f>stage[[#This Row],[Symbol]]&amp;" - "&amp;stage[[#This Row],[Stage Name]]</f>
        <v>➅ - Closeout</v>
      </c>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D41"/>
  <sheetViews>
    <sheetView topLeftCell="L1" zoomScale="85" zoomScaleNormal="85" workbookViewId="0">
      <selection activeCell="X3" sqref="X3"/>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12" bestFit="1" customWidth="1"/>
    <col min="14" max="14" width="26" bestFit="1" customWidth="1"/>
    <col min="15" max="15" width="14.85546875" customWidth="1"/>
    <col min="16" max="16" width="9" bestFit="1" customWidth="1"/>
    <col min="17" max="17" width="8.85546875" bestFit="1" customWidth="1"/>
    <col min="18" max="18" width="81.140625" bestFit="1" customWidth="1"/>
    <col min="19" max="19" width="15.7109375" bestFit="1" customWidth="1"/>
    <col min="20" max="20" width="20.7109375" bestFit="1" customWidth="1"/>
    <col min="21" max="21" width="12.28515625" bestFit="1" customWidth="1"/>
    <col min="22" max="22" width="16" bestFit="1" customWidth="1"/>
    <col min="23" max="23" width="26.140625" bestFit="1" customWidth="1"/>
    <col min="24" max="24" width="81.140625" bestFit="1" customWidth="1"/>
    <col min="25" max="25" width="9.7109375" bestFit="1" customWidth="1"/>
    <col min="26" max="26" width="81.140625" bestFit="1" customWidth="1"/>
    <col min="27" max="27" width="16" bestFit="1" customWidth="1"/>
    <col min="28" max="28" width="19.5703125" bestFit="1" customWidth="1"/>
    <col min="29" max="29" width="17.85546875" bestFit="1" customWidth="1"/>
    <col min="30" max="31" width="17.7109375" bestFit="1" customWidth="1"/>
    <col min="32" max="32" width="26.140625" bestFit="1" customWidth="1"/>
    <col min="33" max="33" width="81.140625" bestFit="1" customWidth="1"/>
    <col min="34" max="34" width="9.7109375" bestFit="1" customWidth="1"/>
    <col min="35" max="35" width="16" bestFit="1" customWidth="1"/>
    <col min="36" max="36" width="9" bestFit="1" customWidth="1"/>
    <col min="37" max="37" width="8.85546875" bestFit="1" customWidth="1"/>
    <col min="38" max="38" width="81.140625" bestFit="1" customWidth="1"/>
    <col min="39" max="39" width="15.7109375" bestFit="1" customWidth="1"/>
    <col min="40" max="40" width="20" bestFit="1" customWidth="1"/>
    <col min="41" max="41" width="13.42578125" bestFit="1" customWidth="1"/>
    <col min="42" max="42" width="14.5703125" bestFit="1" customWidth="1"/>
    <col min="43" max="43" width="15" bestFit="1" customWidth="1"/>
    <col min="44" max="44" width="14" bestFit="1" customWidth="1"/>
    <col min="45" max="45" width="13.28515625" bestFit="1" customWidth="1"/>
    <col min="46" max="46" width="13.85546875" bestFit="1" customWidth="1"/>
    <col min="47" max="48" width="13.42578125" bestFit="1" customWidth="1"/>
    <col min="49" max="49" width="21.85546875" bestFit="1" customWidth="1"/>
    <col min="50" max="50" width="18" bestFit="1" customWidth="1"/>
    <col min="51" max="51" width="25" bestFit="1" customWidth="1"/>
    <col min="52" max="52" width="38" bestFit="1" customWidth="1"/>
  </cols>
  <sheetData>
    <row r="1" spans="1:30" x14ac:dyDescent="0.25">
      <c r="A1" t="s">
        <v>385</v>
      </c>
      <c r="B1" t="s">
        <v>91</v>
      </c>
      <c r="C1" t="s">
        <v>13</v>
      </c>
      <c r="D1" t="s">
        <v>14</v>
      </c>
      <c r="E1" t="s">
        <v>15</v>
      </c>
      <c r="F1" t="s">
        <v>16</v>
      </c>
      <c r="G1" t="s">
        <v>34</v>
      </c>
      <c r="H1" t="s">
        <v>39</v>
      </c>
      <c r="I1" t="s">
        <v>38</v>
      </c>
      <c r="J1" t="s">
        <v>386</v>
      </c>
      <c r="K1" t="s">
        <v>45</v>
      </c>
      <c r="L1" t="s">
        <v>90</v>
      </c>
      <c r="M1" t="s">
        <v>409</v>
      </c>
      <c r="N1" t="s">
        <v>410</v>
      </c>
      <c r="O1" t="s">
        <v>411</v>
      </c>
      <c r="P1" t="s">
        <v>31</v>
      </c>
      <c r="Q1" t="s">
        <v>32</v>
      </c>
      <c r="R1" t="s">
        <v>29</v>
      </c>
      <c r="S1" t="s">
        <v>35</v>
      </c>
      <c r="T1" t="s">
        <v>36</v>
      </c>
      <c r="U1" t="s">
        <v>41</v>
      </c>
      <c r="V1" t="s">
        <v>74</v>
      </c>
      <c r="W1" t="s">
        <v>86</v>
      </c>
      <c r="X1" t="s">
        <v>143</v>
      </c>
      <c r="Y1" t="s">
        <v>44</v>
      </c>
      <c r="Z1" t="s">
        <v>378</v>
      </c>
      <c r="AA1" t="s">
        <v>30</v>
      </c>
      <c r="AB1" t="s">
        <v>388</v>
      </c>
      <c r="AC1" t="s">
        <v>400</v>
      </c>
      <c r="AD1" t="s">
        <v>28</v>
      </c>
    </row>
    <row r="2" spans="1:30" x14ac:dyDescent="0.25">
      <c r="A2">
        <v>1</v>
      </c>
      <c r="B2" t="s">
        <v>92</v>
      </c>
      <c r="C2" t="s">
        <v>17</v>
      </c>
      <c r="D2" t="s">
        <v>20</v>
      </c>
      <c r="E2">
        <v>908380</v>
      </c>
      <c r="F2" t="s">
        <v>85</v>
      </c>
      <c r="G2" s="40">
        <v>46261</v>
      </c>
      <c r="H2" s="40">
        <v>45920</v>
      </c>
      <c r="I2" t="s">
        <v>106</v>
      </c>
      <c r="J2">
        <v>1</v>
      </c>
      <c r="L2" t="s">
        <v>93</v>
      </c>
      <c r="M2" s="40">
        <v>46317</v>
      </c>
      <c r="O2">
        <v>0</v>
      </c>
      <c r="P2" t="str">
        <f>" FY"&amp;RIGHT(IF(MONTH(Opportunities[[#This Row],[Close]])&gt;=7,YEAR(Opportunities[[#This Row],[Close]])+1,YEAR(Opportunities[[#This Row],[Close]])),2)&amp;"-Q"&amp;IF(MONTH(Opportunities[[#This Row],[Close]])&gt;=7,CEILING((MONTH(Opportunities[[#This Row],[Close]])-6)/3,1),CEILING((MONTH(Opportunities[[#This Row],[Close]])+6)/3,1))</f>
        <v xml:space="preserve"> FY27-Q1</v>
      </c>
      <c r="Q2" t="str">
        <f>"CY"&amp;RIGHT(YEAR(Opportunities[[#This Row],[Close]]),2)&amp;"-Q"&amp;ROUNDUP(MONTH(Opportunities[[#This Row],[Close]])/3, 0)</f>
        <v>CY26-Q3</v>
      </c>
      <c r="R2" t="str">
        <f>siteUrl&amp;"/Lists/"&amp;oppList&amp;"/DispForm.aspx?ID="&amp;Opportunities[[#This Row],[ID]]</f>
        <v>https://cleansheet5.sharepoint.com/sites/SalesFunnel//Lists/citizenOpportunities/DispForm.aspx?ID=1</v>
      </c>
      <c r="S2">
        <f>_xlfn.XLOOKUP(Opportunities[[#This Row],[Stage]],stage[Stage Name],stage[Index],"")</f>
        <v>1</v>
      </c>
      <c r="T2" t="str">
        <f>_xlfn.XLOOKUP(Opportunities[[#This Row],[StageNumber]],stage[Index],stage[Display])</f>
        <v>➀ - Lead Qualification</v>
      </c>
      <c r="U2">
        <f>Opportunities[[#This Row],[Amount]]*_xlfn.XLOOKUP(Opportunities[[#This Row],[Probability]],prob[Win Probability],prob[Value])</f>
        <v>181676</v>
      </c>
      <c r="V2" t="str" cm="1">
        <f t="array" ref="V2">_xlfn.SWITCH(Opportunities[[#This Row],[Status]],"At Risk","⚠","Active","✓","⮾")</f>
        <v>⚠</v>
      </c>
      <c r="W2" t="str">
        <f>_xlfn.XLOOKUP(Opportunities[[#This Row],[CustomerId]],Customers[Id],Customers[Customer Name])</f>
        <v>ACME Corporation</v>
      </c>
      <c r="X2" t="str">
        <f>_xlfn.XLOOKUP(Opportunities[[#This Row],[CustomerId]],Customers[Id],Customers[url2])</f>
        <v>https://cleansheet5.sharepoint.com/sites/SalesFunnel//Lists/citizenCustomers/DispForm.aspx?ID=1</v>
      </c>
      <c r="Y2">
        <f>_xlfn.XLOOKUP(Opportunities[[#This Row],[ID]],View[ID],View[Visible])</f>
        <v>1</v>
      </c>
      <c r="Z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(ERP Implementation Project)
 $0.9m • Lead Qualification • Owner: John Manager</v>
      </c>
      <c r="AA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 t="str" cm="1">
        <f t="array" ref="AC2">_xlfn.SWITCH(Opportunities[[#This Row],[Probability]],"High","↖","Medium","←","Low","↙")&amp;" " &amp;Opportunities[[#This Row],[Probability]]</f>
        <v>↙ Low</v>
      </c>
      <c r="AD2" t="b">
        <f>Opportunities[[#This Row],[WinProbDisplay]]="↖ High"</f>
        <v>0</v>
      </c>
    </row>
    <row r="3" spans="1:30" x14ac:dyDescent="0.25">
      <c r="A3">
        <v>2</v>
      </c>
      <c r="B3" t="s">
        <v>95</v>
      </c>
      <c r="C3" t="s">
        <v>17</v>
      </c>
      <c r="D3" t="s">
        <v>20</v>
      </c>
      <c r="E3">
        <v>1096559</v>
      </c>
      <c r="F3" t="s">
        <v>84</v>
      </c>
      <c r="G3" s="40">
        <v>46122</v>
      </c>
      <c r="H3" s="40">
        <v>45930</v>
      </c>
      <c r="I3" t="s">
        <v>152</v>
      </c>
      <c r="J3">
        <v>12</v>
      </c>
      <c r="L3" t="s">
        <v>146</v>
      </c>
      <c r="M3" s="40">
        <v>46200</v>
      </c>
      <c r="O3">
        <v>0</v>
      </c>
      <c r="P3" t="str">
        <f>" FY"&amp;RIGHT(IF(MONTH(Opportunities[[#This Row],[Close]])&gt;=7,YEAR(Opportunities[[#This Row],[Close]])+1,YEAR(Opportunities[[#This Row],[Close]])),2)&amp;"-Q"&amp;IF(MONTH(Opportunities[[#This Row],[Close]])&gt;=7,CEILING((MONTH(Opportunities[[#This Row],[Close]])-6)/3,1),CEILING((MONTH(Opportunities[[#This Row],[Close]])+6)/3,1))</f>
        <v xml:space="preserve"> FY26-Q4</v>
      </c>
      <c r="Q3" t="str">
        <f>"CY"&amp;RIGHT(YEAR(Opportunities[[#This Row],[Close]]),2)&amp;"-Q"&amp;ROUNDUP(MONTH(Opportunities[[#This Row],[Close]])/3, 0)</f>
        <v>CY26-Q2</v>
      </c>
      <c r="R3" t="str">
        <f>siteUrl&amp;"/Lists/"&amp;oppList&amp;"/DispForm.aspx?ID="&amp;Opportunities[[#This Row],[ID]]</f>
        <v>https://cleansheet5.sharepoint.com/sites/SalesFunnel//Lists/citizenOpportunities/DispForm.aspx?ID=2</v>
      </c>
      <c r="S3">
        <f>_xlfn.XLOOKUP(Opportunities[[#This Row],[Stage]],stage[Stage Name],stage[Index],"")</f>
        <v>1</v>
      </c>
      <c r="T3" t="str">
        <f>_xlfn.XLOOKUP(Opportunities[[#This Row],[StageNumber]],stage[Index],stage[Display])</f>
        <v>➀ - Lead Qualification</v>
      </c>
      <c r="U3">
        <f>Opportunities[[#This Row],[Amount]]*_xlfn.XLOOKUP(Opportunities[[#This Row],[Probability]],prob[Win Probability],prob[Value])</f>
        <v>986903.1</v>
      </c>
      <c r="V3" t="str" cm="1">
        <f t="array" ref="V3">_xlfn.SWITCH(Opportunities[[#This Row],[Status]],"At Risk","⚠","Active","✓","⮾")</f>
        <v>⚠</v>
      </c>
      <c r="W3" t="str">
        <f>_xlfn.XLOOKUP(Opportunities[[#This Row],[CustomerId]],Customers[Id],Customers[Customer Name])</f>
        <v>Food Service Partners</v>
      </c>
      <c r="X3" t="str">
        <f>_xlfn.XLOOKUP(Opportunities[[#This Row],[CustomerId]],Customers[Id],Customers[url2])</f>
        <v>https://cleansheet5.sharepoint.com/sites/SalesFunnel//Lists/citizenCustomers/DispForm.aspx?ID=12</v>
      </c>
      <c r="Y3">
        <f>_xlfn.XLOOKUP(Opportunities[[#This Row],[ID]],View[ID],View[Visible])</f>
        <v>1</v>
      </c>
      <c r="Z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(Cloud Migration Initiative)
 $1.1m • Lead Qualification • Owner: Jennifer PM</v>
      </c>
      <c r="AA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 t="str" cm="1">
        <f t="array" ref="AC3">_xlfn.SWITCH(Opportunities[[#This Row],[Probability]],"High","↖","Medium","←","Low","↙")&amp;" " &amp;Opportunities[[#This Row],[Probability]]</f>
        <v>↖ High</v>
      </c>
      <c r="AD3" t="b">
        <f>Opportunities[[#This Row],[WinProbDisplay]]="↖ High"</f>
        <v>1</v>
      </c>
    </row>
    <row r="4" spans="1:30" x14ac:dyDescent="0.25">
      <c r="A4">
        <v>3</v>
      </c>
      <c r="B4" t="s">
        <v>98</v>
      </c>
      <c r="C4" t="s">
        <v>17</v>
      </c>
      <c r="D4" t="s">
        <v>23</v>
      </c>
      <c r="E4">
        <v>1433298</v>
      </c>
      <c r="F4" t="s">
        <v>85</v>
      </c>
      <c r="G4" s="40">
        <v>46171</v>
      </c>
      <c r="H4" s="40">
        <v>45929</v>
      </c>
      <c r="I4" t="s">
        <v>103</v>
      </c>
      <c r="J4">
        <v>28</v>
      </c>
      <c r="L4" t="s">
        <v>102</v>
      </c>
      <c r="M4" s="40">
        <v>46234</v>
      </c>
      <c r="O4">
        <v>0</v>
      </c>
      <c r="P4" t="str">
        <f>" FY"&amp;RIGHT(IF(MONTH(Opportunities[[#This Row],[Close]])&gt;=7,YEAR(Opportunities[[#This Row],[Close]])+1,YEAR(Opportunities[[#This Row],[Close]])),2)&amp;"-Q"&amp;IF(MONTH(Opportunities[[#This Row],[Close]])&gt;=7,CEILING((MONTH(Opportunities[[#This Row],[Close]])-6)/3,1),CEILING((MONTH(Opportunities[[#This Row],[Close]])+6)/3,1))</f>
        <v xml:space="preserve"> FY26-Q4</v>
      </c>
      <c r="Q4" t="str">
        <f>"CY"&amp;RIGHT(YEAR(Opportunities[[#This Row],[Close]]),2)&amp;"-Q"&amp;ROUNDUP(MONTH(Opportunities[[#This Row],[Close]])/3, 0)</f>
        <v>CY26-Q2</v>
      </c>
      <c r="R4" t="str">
        <f>siteUrl&amp;"/Lists/"&amp;oppList&amp;"/DispForm.aspx?ID="&amp;Opportunities[[#This Row],[ID]]</f>
        <v>https://cleansheet5.sharepoint.com/sites/SalesFunnel//Lists/citizenOpportunities/DispForm.aspx?ID=3</v>
      </c>
      <c r="S4">
        <f>_xlfn.XLOOKUP(Opportunities[[#This Row],[Stage]],stage[Stage Name],stage[Index],"")</f>
        <v>2</v>
      </c>
      <c r="T4" t="str">
        <f>_xlfn.XLOOKUP(Opportunities[[#This Row],[StageNumber]],stage[Index],stage[Display])</f>
        <v>➁ - Nurturing</v>
      </c>
      <c r="U4">
        <f>Opportunities[[#This Row],[Amount]]*_xlfn.XLOOKUP(Opportunities[[#This Row],[Probability]],prob[Win Probability],prob[Value])</f>
        <v>286659.60000000003</v>
      </c>
      <c r="V4" t="str" cm="1">
        <f t="array" ref="V4">_xlfn.SWITCH(Opportunities[[#This Row],[Status]],"At Risk","⚠","Active","✓","⮾")</f>
        <v>⚠</v>
      </c>
      <c r="W4" t="str">
        <f>_xlfn.XLOOKUP(Opportunities[[#This Row],[CustomerId]],Customers[Id],Customers[Customer Name])</f>
        <v>Telecommunications Inc</v>
      </c>
      <c r="X4" t="str">
        <f>_xlfn.XLOOKUP(Opportunities[[#This Row],[CustomerId]],Customers[Id],Customers[url2])</f>
        <v>https://cleansheet5.sharepoint.com/sites/SalesFunnel//Lists/citizenCustomers/DispForm.aspx?ID=28</v>
      </c>
      <c r="Y4">
        <f>_xlfn.XLOOKUP(Opportunities[[#This Row],[ID]],View[ID],View[Visible])</f>
        <v>1</v>
      </c>
      <c r="Z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(Security Assessment &amp; Audit)
 $1.4m • Nurturing • Owner: Lisa Engineer</v>
      </c>
      <c r="AA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 t="str" cm="1">
        <f t="array" ref="AC4">_xlfn.SWITCH(Opportunities[[#This Row],[Probability]],"High","↖","Medium","←","Low","↙")&amp;" " &amp;Opportunities[[#This Row],[Probability]]</f>
        <v>↙ Low</v>
      </c>
      <c r="AD4" t="b">
        <f>Opportunities[[#This Row],[WinProbDisplay]]="↖ High"</f>
        <v>0</v>
      </c>
    </row>
    <row r="5" spans="1:30" x14ac:dyDescent="0.25">
      <c r="A5">
        <v>4</v>
      </c>
      <c r="B5" t="s">
        <v>101</v>
      </c>
      <c r="C5" t="s">
        <v>19</v>
      </c>
      <c r="D5" t="s">
        <v>22</v>
      </c>
      <c r="E5">
        <v>649701</v>
      </c>
      <c r="F5" t="s">
        <v>85</v>
      </c>
      <c r="G5" s="40">
        <v>46197</v>
      </c>
      <c r="H5" s="40">
        <v>45893</v>
      </c>
      <c r="I5" t="s">
        <v>154</v>
      </c>
      <c r="J5">
        <v>24</v>
      </c>
      <c r="L5" t="s">
        <v>158</v>
      </c>
      <c r="M5" s="40">
        <v>46284</v>
      </c>
      <c r="O5">
        <v>0</v>
      </c>
      <c r="P5" t="str">
        <f>" FY"&amp;RIGHT(IF(MONTH(Opportunities[[#This Row],[Close]])&gt;=7,YEAR(Opportunities[[#This Row],[Close]])+1,YEAR(Opportunities[[#This Row],[Close]])),2)&amp;"-Q"&amp;IF(MONTH(Opportunities[[#This Row],[Close]])&gt;=7,CEILING((MONTH(Opportunities[[#This Row],[Close]])-6)/3,1),CEILING((MONTH(Opportunities[[#This Row],[Close]])+6)/3,1))</f>
        <v xml:space="preserve"> FY26-Q4</v>
      </c>
      <c r="Q5" t="str">
        <f>"CY"&amp;RIGHT(YEAR(Opportunities[[#This Row],[Close]]),2)&amp;"-Q"&amp;ROUNDUP(MONTH(Opportunities[[#This Row],[Close]])/3, 0)</f>
        <v>CY26-Q2</v>
      </c>
      <c r="R5" t="str">
        <f>siteUrl&amp;"/Lists/"&amp;oppList&amp;"/DispForm.aspx?ID="&amp;Opportunities[[#This Row],[ID]]</f>
        <v>https://cleansheet5.sharepoint.com/sites/SalesFunnel//Lists/citizenOpportunities/DispForm.aspx?ID=4</v>
      </c>
      <c r="S5">
        <f>_xlfn.XLOOKUP(Opportunities[[#This Row],[Stage]],stage[Stage Name],stage[Index],"")</f>
        <v>3</v>
      </c>
      <c r="T5" t="str">
        <f>_xlfn.XLOOKUP(Opportunities[[#This Row],[StageNumber]],stage[Index],stage[Display])</f>
        <v>➂ - Proposal</v>
      </c>
      <c r="U5">
        <f>Opportunities[[#This Row],[Amount]]*_xlfn.XLOOKUP(Opportunities[[#This Row],[Probability]],prob[Win Probability],prob[Value])</f>
        <v>129940.20000000001</v>
      </c>
      <c r="V5" t="str" cm="1">
        <f t="array" ref="V5">_xlfn.SWITCH(Opportunities[[#This Row],[Status]],"At Risk","⚠","Active","✓","⮾")</f>
        <v>✓</v>
      </c>
      <c r="W5" t="str">
        <f>_xlfn.XLOOKUP(Opportunities[[#This Row],[CustomerId]],Customers[Id],Customers[Customer Name])</f>
        <v>Security Solutions</v>
      </c>
      <c r="X5" t="str">
        <f>_xlfn.XLOOKUP(Opportunities[[#This Row],[CustomerId]],Customers[Id],Customers[url2])</f>
        <v>https://cleansheet5.sharepoint.com/sites/SalesFunnel//Lists/citizenCustomers/DispForm.aspx?ID=24</v>
      </c>
      <c r="Y5">
        <f>_xlfn.XLOOKUP(Opportunities[[#This Row],[ID]],View[ID],View[Visible])</f>
        <v>1</v>
      </c>
      <c r="Z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(Manufacturing Automation System)
 $0.6m • Proposal • Owner: Robert Analyst</v>
      </c>
      <c r="AA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5" t="str" cm="1">
        <f t="array" ref="AC5">_xlfn.SWITCH(Opportunities[[#This Row],[Probability]],"High","↖","Medium","←","Low","↙")&amp;" " &amp;Opportunities[[#This Row],[Probability]]</f>
        <v>↙ Low</v>
      </c>
      <c r="AD5" t="b">
        <f>Opportunities[[#This Row],[WinProbDisplay]]="↖ High"</f>
        <v>0</v>
      </c>
    </row>
    <row r="6" spans="1:30" x14ac:dyDescent="0.25">
      <c r="A6">
        <v>5</v>
      </c>
      <c r="B6" t="s">
        <v>104</v>
      </c>
      <c r="C6" t="s">
        <v>19</v>
      </c>
      <c r="D6" t="s">
        <v>21</v>
      </c>
      <c r="E6">
        <v>1191206</v>
      </c>
      <c r="F6" t="s">
        <v>85</v>
      </c>
      <c r="G6" s="40">
        <v>46042</v>
      </c>
      <c r="H6" s="40">
        <v>45889</v>
      </c>
      <c r="I6" t="s">
        <v>149</v>
      </c>
      <c r="J6">
        <v>2</v>
      </c>
      <c r="L6" t="s">
        <v>102</v>
      </c>
      <c r="M6" s="40">
        <v>46091</v>
      </c>
      <c r="O6">
        <v>0</v>
      </c>
      <c r="P6" t="str">
        <f>" FY"&amp;RIGHT(IF(MONTH(Opportunities[[#This Row],[Close]])&gt;=7,YEAR(Opportunities[[#This Row],[Close]])+1,YEAR(Opportunities[[#This Row],[Close]])),2)&amp;"-Q"&amp;IF(MONTH(Opportunities[[#This Row],[Close]])&gt;=7,CEILING((MONTH(Opportunities[[#This Row],[Close]])-6)/3,1),CEILING((MONTH(Opportunities[[#This Row],[Close]])+6)/3,1))</f>
        <v xml:space="preserve"> FY26-Q3</v>
      </c>
      <c r="Q6" t="str">
        <f>"CY"&amp;RIGHT(YEAR(Opportunities[[#This Row],[Close]]),2)&amp;"-Q"&amp;ROUNDUP(MONTH(Opportunities[[#This Row],[Close]])/3, 0)</f>
        <v>CY26-Q1</v>
      </c>
      <c r="R6" t="str">
        <f>siteUrl&amp;"/Lists/"&amp;oppList&amp;"/DispForm.aspx?ID="&amp;Opportunities[[#This Row],[ID]]</f>
        <v>https://cleansheet5.sharepoint.com/sites/SalesFunnel//Lists/citizenOpportunities/DispForm.aspx?ID=5</v>
      </c>
      <c r="S6">
        <f>_xlfn.XLOOKUP(Opportunities[[#This Row],[Stage]],stage[Stage Name],stage[Index],"")</f>
        <v>5</v>
      </c>
      <c r="T6" t="str">
        <f>_xlfn.XLOOKUP(Opportunities[[#This Row],[StageNumber]],stage[Index],stage[Display])</f>
        <v>➄ - Project Execution</v>
      </c>
      <c r="U6">
        <f>Opportunities[[#This Row],[Amount]]*_xlfn.XLOOKUP(Opportunities[[#This Row],[Probability]],prob[Win Probability],prob[Value])</f>
        <v>238241.2</v>
      </c>
      <c r="V6" t="str" cm="1">
        <f t="array" ref="V6">_xlfn.SWITCH(Opportunities[[#This Row],[Status]],"At Risk","⚠","Active","✓","⮾")</f>
        <v>✓</v>
      </c>
      <c r="W6" t="str">
        <f>_xlfn.XLOOKUP(Opportunities[[#This Row],[CustomerId]],Customers[Id],Customers[Customer Name])</f>
        <v>Global Industries</v>
      </c>
      <c r="X6" t="str">
        <f>_xlfn.XLOOKUP(Opportunities[[#This Row],[CustomerId]],Customers[Id],Customers[url2])</f>
        <v>https://cleansheet5.sharepoint.com/sites/SalesFunnel//Lists/citizenCustomers/DispForm.aspx?ID=2</v>
      </c>
      <c r="Y6">
        <f>_xlfn.XLOOKUP(Opportunities[[#This Row],[ID]],View[ID],View[Visible])</f>
        <v>1</v>
      </c>
      <c r="Z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(Healthcare Data Analytics Platform)
 $1.2m • Project Execution • Owner: Lisa Engineer</v>
      </c>
      <c r="AA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6" t="str" cm="1">
        <f t="array" ref="AC6">_xlfn.SWITCH(Opportunities[[#This Row],[Probability]],"High","↖","Medium","←","Low","↙")&amp;" " &amp;Opportunities[[#This Row],[Probability]]</f>
        <v>↙ Low</v>
      </c>
      <c r="AD6" t="b">
        <f>Opportunities[[#This Row],[WinProbDisplay]]="↖ High"</f>
        <v>0</v>
      </c>
    </row>
    <row r="7" spans="1:30" x14ac:dyDescent="0.25">
      <c r="A7">
        <v>6</v>
      </c>
      <c r="B7" t="s">
        <v>148</v>
      </c>
      <c r="C7" t="s">
        <v>19</v>
      </c>
      <c r="D7" t="s">
        <v>18</v>
      </c>
      <c r="E7">
        <v>990593</v>
      </c>
      <c r="F7" t="s">
        <v>85</v>
      </c>
      <c r="G7" s="40">
        <v>45943</v>
      </c>
      <c r="H7" s="40">
        <v>45908</v>
      </c>
      <c r="I7" t="s">
        <v>94</v>
      </c>
      <c r="J7">
        <v>1</v>
      </c>
      <c r="L7" t="s">
        <v>93</v>
      </c>
      <c r="M7" s="40">
        <v>46012</v>
      </c>
      <c r="O7">
        <v>0</v>
      </c>
      <c r="P7" t="str">
        <f>" FY"&amp;RIGHT(IF(MONTH(Opportunities[[#This Row],[Close]])&gt;=7,YEAR(Opportunities[[#This Row],[Close]])+1,YEAR(Opportunities[[#This Row],[Close]])),2)&amp;"-Q"&amp;IF(MONTH(Opportunities[[#This Row],[Close]])&gt;=7,CEILING((MONTH(Opportunities[[#This Row],[Close]])-6)/3,1),CEILING((MONTH(Opportunities[[#This Row],[Close]])+6)/3,1))</f>
        <v xml:space="preserve"> FY26-Q2</v>
      </c>
      <c r="Q7" t="str">
        <f>"CY"&amp;RIGHT(YEAR(Opportunities[[#This Row],[Close]]),2)&amp;"-Q"&amp;ROUNDUP(MONTH(Opportunities[[#This Row],[Close]])/3, 0)</f>
        <v>CY25-Q4</v>
      </c>
      <c r="R7" t="str">
        <f>siteUrl&amp;"/Lists/"&amp;oppList&amp;"/DispForm.aspx?ID="&amp;Opportunities[[#This Row],[ID]]</f>
        <v>https://cleansheet5.sharepoint.com/sites/SalesFunnel//Lists/citizenOpportunities/DispForm.aspx?ID=6</v>
      </c>
      <c r="S7">
        <f>_xlfn.XLOOKUP(Opportunities[[#This Row],[Stage]],stage[Stage Name],stage[Index],"")</f>
        <v>4</v>
      </c>
      <c r="T7" t="str">
        <f>_xlfn.XLOOKUP(Opportunities[[#This Row],[StageNumber]],stage[Index],stage[Display])</f>
        <v>➃ - Negotiation</v>
      </c>
      <c r="U7">
        <f>Opportunities[[#This Row],[Amount]]*_xlfn.XLOOKUP(Opportunities[[#This Row],[Probability]],prob[Win Probability],prob[Value])</f>
        <v>198118.6</v>
      </c>
      <c r="V7" t="str" cm="1">
        <f t="array" ref="V7">_xlfn.SWITCH(Opportunities[[#This Row],[Status]],"At Risk","⚠","Active","✓","⮾")</f>
        <v>✓</v>
      </c>
      <c r="W7" t="str">
        <f>_xlfn.XLOOKUP(Opportunities[[#This Row],[CustomerId]],Customers[Id],Customers[Customer Name])</f>
        <v>ACME Corporation</v>
      </c>
      <c r="X7" t="str">
        <f>_xlfn.XLOOKUP(Opportunities[[#This Row],[CustomerId]],Customers[Id],Customers[url2])</f>
        <v>https://cleansheet5.sharepoint.com/sites/SalesFunnel//Lists/citizenCustomers/DispForm.aspx?ID=1</v>
      </c>
      <c r="Y7">
        <f>_xlfn.XLOOKUP(Opportunities[[#This Row],[ID]],View[ID],View[Visible])</f>
        <v>1</v>
      </c>
      <c r="Z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(Digital Transformation Project)
 $1.0m • Negotiation • Owner: John Manager</v>
      </c>
      <c r="AA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7" t="str" cm="1">
        <f t="array" ref="AC7">_xlfn.SWITCH(Opportunities[[#This Row],[Probability]],"High","↖","Medium","←","Low","↙")&amp;" " &amp;Opportunities[[#This Row],[Probability]]</f>
        <v>↙ Low</v>
      </c>
      <c r="AD7" t="b">
        <f>Opportunities[[#This Row],[WinProbDisplay]]="↖ High"</f>
        <v>0</v>
      </c>
    </row>
    <row r="8" spans="1:30" x14ac:dyDescent="0.25">
      <c r="A8">
        <v>7</v>
      </c>
      <c r="B8" t="s">
        <v>150</v>
      </c>
      <c r="C8" t="s">
        <v>19</v>
      </c>
      <c r="D8" t="s">
        <v>22</v>
      </c>
      <c r="E8">
        <v>1166392</v>
      </c>
      <c r="F8" t="s">
        <v>83</v>
      </c>
      <c r="G8" s="40">
        <v>46055</v>
      </c>
      <c r="H8" s="40">
        <v>45919</v>
      </c>
      <c r="I8" t="s">
        <v>154</v>
      </c>
      <c r="J8">
        <v>15</v>
      </c>
      <c r="L8" t="s">
        <v>158</v>
      </c>
      <c r="M8" s="40">
        <v>46069</v>
      </c>
      <c r="O8">
        <v>0</v>
      </c>
      <c r="P8" t="str">
        <f>" FY"&amp;RIGHT(IF(MONTH(Opportunities[[#This Row],[Close]])&gt;=7,YEAR(Opportunities[[#This Row],[Close]])+1,YEAR(Opportunities[[#This Row],[Close]])),2)&amp;"-Q"&amp;IF(MONTH(Opportunities[[#This Row],[Close]])&gt;=7,CEILING((MONTH(Opportunities[[#This Row],[Close]])-6)/3,1),CEILING((MONTH(Opportunities[[#This Row],[Close]])+6)/3,1))</f>
        <v xml:space="preserve"> FY26-Q3</v>
      </c>
      <c r="Q8" t="str">
        <f>"CY"&amp;RIGHT(YEAR(Opportunities[[#This Row],[Close]]),2)&amp;"-Q"&amp;ROUNDUP(MONTH(Opportunities[[#This Row],[Close]])/3, 0)</f>
        <v>CY26-Q1</v>
      </c>
      <c r="R8" t="str">
        <f>siteUrl&amp;"/Lists/"&amp;oppList&amp;"/DispForm.aspx?ID="&amp;Opportunities[[#This Row],[ID]]</f>
        <v>https://cleansheet5.sharepoint.com/sites/SalesFunnel//Lists/citizenOpportunities/DispForm.aspx?ID=7</v>
      </c>
      <c r="S8">
        <f>_xlfn.XLOOKUP(Opportunities[[#This Row],[Stage]],stage[Stage Name],stage[Index],"")</f>
        <v>3</v>
      </c>
      <c r="T8" t="str">
        <f>_xlfn.XLOOKUP(Opportunities[[#This Row],[StageNumber]],stage[Index],stage[Display])</f>
        <v>➂ - Proposal</v>
      </c>
      <c r="U8">
        <f>Opportunities[[#This Row],[Amount]]*_xlfn.XLOOKUP(Opportunities[[#This Row],[Probability]],prob[Win Probability],prob[Value])</f>
        <v>466556.80000000005</v>
      </c>
      <c r="V8" t="str" cm="1">
        <f t="array" ref="V8">_xlfn.SWITCH(Opportunities[[#This Row],[Status]],"At Risk","⚠","Active","✓","⮾")</f>
        <v>✓</v>
      </c>
      <c r="W8" t="str">
        <f>_xlfn.XLOOKUP(Opportunities[[#This Row],[CustomerId]],Customers[Id],Customers[Customer Name])</f>
        <v>Pharmaceutical Research</v>
      </c>
      <c r="X8" t="str">
        <f>_xlfn.XLOOKUP(Opportunities[[#This Row],[CustomerId]],Customers[Id],Customers[url2])</f>
        <v>https://cleansheet5.sharepoint.com/sites/SalesFunnel//Lists/citizenCustomers/DispForm.aspx?ID=15</v>
      </c>
      <c r="Y8">
        <f>_xlfn.XLOOKUP(Opportunities[[#This Row],[ID]],View[ID],View[Visible])</f>
        <v>1</v>
      </c>
      <c r="Z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(Network Infrastructure Upgrade)
 $1.2m • Proposal • Owner: Robert Analyst</v>
      </c>
      <c r="AA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8" t="str" cm="1">
        <f t="array" ref="AC8">_xlfn.SWITCH(Opportunities[[#This Row],[Probability]],"High","↖","Medium","←","Low","↙")&amp;" " &amp;Opportunities[[#This Row],[Probability]]</f>
        <v>← Medium</v>
      </c>
      <c r="AD8" t="b">
        <f>Opportunities[[#This Row],[WinProbDisplay]]="↖ High"</f>
        <v>0</v>
      </c>
    </row>
    <row r="9" spans="1:30" x14ac:dyDescent="0.25">
      <c r="A9">
        <v>8</v>
      </c>
      <c r="B9" t="s">
        <v>153</v>
      </c>
      <c r="C9" t="s">
        <v>19</v>
      </c>
      <c r="D9" t="s">
        <v>24</v>
      </c>
      <c r="E9">
        <v>666331</v>
      </c>
      <c r="F9" t="s">
        <v>83</v>
      </c>
      <c r="G9" s="40">
        <v>46036</v>
      </c>
      <c r="H9" s="40">
        <v>45917</v>
      </c>
      <c r="I9" t="s">
        <v>94</v>
      </c>
      <c r="J9">
        <v>16</v>
      </c>
      <c r="L9" t="s">
        <v>158</v>
      </c>
      <c r="M9" s="40">
        <v>46123</v>
      </c>
      <c r="O9">
        <v>0</v>
      </c>
      <c r="P9" t="str">
        <f>" FY"&amp;RIGHT(IF(MONTH(Opportunities[[#This Row],[Close]])&gt;=7,YEAR(Opportunities[[#This Row],[Close]])+1,YEAR(Opportunities[[#This Row],[Close]])),2)&amp;"-Q"&amp;IF(MONTH(Opportunities[[#This Row],[Close]])&gt;=7,CEILING((MONTH(Opportunities[[#This Row],[Close]])-6)/3,1),CEILING((MONTH(Opportunities[[#This Row],[Close]])+6)/3,1))</f>
        <v xml:space="preserve"> FY26-Q3</v>
      </c>
      <c r="Q9" t="str">
        <f>"CY"&amp;RIGHT(YEAR(Opportunities[[#This Row],[Close]]),2)&amp;"-Q"&amp;ROUNDUP(MONTH(Opportunities[[#This Row],[Close]])/3, 0)</f>
        <v>CY26-Q1</v>
      </c>
      <c r="R9" t="str">
        <f>siteUrl&amp;"/Lists/"&amp;oppList&amp;"/DispForm.aspx?ID="&amp;Opportunities[[#This Row],[ID]]</f>
        <v>https://cleansheet5.sharepoint.com/sites/SalesFunnel//Lists/citizenOpportunities/DispForm.aspx?ID=8</v>
      </c>
      <c r="S9">
        <f>_xlfn.XLOOKUP(Opportunities[[#This Row],[Stage]],stage[Stage Name],stage[Index],"")</f>
        <v>6</v>
      </c>
      <c r="T9" t="str">
        <f>_xlfn.XLOOKUP(Opportunities[[#This Row],[StageNumber]],stage[Index],stage[Display])</f>
        <v>➅ - Closeout</v>
      </c>
      <c r="U9">
        <f>Opportunities[[#This Row],[Amount]]*_xlfn.XLOOKUP(Opportunities[[#This Row],[Probability]],prob[Win Probability],prob[Value])</f>
        <v>266532.40000000002</v>
      </c>
      <c r="V9" t="str" cm="1">
        <f t="array" ref="V9">_xlfn.SWITCH(Opportunities[[#This Row],[Status]],"At Risk","⚠","Active","✓","⮾")</f>
        <v>✓</v>
      </c>
      <c r="W9" t="str">
        <f>_xlfn.XLOOKUP(Opportunities[[#This Row],[CustomerId]],Customers[Id],Customers[Customer Name])</f>
        <v>Real Estate Ventures</v>
      </c>
      <c r="X9" t="str">
        <f>_xlfn.XLOOKUP(Opportunities[[#This Row],[CustomerId]],Customers[Id],Customers[url2])</f>
        <v>https://cleansheet5.sharepoint.com/sites/SalesFunnel//Lists/citizenCustomers/DispForm.aspx?ID=16</v>
      </c>
      <c r="Y9">
        <f>_xlfn.XLOOKUP(Opportunities[[#This Row],[ID]],View[ID],View[Visible])</f>
        <v>1</v>
      </c>
      <c r="Z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(Business Intelligence Solution)
 $0.7m • Closeout • Owner: Robert Analyst</v>
      </c>
      <c r="AA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9" t="str" cm="1">
        <f t="array" ref="AC9">_xlfn.SWITCH(Opportunities[[#This Row],[Probability]],"High","↖","Medium","←","Low","↙")&amp;" " &amp;Opportunities[[#This Row],[Probability]]</f>
        <v>← Medium</v>
      </c>
      <c r="AD9" t="b">
        <f>Opportunities[[#This Row],[WinProbDisplay]]="↖ High"</f>
        <v>0</v>
      </c>
    </row>
    <row r="10" spans="1:30" x14ac:dyDescent="0.25">
      <c r="A10">
        <v>9</v>
      </c>
      <c r="B10" t="s">
        <v>155</v>
      </c>
      <c r="C10" t="s">
        <v>17</v>
      </c>
      <c r="D10" t="s">
        <v>24</v>
      </c>
      <c r="E10">
        <v>1095721</v>
      </c>
      <c r="F10" t="s">
        <v>83</v>
      </c>
      <c r="G10" s="40">
        <v>46321</v>
      </c>
      <c r="H10" s="40">
        <v>45921</v>
      </c>
      <c r="I10" t="s">
        <v>94</v>
      </c>
      <c r="J10">
        <v>21</v>
      </c>
      <c r="L10" t="s">
        <v>99</v>
      </c>
      <c r="M10" s="40">
        <v>46358</v>
      </c>
      <c r="O10">
        <v>0</v>
      </c>
      <c r="P10" t="str">
        <f>" FY"&amp;RIGHT(IF(MONTH(Opportunities[[#This Row],[Close]])&gt;=7,YEAR(Opportunities[[#This Row],[Close]])+1,YEAR(Opportunities[[#This Row],[Close]])),2)&amp;"-Q"&amp;IF(MONTH(Opportunities[[#This Row],[Close]])&gt;=7,CEILING((MONTH(Opportunities[[#This Row],[Close]])-6)/3,1),CEILING((MONTH(Opportunities[[#This Row],[Close]])+6)/3,1))</f>
        <v xml:space="preserve"> FY27-Q2</v>
      </c>
      <c r="Q10" t="str">
        <f>"CY"&amp;RIGHT(YEAR(Opportunities[[#This Row],[Close]]),2)&amp;"-Q"&amp;ROUNDUP(MONTH(Opportunities[[#This Row],[Close]])/3, 0)</f>
        <v>CY26-Q4</v>
      </c>
      <c r="R10" t="str">
        <f>siteUrl&amp;"/Lists/"&amp;oppList&amp;"/DispForm.aspx?ID="&amp;Opportunities[[#This Row],[ID]]</f>
        <v>https://cleansheet5.sharepoint.com/sites/SalesFunnel//Lists/citizenOpportunities/DispForm.aspx?ID=9</v>
      </c>
      <c r="S10">
        <f>_xlfn.XLOOKUP(Opportunities[[#This Row],[Stage]],stage[Stage Name],stage[Index],"")</f>
        <v>6</v>
      </c>
      <c r="T10" t="str">
        <f>_xlfn.XLOOKUP(Opportunities[[#This Row],[StageNumber]],stage[Index],stage[Display])</f>
        <v>➅ - Closeout</v>
      </c>
      <c r="U10">
        <f>Opportunities[[#This Row],[Amount]]*_xlfn.XLOOKUP(Opportunities[[#This Row],[Probability]],prob[Win Probability],prob[Value])</f>
        <v>438288.4</v>
      </c>
      <c r="V10" t="str" cm="1">
        <f t="array" ref="V10">_xlfn.SWITCH(Opportunities[[#This Row],[Status]],"At Risk","⚠","Active","✓","⮾")</f>
        <v>⚠</v>
      </c>
      <c r="W10" t="str">
        <f>_xlfn.XLOOKUP(Opportunities[[#This Row],[CustomerId]],Customers[Id],Customers[Customer Name])</f>
        <v>Textile Manufacturing</v>
      </c>
      <c r="X10" t="str">
        <f>_xlfn.XLOOKUP(Opportunities[[#This Row],[CustomerId]],Customers[Id],Customers[url2])</f>
        <v>https://cleansheet5.sharepoint.com/sites/SalesFunnel//Lists/citizenCustomers/DispForm.aspx?ID=21</v>
      </c>
      <c r="Y10">
        <f>_xlfn.XLOOKUP(Opportunities[[#This Row],[ID]],View[ID],View[Visible])</f>
        <v>1</v>
      </c>
      <c r="Z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(Customer Portal Development)
 $1.1m • Closeout • Owner: Mike Consultant</v>
      </c>
      <c r="AA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0" t="str" cm="1">
        <f t="array" ref="AC10">_xlfn.SWITCH(Opportunities[[#This Row],[Probability]],"High","↖","Medium","←","Low","↙")&amp;" " &amp;Opportunities[[#This Row],[Probability]]</f>
        <v>← Medium</v>
      </c>
      <c r="AD10" t="b">
        <f>Opportunities[[#This Row],[WinProbDisplay]]="↖ High"</f>
        <v>0</v>
      </c>
    </row>
    <row r="11" spans="1:30" x14ac:dyDescent="0.25">
      <c r="A11">
        <v>10</v>
      </c>
      <c r="B11" t="s">
        <v>156</v>
      </c>
      <c r="C11" t="s">
        <v>19</v>
      </c>
      <c r="D11" t="s">
        <v>20</v>
      </c>
      <c r="E11">
        <v>1461926</v>
      </c>
      <c r="F11" t="s">
        <v>84</v>
      </c>
      <c r="G11" s="40">
        <v>46139</v>
      </c>
      <c r="H11" s="40">
        <v>45886</v>
      </c>
      <c r="I11" t="s">
        <v>97</v>
      </c>
      <c r="J11">
        <v>26</v>
      </c>
      <c r="L11" t="s">
        <v>151</v>
      </c>
      <c r="M11" s="40">
        <v>46148</v>
      </c>
      <c r="O11">
        <v>0</v>
      </c>
      <c r="P11" t="str">
        <f>" FY"&amp;RIGHT(IF(MONTH(Opportunities[[#This Row],[Close]])&gt;=7,YEAR(Opportunities[[#This Row],[Close]])+1,YEAR(Opportunities[[#This Row],[Close]])),2)&amp;"-Q"&amp;IF(MONTH(Opportunities[[#This Row],[Close]])&gt;=7,CEILING((MONTH(Opportunities[[#This Row],[Close]])-6)/3,1),CEILING((MONTH(Opportunities[[#This Row],[Close]])+6)/3,1))</f>
        <v xml:space="preserve"> FY26-Q4</v>
      </c>
      <c r="Q11" t="str">
        <f>"CY"&amp;RIGHT(YEAR(Opportunities[[#This Row],[Close]]),2)&amp;"-Q"&amp;ROUNDUP(MONTH(Opportunities[[#This Row],[Close]])/3, 0)</f>
        <v>CY26-Q2</v>
      </c>
      <c r="R11" t="str">
        <f>siteUrl&amp;"/Lists/"&amp;oppList&amp;"/DispForm.aspx?ID="&amp;Opportunities[[#This Row],[ID]]</f>
        <v>https://cleansheet5.sharepoint.com/sites/SalesFunnel//Lists/citizenOpportunities/DispForm.aspx?ID=10</v>
      </c>
      <c r="S11">
        <f>_xlfn.XLOOKUP(Opportunities[[#This Row],[Stage]],stage[Stage Name],stage[Index],"")</f>
        <v>1</v>
      </c>
      <c r="T11" t="str">
        <f>_xlfn.XLOOKUP(Opportunities[[#This Row],[StageNumber]],stage[Index],stage[Display])</f>
        <v>➀ - Lead Qualification</v>
      </c>
      <c r="U11">
        <f>Opportunities[[#This Row],[Amount]]*_xlfn.XLOOKUP(Opportunities[[#This Row],[Probability]],prob[Win Probability],prob[Value])</f>
        <v>1315733.4000000001</v>
      </c>
      <c r="V11" t="str" cm="1">
        <f t="array" ref="V11">_xlfn.SWITCH(Opportunities[[#This Row],[Status]],"At Risk","⚠","Active","✓","⮾")</f>
        <v>✓</v>
      </c>
      <c r="W11" t="str">
        <f>_xlfn.XLOOKUP(Opportunities[[#This Row],[CustomerId]],Customers[Id],Customers[Customer Name])</f>
        <v>Publishing House</v>
      </c>
      <c r="X11" t="str">
        <f>_xlfn.XLOOKUP(Opportunities[[#This Row],[CustomerId]],Customers[Id],Customers[url2])</f>
        <v>https://cleansheet5.sharepoint.com/sites/SalesFunnel//Lists/citizenCustomers/DispForm.aspx?ID=26</v>
      </c>
      <c r="Y11">
        <f>_xlfn.XLOOKUP(Opportunities[[#This Row],[ID]],View[ID],View[Visible])</f>
        <v>1</v>
      </c>
      <c r="Z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(Mobile Application Development)
 $1.5m • Lead Qualification • Owner: Maria Coordinator</v>
      </c>
      <c r="AA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1" t="str" cm="1">
        <f t="array" ref="AC11">_xlfn.SWITCH(Opportunities[[#This Row],[Probability]],"High","↖","Medium","←","Low","↙")&amp;" " &amp;Opportunities[[#This Row],[Probability]]</f>
        <v>↖ High</v>
      </c>
      <c r="AD11" t="b">
        <f>Opportunities[[#This Row],[WinProbDisplay]]="↖ High"</f>
        <v>1</v>
      </c>
    </row>
    <row r="12" spans="1:30" x14ac:dyDescent="0.25">
      <c r="A12">
        <v>11</v>
      </c>
      <c r="B12" t="s">
        <v>157</v>
      </c>
      <c r="C12" t="s">
        <v>19</v>
      </c>
      <c r="D12" t="s">
        <v>18</v>
      </c>
      <c r="E12">
        <v>1315150</v>
      </c>
      <c r="F12" t="s">
        <v>85</v>
      </c>
      <c r="G12" s="40">
        <v>46204</v>
      </c>
      <c r="H12" s="40">
        <v>45924</v>
      </c>
      <c r="I12" t="s">
        <v>97</v>
      </c>
      <c r="J12">
        <v>11</v>
      </c>
      <c r="L12" t="s">
        <v>394</v>
      </c>
      <c r="M12" s="40">
        <v>46224</v>
      </c>
      <c r="O12">
        <v>0</v>
      </c>
      <c r="P12" t="str">
        <f>" FY"&amp;RIGHT(IF(MONTH(Opportunities[[#This Row],[Close]])&gt;=7,YEAR(Opportunities[[#This Row],[Close]])+1,YEAR(Opportunities[[#This Row],[Close]])),2)&amp;"-Q"&amp;IF(MONTH(Opportunities[[#This Row],[Close]])&gt;=7,CEILING((MONTH(Opportunities[[#This Row],[Close]])-6)/3,1),CEILING((MONTH(Opportunities[[#This Row],[Close]])+6)/3,1))</f>
        <v xml:space="preserve"> FY27-Q1</v>
      </c>
      <c r="Q12" t="str">
        <f>"CY"&amp;RIGHT(YEAR(Opportunities[[#This Row],[Close]]),2)&amp;"-Q"&amp;ROUNDUP(MONTH(Opportunities[[#This Row],[Close]])/3, 0)</f>
        <v>CY26-Q3</v>
      </c>
      <c r="R12" t="str">
        <f>siteUrl&amp;"/Lists/"&amp;oppList&amp;"/DispForm.aspx?ID="&amp;Opportunities[[#This Row],[ID]]</f>
        <v>https://cleansheet5.sharepoint.com/sites/SalesFunnel//Lists/citizenOpportunities/DispForm.aspx?ID=11</v>
      </c>
      <c r="S12">
        <f>_xlfn.XLOOKUP(Opportunities[[#This Row],[Stage]],stage[Stage Name],stage[Index],"")</f>
        <v>4</v>
      </c>
      <c r="T12" t="str">
        <f>_xlfn.XLOOKUP(Opportunities[[#This Row],[StageNumber]],stage[Index],stage[Display])</f>
        <v>➃ - Negotiation</v>
      </c>
      <c r="U12">
        <f>Opportunities[[#This Row],[Amount]]*_xlfn.XLOOKUP(Opportunities[[#This Row],[Probability]],prob[Win Probability],prob[Value])</f>
        <v>263030</v>
      </c>
      <c r="V12" t="str" cm="1">
        <f t="array" ref="V12">_xlfn.SWITCH(Opportunities[[#This Row],[Status]],"At Risk","⚠","Active","✓","⮾")</f>
        <v>✓</v>
      </c>
      <c r="W12" t="str">
        <f>_xlfn.XLOOKUP(Opportunities[[#This Row],[CustomerId]],Customers[Id],Customers[Customer Name])</f>
        <v>Transport Logistics</v>
      </c>
      <c r="X12" t="str">
        <f>_xlfn.XLOOKUP(Opportunities[[#This Row],[CustomerId]],Customers[Id],Customers[url2])</f>
        <v>https://cleansheet5.sharepoint.com/sites/SalesFunnel//Lists/citizenCustomers/DispForm.aspx?ID=11</v>
      </c>
      <c r="Y12">
        <f>_xlfn.XLOOKUP(Opportunities[[#This Row],[ID]],View[ID],View[Visible])</f>
        <v>1</v>
      </c>
      <c r="Z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(Data Center Consolidation)
 $1.3m • Negotiation • Owner: Amanda Sales</v>
      </c>
      <c r="AA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2" t="str" cm="1">
        <f t="array" ref="AC12">_xlfn.SWITCH(Opportunities[[#This Row],[Probability]],"High","↖","Medium","←","Low","↙")&amp;" " &amp;Opportunities[[#This Row],[Probability]]</f>
        <v>↙ Low</v>
      </c>
      <c r="AD12" t="b">
        <f>Opportunities[[#This Row],[WinProbDisplay]]="↖ High"</f>
        <v>0</v>
      </c>
    </row>
    <row r="13" spans="1:30" x14ac:dyDescent="0.25">
      <c r="A13">
        <v>12</v>
      </c>
      <c r="B13" t="s">
        <v>159</v>
      </c>
      <c r="C13" t="s">
        <v>19</v>
      </c>
      <c r="D13" t="s">
        <v>23</v>
      </c>
      <c r="E13">
        <v>1217080</v>
      </c>
      <c r="F13" t="s">
        <v>84</v>
      </c>
      <c r="G13" s="40">
        <v>46097</v>
      </c>
      <c r="H13" s="40">
        <v>45929</v>
      </c>
      <c r="I13" t="s">
        <v>94</v>
      </c>
      <c r="J13">
        <v>30</v>
      </c>
      <c r="L13" t="s">
        <v>96</v>
      </c>
      <c r="M13" s="40">
        <v>46143</v>
      </c>
      <c r="O13">
        <v>0</v>
      </c>
      <c r="P13" t="str">
        <f>" FY"&amp;RIGHT(IF(MONTH(Opportunities[[#This Row],[Close]])&gt;=7,YEAR(Opportunities[[#This Row],[Close]])+1,YEAR(Opportunities[[#This Row],[Close]])),2)&amp;"-Q"&amp;IF(MONTH(Opportunities[[#This Row],[Close]])&gt;=7,CEILING((MONTH(Opportunities[[#This Row],[Close]])-6)/3,1),CEILING((MONTH(Opportunities[[#This Row],[Close]])+6)/3,1))</f>
        <v xml:space="preserve"> FY26-Q3</v>
      </c>
      <c r="Q13" t="str">
        <f>"CY"&amp;RIGHT(YEAR(Opportunities[[#This Row],[Close]]),2)&amp;"-Q"&amp;ROUNDUP(MONTH(Opportunities[[#This Row],[Close]])/3, 0)</f>
        <v>CY26-Q1</v>
      </c>
      <c r="R13" t="str">
        <f>siteUrl&amp;"/Lists/"&amp;oppList&amp;"/DispForm.aspx?ID="&amp;Opportunities[[#This Row],[ID]]</f>
        <v>https://cleansheet5.sharepoint.com/sites/SalesFunnel//Lists/citizenOpportunities/DispForm.aspx?ID=12</v>
      </c>
      <c r="S13">
        <f>_xlfn.XLOOKUP(Opportunities[[#This Row],[Stage]],stage[Stage Name],stage[Index],"")</f>
        <v>2</v>
      </c>
      <c r="T13" t="str">
        <f>_xlfn.XLOOKUP(Opportunities[[#This Row],[StageNumber]],stage[Index],stage[Display])</f>
        <v>➁ - Nurturing</v>
      </c>
      <c r="U13">
        <f>Opportunities[[#This Row],[Amount]]*_xlfn.XLOOKUP(Opportunities[[#This Row],[Probability]],prob[Win Probability],prob[Value])</f>
        <v>1095372</v>
      </c>
      <c r="V13" t="str" cm="1">
        <f t="array" ref="V13">_xlfn.SWITCH(Opportunities[[#This Row],[Status]],"At Risk","⚠","Active","✓","⮾")</f>
        <v>✓</v>
      </c>
      <c r="W13" t="str">
        <f>_xlfn.XLOOKUP(Opportunities[[#This Row],[CustomerId]],Customers[Id],Customers[Customer Name])</f>
        <v>Consulting Experts</v>
      </c>
      <c r="X13" t="str">
        <f>_xlfn.XLOOKUP(Opportunities[[#This Row],[CustomerId]],Customers[Id],Customers[url2])</f>
        <v>https://cleansheet5.sharepoint.com/sites/SalesFunnel//Lists/citizenCustomers/DispForm.aspx?ID=30</v>
      </c>
      <c r="Y13">
        <f>_xlfn.XLOOKUP(Opportunities[[#This Row],[ID]],View[ID],View[Visible])</f>
        <v>1</v>
      </c>
      <c r="Z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(Cybersecurity Enhancement)
 $1.2m • Nurturing • Owner: Sarah Director</v>
      </c>
      <c r="AA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3" t="str" cm="1">
        <f t="array" ref="AC13">_xlfn.SWITCH(Opportunities[[#This Row],[Probability]],"High","↖","Medium","←","Low","↙")&amp;" " &amp;Opportunities[[#This Row],[Probability]]</f>
        <v>↖ High</v>
      </c>
      <c r="AD13" t="b">
        <f>Opportunities[[#This Row],[WinProbDisplay]]="↖ High"</f>
        <v>1</v>
      </c>
    </row>
    <row r="14" spans="1:30" x14ac:dyDescent="0.25">
      <c r="A14">
        <v>13</v>
      </c>
      <c r="B14" t="s">
        <v>161</v>
      </c>
      <c r="C14" t="s">
        <v>19</v>
      </c>
      <c r="D14" t="s">
        <v>21</v>
      </c>
      <c r="E14">
        <v>1688010</v>
      </c>
      <c r="F14" t="s">
        <v>84</v>
      </c>
      <c r="G14" s="40">
        <v>46345</v>
      </c>
      <c r="H14" s="40">
        <v>45898</v>
      </c>
      <c r="I14" t="s">
        <v>94</v>
      </c>
      <c r="J14">
        <v>20</v>
      </c>
      <c r="L14" t="s">
        <v>158</v>
      </c>
      <c r="M14" s="40">
        <v>46372</v>
      </c>
      <c r="O14">
        <v>0</v>
      </c>
      <c r="P14" t="str">
        <f>" FY"&amp;RIGHT(IF(MONTH(Opportunities[[#This Row],[Close]])&gt;=7,YEAR(Opportunities[[#This Row],[Close]])+1,YEAR(Opportunities[[#This Row],[Close]])),2)&amp;"-Q"&amp;IF(MONTH(Opportunities[[#This Row],[Close]])&gt;=7,CEILING((MONTH(Opportunities[[#This Row],[Close]])-6)/3,1),CEILING((MONTH(Opportunities[[#This Row],[Close]])+6)/3,1))</f>
        <v xml:space="preserve"> FY27-Q2</v>
      </c>
      <c r="Q14" t="str">
        <f>"CY"&amp;RIGHT(YEAR(Opportunities[[#This Row],[Close]]),2)&amp;"-Q"&amp;ROUNDUP(MONTH(Opportunities[[#This Row],[Close]])/3, 0)</f>
        <v>CY26-Q4</v>
      </c>
      <c r="R14" t="str">
        <f>siteUrl&amp;"/Lists/"&amp;oppList&amp;"/DispForm.aspx?ID="&amp;Opportunities[[#This Row],[ID]]</f>
        <v>https://cleansheet5.sharepoint.com/sites/SalesFunnel//Lists/citizenOpportunities/DispForm.aspx?ID=13</v>
      </c>
      <c r="S14">
        <f>_xlfn.XLOOKUP(Opportunities[[#This Row],[Stage]],stage[Stage Name],stage[Index],"")</f>
        <v>5</v>
      </c>
      <c r="T14" t="str">
        <f>_xlfn.XLOOKUP(Opportunities[[#This Row],[StageNumber]],stage[Index],stage[Display])</f>
        <v>➄ - Project Execution</v>
      </c>
      <c r="U14">
        <f>Opportunities[[#This Row],[Amount]]*_xlfn.XLOOKUP(Opportunities[[#This Row],[Probability]],prob[Win Probability],prob[Value])</f>
        <v>1519209</v>
      </c>
      <c r="V14" t="str" cm="1">
        <f t="array" ref="V14">_xlfn.SWITCH(Opportunities[[#This Row],[Status]],"At Risk","⚠","Active","✓","⮾")</f>
        <v>✓</v>
      </c>
      <c r="W14" t="str">
        <f>_xlfn.XLOOKUP(Opportunities[[#This Row],[CustomerId]],Customers[Id],Customers[Customer Name])</f>
        <v>Automotive Parts Plus</v>
      </c>
      <c r="X14" t="str">
        <f>_xlfn.XLOOKUP(Opportunities[[#This Row],[CustomerId]],Customers[Id],Customers[url2])</f>
        <v>https://cleansheet5.sharepoint.com/sites/SalesFunnel//Lists/citizenCustomers/DispForm.aspx?ID=20</v>
      </c>
      <c r="Y14">
        <f>_xlfn.XLOOKUP(Opportunities[[#This Row],[ID]],View[ID],View[Visible])</f>
        <v>1</v>
      </c>
      <c r="Z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(E-commerce Platform)
 $1.7m • Project Execution • Owner: Robert Analyst</v>
      </c>
      <c r="AA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4" t="str" cm="1">
        <f t="array" ref="AC14">_xlfn.SWITCH(Opportunities[[#This Row],[Probability]],"High","↖","Medium","←","Low","↙")&amp;" " &amp;Opportunities[[#This Row],[Probability]]</f>
        <v>↖ High</v>
      </c>
      <c r="AD14" t="b">
        <f>Opportunities[[#This Row],[WinProbDisplay]]="↖ High"</f>
        <v>1</v>
      </c>
    </row>
    <row r="15" spans="1:30" x14ac:dyDescent="0.25">
      <c r="A15">
        <v>14</v>
      </c>
      <c r="B15" t="s">
        <v>162</v>
      </c>
      <c r="C15" t="s">
        <v>17</v>
      </c>
      <c r="D15" t="s">
        <v>20</v>
      </c>
      <c r="E15">
        <v>1410113</v>
      </c>
      <c r="F15" t="s">
        <v>85</v>
      </c>
      <c r="G15" s="40">
        <v>46283</v>
      </c>
      <c r="H15" s="40">
        <v>45919</v>
      </c>
      <c r="I15" t="s">
        <v>97</v>
      </c>
      <c r="J15">
        <v>18</v>
      </c>
      <c r="L15" t="s">
        <v>102</v>
      </c>
      <c r="M15" s="40">
        <v>46331</v>
      </c>
      <c r="O15">
        <v>0</v>
      </c>
      <c r="P15" t="str">
        <f>" FY"&amp;RIGHT(IF(MONTH(Opportunities[[#This Row],[Close]])&gt;=7,YEAR(Opportunities[[#This Row],[Close]])+1,YEAR(Opportunities[[#This Row],[Close]])),2)&amp;"-Q"&amp;IF(MONTH(Opportunities[[#This Row],[Close]])&gt;=7,CEILING((MONTH(Opportunities[[#This Row],[Close]])-6)/3,1),CEILING((MONTH(Opportunities[[#This Row],[Close]])+6)/3,1))</f>
        <v xml:space="preserve"> FY27-Q1</v>
      </c>
      <c r="Q15" t="str">
        <f>"CY"&amp;RIGHT(YEAR(Opportunities[[#This Row],[Close]]),2)&amp;"-Q"&amp;ROUNDUP(MONTH(Opportunities[[#This Row],[Close]])/3, 0)</f>
        <v>CY26-Q3</v>
      </c>
      <c r="R15" t="str">
        <f>siteUrl&amp;"/Lists/"&amp;oppList&amp;"/DispForm.aspx?ID="&amp;Opportunities[[#This Row],[ID]]</f>
        <v>https://cleansheet5.sharepoint.com/sites/SalesFunnel//Lists/citizenOpportunities/DispForm.aspx?ID=14</v>
      </c>
      <c r="S15">
        <f>_xlfn.XLOOKUP(Opportunities[[#This Row],[Stage]],stage[Stage Name],stage[Index],"")</f>
        <v>1</v>
      </c>
      <c r="T15" t="str">
        <f>_xlfn.XLOOKUP(Opportunities[[#This Row],[StageNumber]],stage[Index],stage[Display])</f>
        <v>➀ - Lead Qualification</v>
      </c>
      <c r="U15">
        <f>Opportunities[[#This Row],[Amount]]*_xlfn.XLOOKUP(Opportunities[[#This Row],[Probability]],prob[Win Probability],prob[Value])</f>
        <v>282022.60000000003</v>
      </c>
      <c r="V15" t="str" cm="1">
        <f t="array" ref="V15">_xlfn.SWITCH(Opportunities[[#This Row],[Status]],"At Risk","⚠","Active","✓","⮾")</f>
        <v>⚠</v>
      </c>
      <c r="W15" t="str">
        <f>_xlfn.XLOOKUP(Opportunities[[#This Row],[CustomerId]],Customers[Id],Customers[Customer Name])</f>
        <v>Agricultural Systems</v>
      </c>
      <c r="X15" t="str">
        <f>_xlfn.XLOOKUP(Opportunities[[#This Row],[CustomerId]],Customers[Id],Customers[url2])</f>
        <v>https://cleansheet5.sharepoint.com/sites/SalesFunnel//Lists/citizenCustomers/DispForm.aspx?ID=18</v>
      </c>
      <c r="Y15">
        <f>_xlfn.XLOOKUP(Opportunities[[#This Row],[ID]],View[ID],View[Visible])</f>
        <v>1</v>
      </c>
      <c r="Z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(Document Management System)
 $1.4m • Lead Qualification • Owner: Lisa Engineer</v>
      </c>
      <c r="AA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5" t="str" cm="1">
        <f t="array" ref="AC15">_xlfn.SWITCH(Opportunities[[#This Row],[Probability]],"High","↖","Medium","←","Low","↙")&amp;" " &amp;Opportunities[[#This Row],[Probability]]</f>
        <v>↙ Low</v>
      </c>
      <c r="AD15" t="b">
        <f>Opportunities[[#This Row],[WinProbDisplay]]="↖ High"</f>
        <v>0</v>
      </c>
    </row>
    <row r="16" spans="1:30" x14ac:dyDescent="0.25">
      <c r="A16">
        <v>15</v>
      </c>
      <c r="B16" t="s">
        <v>163</v>
      </c>
      <c r="C16" t="s">
        <v>17</v>
      </c>
      <c r="D16" t="s">
        <v>22</v>
      </c>
      <c r="E16">
        <v>1308796</v>
      </c>
      <c r="F16" t="s">
        <v>83</v>
      </c>
      <c r="G16" s="40">
        <v>46069</v>
      </c>
      <c r="H16" s="40">
        <v>45937</v>
      </c>
      <c r="I16" t="s">
        <v>106</v>
      </c>
      <c r="J16">
        <v>23</v>
      </c>
      <c r="L16" t="s">
        <v>158</v>
      </c>
      <c r="M16" s="40">
        <v>46103</v>
      </c>
      <c r="O16">
        <v>0</v>
      </c>
      <c r="P16" t="str">
        <f>" FY"&amp;RIGHT(IF(MONTH(Opportunities[[#This Row],[Close]])&gt;=7,YEAR(Opportunities[[#This Row],[Close]])+1,YEAR(Opportunities[[#This Row],[Close]])),2)&amp;"-Q"&amp;IF(MONTH(Opportunities[[#This Row],[Close]])&gt;=7,CEILING((MONTH(Opportunities[[#This Row],[Close]])-6)/3,1),CEILING((MONTH(Opportunities[[#This Row],[Close]])+6)/3,1))</f>
        <v xml:space="preserve"> FY26-Q3</v>
      </c>
      <c r="Q16" t="str">
        <f>"CY"&amp;RIGHT(YEAR(Opportunities[[#This Row],[Close]]),2)&amp;"-Q"&amp;ROUNDUP(MONTH(Opportunities[[#This Row],[Close]])/3, 0)</f>
        <v>CY26-Q1</v>
      </c>
      <c r="R16" t="str">
        <f>siteUrl&amp;"/Lists/"&amp;oppList&amp;"/DispForm.aspx?ID="&amp;Opportunities[[#This Row],[ID]]</f>
        <v>https://cleansheet5.sharepoint.com/sites/SalesFunnel//Lists/citizenOpportunities/DispForm.aspx?ID=15</v>
      </c>
      <c r="S16">
        <f>_xlfn.XLOOKUP(Opportunities[[#This Row],[Stage]],stage[Stage Name],stage[Index],"")</f>
        <v>3</v>
      </c>
      <c r="T16" t="str">
        <f>_xlfn.XLOOKUP(Opportunities[[#This Row],[StageNumber]],stage[Index],stage[Display])</f>
        <v>➂ - Proposal</v>
      </c>
      <c r="U16">
        <f>Opportunities[[#This Row],[Amount]]*_xlfn.XLOOKUP(Opportunities[[#This Row],[Probability]],prob[Win Probability],prob[Value])</f>
        <v>523518.4</v>
      </c>
      <c r="V16" t="str" cm="1">
        <f t="array" ref="V16">_xlfn.SWITCH(Opportunities[[#This Row],[Status]],"At Risk","⚠","Active","✓","⮾")</f>
        <v>⚠</v>
      </c>
      <c r="W16" t="str">
        <f>_xlfn.XLOOKUP(Opportunities[[#This Row],[CustomerId]],Customers[Id],Customers[Customer Name])</f>
        <v>Sports &amp; Recreation</v>
      </c>
      <c r="X16" t="str">
        <f>_xlfn.XLOOKUP(Opportunities[[#This Row],[CustomerId]],Customers[Id],Customers[url2])</f>
        <v>https://cleansheet5.sharepoint.com/sites/SalesFunnel//Lists/citizenCustomers/DispForm.aspx?ID=23</v>
      </c>
      <c r="Y16">
        <f>_xlfn.XLOOKUP(Opportunities[[#This Row],[ID]],View[ID],View[Visible])</f>
        <v>1</v>
      </c>
      <c r="Z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(Training &amp; Development Program)
 $1.3m • Proposal • Owner: Robert Analyst</v>
      </c>
      <c r="AA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6" t="str" cm="1">
        <f t="array" ref="AC16">_xlfn.SWITCH(Opportunities[[#This Row],[Probability]],"High","↖","Medium","←","Low","↙")&amp;" " &amp;Opportunities[[#This Row],[Probability]]</f>
        <v>← Medium</v>
      </c>
      <c r="AD16" t="b">
        <f>Opportunities[[#This Row],[WinProbDisplay]]="↖ High"</f>
        <v>0</v>
      </c>
    </row>
    <row r="17" spans="1:30" x14ac:dyDescent="0.25">
      <c r="A17">
        <v>16</v>
      </c>
      <c r="B17" t="s">
        <v>164</v>
      </c>
      <c r="C17" t="s">
        <v>19</v>
      </c>
      <c r="D17" t="s">
        <v>22</v>
      </c>
      <c r="E17">
        <v>1818946</v>
      </c>
      <c r="F17" t="s">
        <v>85</v>
      </c>
      <c r="G17" s="40">
        <v>46337</v>
      </c>
      <c r="H17" s="40">
        <v>45886</v>
      </c>
      <c r="I17" t="s">
        <v>149</v>
      </c>
      <c r="J17">
        <v>27</v>
      </c>
      <c r="L17" t="s">
        <v>167</v>
      </c>
      <c r="M17" s="40">
        <v>46427</v>
      </c>
      <c r="O17">
        <v>0</v>
      </c>
      <c r="P17" t="str">
        <f>" FY"&amp;RIGHT(IF(MONTH(Opportunities[[#This Row],[Close]])&gt;=7,YEAR(Opportunities[[#This Row],[Close]])+1,YEAR(Opportunities[[#This Row],[Close]])),2)&amp;"-Q"&amp;IF(MONTH(Opportunities[[#This Row],[Close]])&gt;=7,CEILING((MONTH(Opportunities[[#This Row],[Close]])-6)/3,1),CEILING((MONTH(Opportunities[[#This Row],[Close]])+6)/3,1))</f>
        <v xml:space="preserve"> FY27-Q2</v>
      </c>
      <c r="Q17" t="str">
        <f>"CY"&amp;RIGHT(YEAR(Opportunities[[#This Row],[Close]]),2)&amp;"-Q"&amp;ROUNDUP(MONTH(Opportunities[[#This Row],[Close]])/3, 0)</f>
        <v>CY26-Q4</v>
      </c>
      <c r="R17" t="str">
        <f>siteUrl&amp;"/Lists/"&amp;oppList&amp;"/DispForm.aspx?ID="&amp;Opportunities[[#This Row],[ID]]</f>
        <v>https://cleansheet5.sharepoint.com/sites/SalesFunnel//Lists/citizenOpportunities/DispForm.aspx?ID=16</v>
      </c>
      <c r="S17">
        <f>_xlfn.XLOOKUP(Opportunities[[#This Row],[Stage]],stage[Stage Name],stage[Index],"")</f>
        <v>3</v>
      </c>
      <c r="T17" t="str">
        <f>_xlfn.XLOOKUP(Opportunities[[#This Row],[StageNumber]],stage[Index],stage[Display])</f>
        <v>➂ - Proposal</v>
      </c>
      <c r="U17">
        <f>Opportunities[[#This Row],[Amount]]*_xlfn.XLOOKUP(Opportunities[[#This Row],[Probability]],prob[Win Probability],prob[Value])</f>
        <v>363789.2</v>
      </c>
      <c r="V17" t="str" cm="1">
        <f t="array" ref="V17">_xlfn.SWITCH(Opportunities[[#This Row],[Status]],"At Risk","⚠","Active","✓","⮾")</f>
        <v>✓</v>
      </c>
      <c r="W17" t="str">
        <f>_xlfn.XLOOKUP(Opportunities[[#This Row],[CustomerId]],Customers[Id],Customers[Customer Name])</f>
        <v>Mining Operations</v>
      </c>
      <c r="X17" t="str">
        <f>_xlfn.XLOOKUP(Opportunities[[#This Row],[CustomerId]],Customers[Id],Customers[url2])</f>
        <v>https://cleansheet5.sharepoint.com/sites/SalesFunnel//Lists/citizenCustomers/DispForm.aspx?ID=27</v>
      </c>
      <c r="Y17">
        <f>_xlfn.XLOOKUP(Opportunities[[#This Row],[ID]],View[ID],View[Visible])</f>
        <v>1</v>
      </c>
      <c r="Z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(Quality Management System)
 $1.8m • Proposal • Owner: David Specialist</v>
      </c>
      <c r="AA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7" t="str" cm="1">
        <f t="array" ref="AC17">_xlfn.SWITCH(Opportunities[[#This Row],[Probability]],"High","↖","Medium","←","Low","↙")&amp;" " &amp;Opportunities[[#This Row],[Probability]]</f>
        <v>↙ Low</v>
      </c>
      <c r="AD17" t="b">
        <f>Opportunities[[#This Row],[WinProbDisplay]]="↖ High"</f>
        <v>0</v>
      </c>
    </row>
    <row r="18" spans="1:30" x14ac:dyDescent="0.25">
      <c r="A18">
        <v>17</v>
      </c>
      <c r="B18" t="s">
        <v>165</v>
      </c>
      <c r="C18" t="s">
        <v>19</v>
      </c>
      <c r="D18" t="s">
        <v>22</v>
      </c>
      <c r="E18">
        <v>692696</v>
      </c>
      <c r="F18" t="s">
        <v>85</v>
      </c>
      <c r="G18" s="40">
        <v>46127</v>
      </c>
      <c r="H18" s="40">
        <v>45920</v>
      </c>
      <c r="I18" t="s">
        <v>152</v>
      </c>
      <c r="J18">
        <v>10</v>
      </c>
      <c r="L18" t="s">
        <v>167</v>
      </c>
      <c r="M18" s="40">
        <v>46191</v>
      </c>
      <c r="O18">
        <v>0</v>
      </c>
      <c r="P18" t="str">
        <f>" FY"&amp;RIGHT(IF(MONTH(Opportunities[[#This Row],[Close]])&gt;=7,YEAR(Opportunities[[#This Row],[Close]])+1,YEAR(Opportunities[[#This Row],[Close]])),2)&amp;"-Q"&amp;IF(MONTH(Opportunities[[#This Row],[Close]])&gt;=7,CEILING((MONTH(Opportunities[[#This Row],[Close]])-6)/3,1),CEILING((MONTH(Opportunities[[#This Row],[Close]])+6)/3,1))</f>
        <v xml:space="preserve"> FY26-Q4</v>
      </c>
      <c r="Q18" t="str">
        <f>"CY"&amp;RIGHT(YEAR(Opportunities[[#This Row],[Close]]),2)&amp;"-Q"&amp;ROUNDUP(MONTH(Opportunities[[#This Row],[Close]])/3, 0)</f>
        <v>CY26-Q2</v>
      </c>
      <c r="R18" t="str">
        <f>siteUrl&amp;"/Lists/"&amp;oppList&amp;"/DispForm.aspx?ID="&amp;Opportunities[[#This Row],[ID]]</f>
        <v>https://cleansheet5.sharepoint.com/sites/SalesFunnel//Lists/citizenOpportunities/DispForm.aspx?ID=17</v>
      </c>
      <c r="S18">
        <f>_xlfn.XLOOKUP(Opportunities[[#This Row],[Stage]],stage[Stage Name],stage[Index],"")</f>
        <v>3</v>
      </c>
      <c r="T18" t="str">
        <f>_xlfn.XLOOKUP(Opportunities[[#This Row],[StageNumber]],stage[Index],stage[Display])</f>
        <v>➂ - Proposal</v>
      </c>
      <c r="U18">
        <f>Opportunities[[#This Row],[Amount]]*_xlfn.XLOOKUP(Opportunities[[#This Row],[Probability]],prob[Win Probability],prob[Value])</f>
        <v>138539.20000000001</v>
      </c>
      <c r="V18" t="str" cm="1">
        <f t="array" ref="V18">_xlfn.SWITCH(Opportunities[[#This Row],[Status]],"At Risk","⚠","Active","✓","⮾")</f>
        <v>✓</v>
      </c>
      <c r="W18" t="str">
        <f>_xlfn.XLOOKUP(Opportunities[[#This Row],[CustomerId]],Customers[Id],Customers[Customer Name])</f>
        <v>Education First</v>
      </c>
      <c r="X18" t="str">
        <f>_xlfn.XLOOKUP(Opportunities[[#This Row],[CustomerId]],Customers[Id],Customers[url2])</f>
        <v>https://cleansheet5.sharepoint.com/sites/SalesFunnel//Lists/citizenCustomers/DispForm.aspx?ID=10</v>
      </c>
      <c r="Y18">
        <f>_xlfn.XLOOKUP(Opportunities[[#This Row],[ID]],View[ID],View[Visible])</f>
        <v>1</v>
      </c>
      <c r="Z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(Supply Chain Optimization)
 $0.7m • Proposal • Owner: David Specialist</v>
      </c>
      <c r="AA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8" t="str" cm="1">
        <f t="array" ref="AC18">_xlfn.SWITCH(Opportunities[[#This Row],[Probability]],"High","↖","Medium","←","Low","↙")&amp;" " &amp;Opportunities[[#This Row],[Probability]]</f>
        <v>↙ Low</v>
      </c>
      <c r="AD18" t="b">
        <f>Opportunities[[#This Row],[WinProbDisplay]]="↖ High"</f>
        <v>0</v>
      </c>
    </row>
    <row r="19" spans="1:30" x14ac:dyDescent="0.25">
      <c r="A19">
        <v>18</v>
      </c>
      <c r="B19" t="s">
        <v>166</v>
      </c>
      <c r="C19" t="s">
        <v>17</v>
      </c>
      <c r="D19" t="s">
        <v>22</v>
      </c>
      <c r="E19">
        <v>779439</v>
      </c>
      <c r="F19" t="s">
        <v>83</v>
      </c>
      <c r="G19" s="40">
        <v>46329</v>
      </c>
      <c r="H19" s="40">
        <v>45904</v>
      </c>
      <c r="I19" t="s">
        <v>160</v>
      </c>
      <c r="J19">
        <v>10</v>
      </c>
      <c r="L19" t="s">
        <v>99</v>
      </c>
      <c r="M19" s="40">
        <v>46374</v>
      </c>
      <c r="O19">
        <v>0</v>
      </c>
      <c r="P19" t="str">
        <f>" FY"&amp;RIGHT(IF(MONTH(Opportunities[[#This Row],[Close]])&gt;=7,YEAR(Opportunities[[#This Row],[Close]])+1,YEAR(Opportunities[[#This Row],[Close]])),2)&amp;"-Q"&amp;IF(MONTH(Opportunities[[#This Row],[Close]])&gt;=7,CEILING((MONTH(Opportunities[[#This Row],[Close]])-6)/3,1),CEILING((MONTH(Opportunities[[#This Row],[Close]])+6)/3,1))</f>
        <v xml:space="preserve"> FY27-Q2</v>
      </c>
      <c r="Q19" t="str">
        <f>"CY"&amp;RIGHT(YEAR(Opportunities[[#This Row],[Close]]),2)&amp;"-Q"&amp;ROUNDUP(MONTH(Opportunities[[#This Row],[Close]])/3, 0)</f>
        <v>CY26-Q4</v>
      </c>
      <c r="R19" t="str">
        <f>siteUrl&amp;"/Lists/"&amp;oppList&amp;"/DispForm.aspx?ID="&amp;Opportunities[[#This Row],[ID]]</f>
        <v>https://cleansheet5.sharepoint.com/sites/SalesFunnel//Lists/citizenOpportunities/DispForm.aspx?ID=18</v>
      </c>
      <c r="S19">
        <f>_xlfn.XLOOKUP(Opportunities[[#This Row],[Stage]],stage[Stage Name],stage[Index],"")</f>
        <v>3</v>
      </c>
      <c r="T19" t="str">
        <f>_xlfn.XLOOKUP(Opportunities[[#This Row],[StageNumber]],stage[Index],stage[Display])</f>
        <v>➂ - Proposal</v>
      </c>
      <c r="U19">
        <f>Opportunities[[#This Row],[Amount]]*_xlfn.XLOOKUP(Opportunities[[#This Row],[Probability]],prob[Win Probability],prob[Value])</f>
        <v>311775.60000000003</v>
      </c>
      <c r="V19" t="str" cm="1">
        <f t="array" ref="V19">_xlfn.SWITCH(Opportunities[[#This Row],[Status]],"At Risk","⚠","Active","✓","⮾")</f>
        <v>⚠</v>
      </c>
      <c r="W19" t="str">
        <f>_xlfn.XLOOKUP(Opportunities[[#This Row],[CustomerId]],Customers[Id],Customers[Customer Name])</f>
        <v>Education First</v>
      </c>
      <c r="X19" t="str">
        <f>_xlfn.XLOOKUP(Opportunities[[#This Row],[CustomerId]],Customers[Id],Customers[url2])</f>
        <v>https://cleansheet5.sharepoint.com/sites/SalesFunnel//Lists/citizenCustomers/DispForm.aspx?ID=10</v>
      </c>
      <c r="Y19">
        <f>_xlfn.XLOOKUP(Opportunities[[#This Row],[ID]],View[ID],View[Visible])</f>
        <v>1</v>
      </c>
      <c r="Z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(Financial Planning Software)
 $0.8m • Proposal • Owner: Mike Consultant</v>
      </c>
      <c r="AA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9" t="str" cm="1">
        <f t="array" ref="AC19">_xlfn.SWITCH(Opportunities[[#This Row],[Probability]],"High","↖","Medium","←","Low","↙")&amp;" " &amp;Opportunities[[#This Row],[Probability]]</f>
        <v>← Medium</v>
      </c>
      <c r="AD19" t="b">
        <f>Opportunities[[#This Row],[WinProbDisplay]]="↖ High"</f>
        <v>0</v>
      </c>
    </row>
    <row r="20" spans="1:30" x14ac:dyDescent="0.25">
      <c r="A20">
        <v>19</v>
      </c>
      <c r="B20" t="s">
        <v>168</v>
      </c>
      <c r="C20" t="s">
        <v>19</v>
      </c>
      <c r="D20" t="s">
        <v>24</v>
      </c>
      <c r="E20">
        <v>1248747</v>
      </c>
      <c r="F20" t="s">
        <v>84</v>
      </c>
      <c r="G20" s="40">
        <v>46197</v>
      </c>
      <c r="H20" s="40">
        <v>45888</v>
      </c>
      <c r="I20" t="s">
        <v>160</v>
      </c>
      <c r="J20">
        <v>19</v>
      </c>
      <c r="L20" t="s">
        <v>102</v>
      </c>
      <c r="M20" s="40">
        <v>46227</v>
      </c>
      <c r="O20">
        <v>0</v>
      </c>
      <c r="P20" t="str">
        <f>" FY"&amp;RIGHT(IF(MONTH(Opportunities[[#This Row],[Close]])&gt;=7,YEAR(Opportunities[[#This Row],[Close]])+1,YEAR(Opportunities[[#This Row],[Close]])),2)&amp;"-Q"&amp;IF(MONTH(Opportunities[[#This Row],[Close]])&gt;=7,CEILING((MONTH(Opportunities[[#This Row],[Close]])-6)/3,1),CEILING((MONTH(Opportunities[[#This Row],[Close]])+6)/3,1))</f>
        <v xml:space="preserve"> FY26-Q4</v>
      </c>
      <c r="Q20" t="str">
        <f>"CY"&amp;RIGHT(YEAR(Opportunities[[#This Row],[Close]]),2)&amp;"-Q"&amp;ROUNDUP(MONTH(Opportunities[[#This Row],[Close]])/3, 0)</f>
        <v>CY26-Q2</v>
      </c>
      <c r="R20" t="str">
        <f>siteUrl&amp;"/Lists/"&amp;oppList&amp;"/DispForm.aspx?ID="&amp;Opportunities[[#This Row],[ID]]</f>
        <v>https://cleansheet5.sharepoint.com/sites/SalesFunnel//Lists/citizenOpportunities/DispForm.aspx?ID=19</v>
      </c>
      <c r="S20">
        <f>_xlfn.XLOOKUP(Opportunities[[#This Row],[Stage]],stage[Stage Name],stage[Index],"")</f>
        <v>6</v>
      </c>
      <c r="T20" t="str">
        <f>_xlfn.XLOOKUP(Opportunities[[#This Row],[StageNumber]],stage[Index],stage[Display])</f>
        <v>➅ - Closeout</v>
      </c>
      <c r="U20">
        <f>Opportunities[[#This Row],[Amount]]*_xlfn.XLOOKUP(Opportunities[[#This Row],[Probability]],prob[Win Probability],prob[Value])</f>
        <v>1123872.3</v>
      </c>
      <c r="V20" t="str" cm="1">
        <f t="array" ref="V20">_xlfn.SWITCH(Opportunities[[#This Row],[Status]],"At Risk","⚠","Active","✓","⮾")</f>
        <v>✓</v>
      </c>
      <c r="W20" t="str">
        <f>_xlfn.XLOOKUP(Opportunities[[#This Row],[CustomerId]],Customers[Id],Customers[Customer Name])</f>
        <v>Hotel Management Group</v>
      </c>
      <c r="X20" t="str">
        <f>_xlfn.XLOOKUP(Opportunities[[#This Row],[CustomerId]],Customers[Id],Customers[url2])</f>
        <v>https://cleansheet5.sharepoint.com/sites/SalesFunnel//Lists/citizenCustomers/DispForm.aspx?ID=19</v>
      </c>
      <c r="Y20">
        <f>_xlfn.XLOOKUP(Opportunities[[#This Row],[ID]],View[ID],View[Visible])</f>
        <v>1</v>
      </c>
      <c r="Z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(HR Management System)
 $1.2m • Closeout • Owner: Lisa Engineer</v>
      </c>
      <c r="AA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0" t="str" cm="1">
        <f t="array" ref="AC20">_xlfn.SWITCH(Opportunities[[#This Row],[Probability]],"High","↖","Medium","←","Low","↙")&amp;" " &amp;Opportunities[[#This Row],[Probability]]</f>
        <v>↖ High</v>
      </c>
      <c r="AD20" t="b">
        <f>Opportunities[[#This Row],[WinProbDisplay]]="↖ High"</f>
        <v>1</v>
      </c>
    </row>
    <row r="21" spans="1:30" x14ac:dyDescent="0.25">
      <c r="A21">
        <v>20</v>
      </c>
      <c r="B21" t="s">
        <v>169</v>
      </c>
      <c r="C21" t="s">
        <v>19</v>
      </c>
      <c r="D21" t="s">
        <v>24</v>
      </c>
      <c r="E21">
        <v>1164859</v>
      </c>
      <c r="F21" t="s">
        <v>83</v>
      </c>
      <c r="G21" s="40">
        <v>46155</v>
      </c>
      <c r="H21" s="40">
        <v>45900</v>
      </c>
      <c r="I21" t="s">
        <v>94</v>
      </c>
      <c r="J21">
        <v>22</v>
      </c>
      <c r="L21" t="s">
        <v>146</v>
      </c>
      <c r="M21" s="40">
        <v>46193</v>
      </c>
      <c r="O21">
        <v>0</v>
      </c>
      <c r="P21" t="str">
        <f>" FY"&amp;RIGHT(IF(MONTH(Opportunities[[#This Row],[Close]])&gt;=7,YEAR(Opportunities[[#This Row],[Close]])+1,YEAR(Opportunities[[#This Row],[Close]])),2)&amp;"-Q"&amp;IF(MONTH(Opportunities[[#This Row],[Close]])&gt;=7,CEILING((MONTH(Opportunities[[#This Row],[Close]])-6)/3,1),CEILING((MONTH(Opportunities[[#This Row],[Close]])+6)/3,1))</f>
        <v xml:space="preserve"> FY26-Q4</v>
      </c>
      <c r="Q21" t="str">
        <f>"CY"&amp;RIGHT(YEAR(Opportunities[[#This Row],[Close]]),2)&amp;"-Q"&amp;ROUNDUP(MONTH(Opportunities[[#This Row],[Close]])/3, 0)</f>
        <v>CY26-Q2</v>
      </c>
      <c r="R21" t="str">
        <f>siteUrl&amp;"/Lists/"&amp;oppList&amp;"/DispForm.aspx?ID="&amp;Opportunities[[#This Row],[ID]]</f>
        <v>https://cleansheet5.sharepoint.com/sites/SalesFunnel//Lists/citizenOpportunities/DispForm.aspx?ID=20</v>
      </c>
      <c r="S21">
        <f>_xlfn.XLOOKUP(Opportunities[[#This Row],[Stage]],stage[Stage Name],stage[Index],"")</f>
        <v>6</v>
      </c>
      <c r="T21" t="str">
        <f>_xlfn.XLOOKUP(Opportunities[[#This Row],[StageNumber]],stage[Index],stage[Display])</f>
        <v>➅ - Closeout</v>
      </c>
      <c r="U21">
        <f>Opportunities[[#This Row],[Amount]]*_xlfn.XLOOKUP(Opportunities[[#This Row],[Probability]],prob[Win Probability],prob[Value])</f>
        <v>465943.60000000003</v>
      </c>
      <c r="V21" t="str" cm="1">
        <f t="array" ref="V21">_xlfn.SWITCH(Opportunities[[#This Row],[Status]],"At Risk","⚠","Active","✓","⮾")</f>
        <v>✓</v>
      </c>
      <c r="W21" t="str">
        <f>_xlfn.XLOOKUP(Opportunities[[#This Row],[CustomerId]],Customers[Id],Customers[Customer Name])</f>
        <v>Environmental Services</v>
      </c>
      <c r="X21" t="str">
        <f>_xlfn.XLOOKUP(Opportunities[[#This Row],[CustomerId]],Customers[Id],Customers[url2])</f>
        <v>https://cleansheet5.sharepoint.com/sites/SalesFunnel//Lists/citizenCustomers/DispForm.aspx?ID=22</v>
      </c>
      <c r="Y21">
        <f>_xlfn.XLOOKUP(Opportunities[[#This Row],[ID]],View[ID],View[Visible])</f>
        <v>1</v>
      </c>
      <c r="Z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(Marketing Automation Platform)
 $1.2m • Closeout • Owner: Jennifer PM</v>
      </c>
      <c r="AA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1" t="str" cm="1">
        <f t="array" ref="AC21">_xlfn.SWITCH(Opportunities[[#This Row],[Probability]],"High","↖","Medium","←","Low","↙")&amp;" " &amp;Opportunities[[#This Row],[Probability]]</f>
        <v>← Medium</v>
      </c>
      <c r="AD21" t="b">
        <f>Opportunities[[#This Row],[WinProbDisplay]]="↖ High"</f>
        <v>0</v>
      </c>
    </row>
    <row r="22" spans="1:30" x14ac:dyDescent="0.25">
      <c r="A22">
        <v>21</v>
      </c>
      <c r="B22" t="s">
        <v>170</v>
      </c>
      <c r="C22" t="s">
        <v>19</v>
      </c>
      <c r="D22" t="s">
        <v>20</v>
      </c>
      <c r="E22">
        <v>1278194</v>
      </c>
      <c r="F22" t="s">
        <v>84</v>
      </c>
      <c r="G22" s="40">
        <v>46286</v>
      </c>
      <c r="H22" s="40">
        <v>45919</v>
      </c>
      <c r="I22" t="s">
        <v>160</v>
      </c>
      <c r="J22">
        <v>11</v>
      </c>
      <c r="L22" t="s">
        <v>167</v>
      </c>
      <c r="M22" s="40">
        <v>46308</v>
      </c>
      <c r="O22">
        <v>0</v>
      </c>
      <c r="P22" t="str">
        <f>" FY"&amp;RIGHT(IF(MONTH(Opportunities[[#This Row],[Close]])&gt;=7,YEAR(Opportunities[[#This Row],[Close]])+1,YEAR(Opportunities[[#This Row],[Close]])),2)&amp;"-Q"&amp;IF(MONTH(Opportunities[[#This Row],[Close]])&gt;=7,CEILING((MONTH(Opportunities[[#This Row],[Close]])-6)/3,1),CEILING((MONTH(Opportunities[[#This Row],[Close]])+6)/3,1))</f>
        <v xml:space="preserve"> FY27-Q1</v>
      </c>
      <c r="Q22" t="str">
        <f>"CY"&amp;RIGHT(YEAR(Opportunities[[#This Row],[Close]]),2)&amp;"-Q"&amp;ROUNDUP(MONTH(Opportunities[[#This Row],[Close]])/3, 0)</f>
        <v>CY26-Q3</v>
      </c>
      <c r="R22" t="str">
        <f>siteUrl&amp;"/Lists/"&amp;oppList&amp;"/DispForm.aspx?ID="&amp;Opportunities[[#This Row],[ID]]</f>
        <v>https://cleansheet5.sharepoint.com/sites/SalesFunnel//Lists/citizenOpportunities/DispForm.aspx?ID=21</v>
      </c>
      <c r="S22">
        <f>_xlfn.XLOOKUP(Opportunities[[#This Row],[Stage]],stage[Stage Name],stage[Index],"")</f>
        <v>1</v>
      </c>
      <c r="T22" t="str">
        <f>_xlfn.XLOOKUP(Opportunities[[#This Row],[StageNumber]],stage[Index],stage[Display])</f>
        <v>➀ - Lead Qualification</v>
      </c>
      <c r="U22">
        <f>Opportunities[[#This Row],[Amount]]*_xlfn.XLOOKUP(Opportunities[[#This Row],[Probability]],prob[Win Probability],prob[Value])</f>
        <v>1150374.6000000001</v>
      </c>
      <c r="V22" t="str" cm="1">
        <f t="array" ref="V22">_xlfn.SWITCH(Opportunities[[#This Row],[Status]],"At Risk","⚠","Active","✓","⮾")</f>
        <v>✓</v>
      </c>
      <c r="W22" t="str">
        <f>_xlfn.XLOOKUP(Opportunities[[#This Row],[CustomerId]],Customers[Id],Customers[Customer Name])</f>
        <v>Transport Logistics</v>
      </c>
      <c r="X22" t="str">
        <f>_xlfn.XLOOKUP(Opportunities[[#This Row],[CustomerId]],Customers[Id],Customers[url2])</f>
        <v>https://cleansheet5.sharepoint.com/sites/SalesFunnel//Lists/citizenCustomers/DispForm.aspx?ID=11</v>
      </c>
      <c r="Y22">
        <f>_xlfn.XLOOKUP(Opportunities[[#This Row],[ID]],View[ID],View[Visible])</f>
        <v>1</v>
      </c>
      <c r="Z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(CRM System Upgrade)
 $1.3m • Lead Qualification • Owner: David Specialist</v>
      </c>
      <c r="AA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2" t="str" cm="1">
        <f t="array" ref="AC22">_xlfn.SWITCH(Opportunities[[#This Row],[Probability]],"High","↖","Medium","←","Low","↙")&amp;" " &amp;Opportunities[[#This Row],[Probability]]</f>
        <v>↖ High</v>
      </c>
      <c r="AD22" t="b">
        <f>Opportunities[[#This Row],[WinProbDisplay]]="↖ High"</f>
        <v>1</v>
      </c>
    </row>
    <row r="23" spans="1:30" x14ac:dyDescent="0.25">
      <c r="A23">
        <v>22</v>
      </c>
      <c r="B23" t="s">
        <v>171</v>
      </c>
      <c r="C23" t="s">
        <v>19</v>
      </c>
      <c r="D23" t="s">
        <v>23</v>
      </c>
      <c r="E23">
        <v>843113</v>
      </c>
      <c r="F23" t="s">
        <v>85</v>
      </c>
      <c r="G23" s="40">
        <v>46339</v>
      </c>
      <c r="H23" s="40">
        <v>45895</v>
      </c>
      <c r="I23" t="s">
        <v>154</v>
      </c>
      <c r="J23">
        <v>14</v>
      </c>
      <c r="L23" t="s">
        <v>394</v>
      </c>
      <c r="M23" s="40">
        <v>46374</v>
      </c>
      <c r="O23">
        <v>0</v>
      </c>
      <c r="P23" t="str">
        <f>" FY"&amp;RIGHT(IF(MONTH(Opportunities[[#This Row],[Close]])&gt;=7,YEAR(Opportunities[[#This Row],[Close]])+1,YEAR(Opportunities[[#This Row],[Close]])),2)&amp;"-Q"&amp;IF(MONTH(Opportunities[[#This Row],[Close]])&gt;=7,CEILING((MONTH(Opportunities[[#This Row],[Close]])-6)/3,1),CEILING((MONTH(Opportunities[[#This Row],[Close]])+6)/3,1))</f>
        <v xml:space="preserve"> FY27-Q2</v>
      </c>
      <c r="Q23" t="str">
        <f>"CY"&amp;RIGHT(YEAR(Opportunities[[#This Row],[Close]]),2)&amp;"-Q"&amp;ROUNDUP(MONTH(Opportunities[[#This Row],[Close]])/3, 0)</f>
        <v>CY26-Q4</v>
      </c>
      <c r="R23" t="str">
        <f>siteUrl&amp;"/Lists/"&amp;oppList&amp;"/DispForm.aspx?ID="&amp;Opportunities[[#This Row],[ID]]</f>
        <v>https://cleansheet5.sharepoint.com/sites/SalesFunnel//Lists/citizenOpportunities/DispForm.aspx?ID=22</v>
      </c>
      <c r="S23">
        <f>_xlfn.XLOOKUP(Opportunities[[#This Row],[Stage]],stage[Stage Name],stage[Index],"")</f>
        <v>2</v>
      </c>
      <c r="T23" t="str">
        <f>_xlfn.XLOOKUP(Opportunities[[#This Row],[StageNumber]],stage[Index],stage[Display])</f>
        <v>➁ - Nurturing</v>
      </c>
      <c r="U23">
        <f>Opportunities[[#This Row],[Amount]]*_xlfn.XLOOKUP(Opportunities[[#This Row],[Probability]],prob[Win Probability],prob[Value])</f>
        <v>168622.6</v>
      </c>
      <c r="V23" t="str" cm="1">
        <f t="array" ref="V23">_xlfn.SWITCH(Opportunities[[#This Row],[Status]],"At Risk","⚠","Active","✓","⮾")</f>
        <v>✓</v>
      </c>
      <c r="W23" t="str">
        <f>_xlfn.XLOOKUP(Opportunities[[#This Row],[CustomerId]],Customers[Id],Customers[Customer Name])</f>
        <v>Media Communications</v>
      </c>
      <c r="X23" t="str">
        <f>_xlfn.XLOOKUP(Opportunities[[#This Row],[CustomerId]],Customers[Id],Customers[url2])</f>
        <v>https://cleansheet5.sharepoint.com/sites/SalesFunnel//Lists/citizenCustomers/DispForm.aspx?ID=14</v>
      </c>
      <c r="Y23">
        <f>_xlfn.XLOOKUP(Opportunities[[#This Row],[ID]],View[ID],View[Visible])</f>
        <v>1</v>
      </c>
      <c r="Z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(Inventory Management Solution)
 $0.8m • Nurturing • Owner: Amanda Sales</v>
      </c>
      <c r="AA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3" t="str" cm="1">
        <f t="array" ref="AC23">_xlfn.SWITCH(Opportunities[[#This Row],[Probability]],"High","↖","Medium","←","Low","↙")&amp;" " &amp;Opportunities[[#This Row],[Probability]]</f>
        <v>↙ Low</v>
      </c>
      <c r="AD23" t="b">
        <f>Opportunities[[#This Row],[WinProbDisplay]]="↖ High"</f>
        <v>0</v>
      </c>
    </row>
    <row r="24" spans="1:30" x14ac:dyDescent="0.25">
      <c r="A24">
        <v>23</v>
      </c>
      <c r="B24" t="s">
        <v>172</v>
      </c>
      <c r="C24" t="s">
        <v>19</v>
      </c>
      <c r="D24" t="s">
        <v>18</v>
      </c>
      <c r="E24">
        <v>1236222</v>
      </c>
      <c r="F24" t="s">
        <v>83</v>
      </c>
      <c r="G24" s="40">
        <v>46050</v>
      </c>
      <c r="H24" s="40">
        <v>45911</v>
      </c>
      <c r="I24" t="s">
        <v>97</v>
      </c>
      <c r="J24">
        <v>12</v>
      </c>
      <c r="L24" t="s">
        <v>167</v>
      </c>
      <c r="M24" s="40">
        <v>46111</v>
      </c>
      <c r="O24">
        <v>0</v>
      </c>
      <c r="P24" t="str">
        <f>" FY"&amp;RIGHT(IF(MONTH(Opportunities[[#This Row],[Close]])&gt;=7,YEAR(Opportunities[[#This Row],[Close]])+1,YEAR(Opportunities[[#This Row],[Close]])),2)&amp;"-Q"&amp;IF(MONTH(Opportunities[[#This Row],[Close]])&gt;=7,CEILING((MONTH(Opportunities[[#This Row],[Close]])-6)/3,1),CEILING((MONTH(Opportunities[[#This Row],[Close]])+6)/3,1))</f>
        <v xml:space="preserve"> FY26-Q3</v>
      </c>
      <c r="Q24" t="str">
        <f>"CY"&amp;RIGHT(YEAR(Opportunities[[#This Row],[Close]]),2)&amp;"-Q"&amp;ROUNDUP(MONTH(Opportunities[[#This Row],[Close]])/3, 0)</f>
        <v>CY26-Q1</v>
      </c>
      <c r="R24" t="str">
        <f>siteUrl&amp;"/Lists/"&amp;oppList&amp;"/DispForm.aspx?ID="&amp;Opportunities[[#This Row],[ID]]</f>
        <v>https://cleansheet5.sharepoint.com/sites/SalesFunnel//Lists/citizenOpportunities/DispForm.aspx?ID=23</v>
      </c>
      <c r="S24">
        <f>_xlfn.XLOOKUP(Opportunities[[#This Row],[Stage]],stage[Stage Name],stage[Index],"")</f>
        <v>4</v>
      </c>
      <c r="T24" t="str">
        <f>_xlfn.XLOOKUP(Opportunities[[#This Row],[StageNumber]],stage[Index],stage[Display])</f>
        <v>➃ - Negotiation</v>
      </c>
      <c r="U24">
        <f>Opportunities[[#This Row],[Amount]]*_xlfn.XLOOKUP(Opportunities[[#This Row],[Probability]],prob[Win Probability],prob[Value])</f>
        <v>494488.80000000005</v>
      </c>
      <c r="V24" t="str" cm="1">
        <f t="array" ref="V24">_xlfn.SWITCH(Opportunities[[#This Row],[Status]],"At Risk","⚠","Active","✓","⮾")</f>
        <v>✓</v>
      </c>
      <c r="W24" t="str">
        <f>_xlfn.XLOOKUP(Opportunities[[#This Row],[CustomerId]],Customers[Id],Customers[Customer Name])</f>
        <v>Food Service Partners</v>
      </c>
      <c r="X24" t="str">
        <f>_xlfn.XLOOKUP(Opportunities[[#This Row],[CustomerId]],Customers[Id],Customers[url2])</f>
        <v>https://cleansheet5.sharepoint.com/sites/SalesFunnel//Lists/citizenCustomers/DispForm.aspx?ID=12</v>
      </c>
      <c r="Y24">
        <f>_xlfn.XLOOKUP(Opportunities[[#This Row],[ID]],View[ID],View[Visible])</f>
        <v>1</v>
      </c>
      <c r="Z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(Point of Sale System)
 $1.2m • Negotiation • Owner: David Specialist</v>
      </c>
      <c r="AA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4" t="str" cm="1">
        <f t="array" ref="AC24">_xlfn.SWITCH(Opportunities[[#This Row],[Probability]],"High","↖","Medium","←","Low","↙")&amp;" " &amp;Opportunities[[#This Row],[Probability]]</f>
        <v>← Medium</v>
      </c>
      <c r="AD24" t="b">
        <f>Opportunities[[#This Row],[WinProbDisplay]]="↖ High"</f>
        <v>0</v>
      </c>
    </row>
    <row r="25" spans="1:30" x14ac:dyDescent="0.25">
      <c r="A25">
        <v>24</v>
      </c>
      <c r="B25" t="s">
        <v>173</v>
      </c>
      <c r="C25" t="s">
        <v>19</v>
      </c>
      <c r="D25" t="s">
        <v>18</v>
      </c>
      <c r="E25">
        <v>1708928</v>
      </c>
      <c r="F25" t="s">
        <v>85</v>
      </c>
      <c r="G25" s="40">
        <v>45988</v>
      </c>
      <c r="H25" s="40">
        <v>45938</v>
      </c>
      <c r="I25" t="s">
        <v>147</v>
      </c>
      <c r="J25">
        <v>1</v>
      </c>
      <c r="L25" t="s">
        <v>96</v>
      </c>
      <c r="M25" s="40">
        <v>46070</v>
      </c>
      <c r="O25">
        <v>0</v>
      </c>
      <c r="P25" t="str">
        <f>" FY"&amp;RIGHT(IF(MONTH(Opportunities[[#This Row],[Close]])&gt;=7,YEAR(Opportunities[[#This Row],[Close]])+1,YEAR(Opportunities[[#This Row],[Close]])),2)&amp;"-Q"&amp;IF(MONTH(Opportunities[[#This Row],[Close]])&gt;=7,CEILING((MONTH(Opportunities[[#This Row],[Close]])-6)/3,1),CEILING((MONTH(Opportunities[[#This Row],[Close]])+6)/3,1))</f>
        <v xml:space="preserve"> FY26-Q2</v>
      </c>
      <c r="Q25" t="str">
        <f>"CY"&amp;RIGHT(YEAR(Opportunities[[#This Row],[Close]]),2)&amp;"-Q"&amp;ROUNDUP(MONTH(Opportunities[[#This Row],[Close]])/3, 0)</f>
        <v>CY25-Q4</v>
      </c>
      <c r="R25" t="str">
        <f>siteUrl&amp;"/Lists/"&amp;oppList&amp;"/DispForm.aspx?ID="&amp;Opportunities[[#This Row],[ID]]</f>
        <v>https://cleansheet5.sharepoint.com/sites/SalesFunnel//Lists/citizenOpportunities/DispForm.aspx?ID=24</v>
      </c>
      <c r="S25">
        <f>_xlfn.XLOOKUP(Opportunities[[#This Row],[Stage]],stage[Stage Name],stage[Index],"")</f>
        <v>4</v>
      </c>
      <c r="T25" t="str">
        <f>_xlfn.XLOOKUP(Opportunities[[#This Row],[StageNumber]],stage[Index],stage[Display])</f>
        <v>➃ - Negotiation</v>
      </c>
      <c r="U25">
        <f>Opportunities[[#This Row],[Amount]]*_xlfn.XLOOKUP(Opportunities[[#This Row],[Probability]],prob[Win Probability],prob[Value])</f>
        <v>341785.60000000003</v>
      </c>
      <c r="V25" t="str" cm="1">
        <f t="array" ref="V25">_xlfn.SWITCH(Opportunities[[#This Row],[Status]],"At Risk","⚠","Active","✓","⮾")</f>
        <v>✓</v>
      </c>
      <c r="W25" t="str">
        <f>_xlfn.XLOOKUP(Opportunities[[#This Row],[CustomerId]],Customers[Id],Customers[Customer Name])</f>
        <v>ACME Corporation</v>
      </c>
      <c r="X25" t="str">
        <f>_xlfn.XLOOKUP(Opportunities[[#This Row],[CustomerId]],Customers[Id],Customers[url2])</f>
        <v>https://cleansheet5.sharepoint.com/sites/SalesFunnel//Lists/citizenCustomers/DispForm.aspx?ID=1</v>
      </c>
      <c r="Y25">
        <f>_xlfn.XLOOKUP(Opportunities[[#This Row],[ID]],View[ID],View[Visible])</f>
        <v>1</v>
      </c>
      <c r="Z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$1.7m • Negotiation • Owner: Sarah Director</v>
      </c>
      <c r="AA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5" t="str" cm="1">
        <f t="array" ref="AC25">_xlfn.SWITCH(Opportunities[[#This Row],[Probability]],"High","↖","Medium","←","Low","↙")&amp;" " &amp;Opportunities[[#This Row],[Probability]]</f>
        <v>↙ Low</v>
      </c>
      <c r="AD25" t="b">
        <f>Opportunities[[#This Row],[WinProbDisplay]]="↖ High"</f>
        <v>0</v>
      </c>
    </row>
    <row r="26" spans="1:30" x14ac:dyDescent="0.25">
      <c r="A26">
        <v>25</v>
      </c>
      <c r="B26" t="s">
        <v>174</v>
      </c>
      <c r="C26" t="s">
        <v>19</v>
      </c>
      <c r="D26" t="s">
        <v>24</v>
      </c>
      <c r="E26">
        <v>1218810</v>
      </c>
      <c r="F26" t="s">
        <v>83</v>
      </c>
      <c r="G26" s="40">
        <v>45925</v>
      </c>
      <c r="H26" s="40">
        <v>45933</v>
      </c>
      <c r="I26" t="s">
        <v>154</v>
      </c>
      <c r="J26">
        <v>1</v>
      </c>
      <c r="K26" t="s">
        <v>416</v>
      </c>
      <c r="L26" t="s">
        <v>394</v>
      </c>
      <c r="M26" s="40">
        <v>45970</v>
      </c>
      <c r="O26">
        <v>0</v>
      </c>
      <c r="P26" t="str">
        <f>" FY"&amp;RIGHT(IF(MONTH(Opportunities[[#This Row],[Close]])&gt;=7,YEAR(Opportunities[[#This Row],[Close]])+1,YEAR(Opportunities[[#This Row],[Close]])),2)&amp;"-Q"&amp;IF(MONTH(Opportunities[[#This Row],[Close]])&gt;=7,CEILING((MONTH(Opportunities[[#This Row],[Close]])-6)/3,1),CEILING((MONTH(Opportunities[[#This Row],[Close]])+6)/3,1))</f>
        <v xml:space="preserve"> FY26-Q1</v>
      </c>
      <c r="Q26" t="str">
        <f>"CY"&amp;RIGHT(YEAR(Opportunities[[#This Row],[Close]]),2)&amp;"-Q"&amp;ROUNDUP(MONTH(Opportunities[[#This Row],[Close]])/3, 0)</f>
        <v>CY25-Q3</v>
      </c>
      <c r="R26" t="str">
        <f>siteUrl&amp;"/Lists/"&amp;oppList&amp;"/DispForm.aspx?ID="&amp;Opportunities[[#This Row],[ID]]</f>
        <v>https://cleansheet5.sharepoint.com/sites/SalesFunnel//Lists/citizenOpportunities/DispForm.aspx?ID=25</v>
      </c>
      <c r="S26">
        <f>_xlfn.XLOOKUP(Opportunities[[#This Row],[Stage]],stage[Stage Name],stage[Index],"")</f>
        <v>6</v>
      </c>
      <c r="T26" t="str">
        <f>_xlfn.XLOOKUP(Opportunities[[#This Row],[StageNumber]],stage[Index],stage[Display])</f>
        <v>➅ - Closeout</v>
      </c>
      <c r="U26">
        <f>Opportunities[[#This Row],[Amount]]*_xlfn.XLOOKUP(Opportunities[[#This Row],[Probability]],prob[Win Probability],prob[Value])</f>
        <v>487524</v>
      </c>
      <c r="V26" t="str" cm="1">
        <f t="array" ref="V26">_xlfn.SWITCH(Opportunities[[#This Row],[Status]],"At Risk","⚠","Active","✓","⮾")</f>
        <v>✓</v>
      </c>
      <c r="W26" t="str">
        <f>_xlfn.XLOOKUP(Opportunities[[#This Row],[CustomerId]],Customers[Id],Customers[Customer Name])</f>
        <v>ACME Corporation</v>
      </c>
      <c r="X26" t="str">
        <f>_xlfn.XLOOKUP(Opportunities[[#This Row],[CustomerId]],Customers[Id],Customers[url2])</f>
        <v>https://cleansheet5.sharepoint.com/sites/SalesFunnel//Lists/citizenCustomers/DispForm.aspx?ID=1</v>
      </c>
      <c r="Y26">
        <f>_xlfn.XLOOKUP(Opportunities[[#This Row],[ID]],View[ID],View[Visible])</f>
        <v>1</v>
      </c>
      <c r="Z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(Project Management Software)
 $1.2m • Closeout • Owner: Amanda Sales</v>
      </c>
      <c r="AA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6" t="str" cm="1">
        <f t="array" ref="AC26">_xlfn.SWITCH(Opportunities[[#This Row],[Probability]],"High","↖","Medium","←","Low","↙")&amp;" " &amp;Opportunities[[#This Row],[Probability]]</f>
        <v>← Medium</v>
      </c>
      <c r="AD26" t="b">
        <f>Opportunities[[#This Row],[WinProbDisplay]]="↖ High"</f>
        <v>0</v>
      </c>
    </row>
    <row r="27" spans="1:30" x14ac:dyDescent="0.25">
      <c r="A27">
        <v>26</v>
      </c>
      <c r="B27" t="s">
        <v>175</v>
      </c>
      <c r="C27" t="s">
        <v>19</v>
      </c>
      <c r="D27" t="s">
        <v>18</v>
      </c>
      <c r="E27">
        <v>2183247</v>
      </c>
      <c r="F27" t="s">
        <v>85</v>
      </c>
      <c r="G27" s="40">
        <v>46100</v>
      </c>
      <c r="H27" s="40">
        <v>45911</v>
      </c>
      <c r="I27" t="s">
        <v>106</v>
      </c>
      <c r="J27">
        <v>15</v>
      </c>
      <c r="L27" t="s">
        <v>394</v>
      </c>
      <c r="M27" s="40">
        <v>46190</v>
      </c>
      <c r="O27">
        <v>0</v>
      </c>
      <c r="P27" t="str">
        <f>" FY"&amp;RIGHT(IF(MONTH(Opportunities[[#This Row],[Close]])&gt;=7,YEAR(Opportunities[[#This Row],[Close]])+1,YEAR(Opportunities[[#This Row],[Close]])),2)&amp;"-Q"&amp;IF(MONTH(Opportunities[[#This Row],[Close]])&gt;=7,CEILING((MONTH(Opportunities[[#This Row],[Close]])-6)/3,1),CEILING((MONTH(Opportunities[[#This Row],[Close]])+6)/3,1))</f>
        <v xml:space="preserve"> FY26-Q3</v>
      </c>
      <c r="Q27" t="str">
        <f>"CY"&amp;RIGHT(YEAR(Opportunities[[#This Row],[Close]]),2)&amp;"-Q"&amp;ROUNDUP(MONTH(Opportunities[[#This Row],[Close]])/3, 0)</f>
        <v>CY26-Q1</v>
      </c>
      <c r="R27" t="str">
        <f>siteUrl&amp;"/Lists/"&amp;oppList&amp;"/DispForm.aspx?ID="&amp;Opportunities[[#This Row],[ID]]</f>
        <v>https://cleansheet5.sharepoint.com/sites/SalesFunnel//Lists/citizenOpportunities/DispForm.aspx?ID=26</v>
      </c>
      <c r="S27">
        <f>_xlfn.XLOOKUP(Opportunities[[#This Row],[Stage]],stage[Stage Name],stage[Index],"")</f>
        <v>4</v>
      </c>
      <c r="T27" t="str">
        <f>_xlfn.XLOOKUP(Opportunities[[#This Row],[StageNumber]],stage[Index],stage[Display])</f>
        <v>➃ - Negotiation</v>
      </c>
      <c r="U27">
        <f>Opportunities[[#This Row],[Amount]]*_xlfn.XLOOKUP(Opportunities[[#This Row],[Probability]],prob[Win Probability],prob[Value])</f>
        <v>436649.4</v>
      </c>
      <c r="V27" t="str" cm="1">
        <f t="array" ref="V27">_xlfn.SWITCH(Opportunities[[#This Row],[Status]],"At Risk","⚠","Active","✓","⮾")</f>
        <v>✓</v>
      </c>
      <c r="W27" t="str">
        <f>_xlfn.XLOOKUP(Opportunities[[#This Row],[CustomerId]],Customers[Id],Customers[Customer Name])</f>
        <v>Pharmaceutical Research</v>
      </c>
      <c r="X27" t="str">
        <f>_xlfn.XLOOKUP(Opportunities[[#This Row],[CustomerId]],Customers[Id],Customers[url2])</f>
        <v>https://cleansheet5.sharepoint.com/sites/SalesFunnel//Lists/citizenCustomers/DispForm.aspx?ID=15</v>
      </c>
      <c r="Y27">
        <f>_xlfn.XLOOKUP(Opportunities[[#This Row],[ID]],View[ID],View[Visible])</f>
        <v>1</v>
      </c>
      <c r="Z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(Video Conferencing Solution)
 $2.2m • Negotiation • Owner: Amanda Sales</v>
      </c>
      <c r="AA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7" t="str" cm="1">
        <f t="array" ref="AC27">_xlfn.SWITCH(Opportunities[[#This Row],[Probability]],"High","↖","Medium","←","Low","↙")&amp;" " &amp;Opportunities[[#This Row],[Probability]]</f>
        <v>↙ Low</v>
      </c>
      <c r="AD27" t="b">
        <f>Opportunities[[#This Row],[WinProbDisplay]]="↖ High"</f>
        <v>0</v>
      </c>
    </row>
    <row r="28" spans="1:30" x14ac:dyDescent="0.25">
      <c r="A28">
        <v>27</v>
      </c>
      <c r="B28" t="s">
        <v>176</v>
      </c>
      <c r="C28" t="s">
        <v>17</v>
      </c>
      <c r="D28" t="s">
        <v>23</v>
      </c>
      <c r="E28">
        <v>993719</v>
      </c>
      <c r="F28" t="s">
        <v>83</v>
      </c>
      <c r="G28" s="40">
        <v>46118</v>
      </c>
      <c r="H28" s="40">
        <v>45932</v>
      </c>
      <c r="I28" t="s">
        <v>97</v>
      </c>
      <c r="J28">
        <v>9</v>
      </c>
      <c r="L28" t="s">
        <v>99</v>
      </c>
      <c r="M28" s="40">
        <v>46153</v>
      </c>
      <c r="O28">
        <v>0</v>
      </c>
      <c r="P28" t="str">
        <f>" FY"&amp;RIGHT(IF(MONTH(Opportunities[[#This Row],[Close]])&gt;=7,YEAR(Opportunities[[#This Row],[Close]])+1,YEAR(Opportunities[[#This Row],[Close]])),2)&amp;"-Q"&amp;IF(MONTH(Opportunities[[#This Row],[Close]])&gt;=7,CEILING((MONTH(Opportunities[[#This Row],[Close]])-6)/3,1),CEILING((MONTH(Opportunities[[#This Row],[Close]])+6)/3,1))</f>
        <v xml:space="preserve"> FY26-Q4</v>
      </c>
      <c r="Q28" t="str">
        <f>"CY"&amp;RIGHT(YEAR(Opportunities[[#This Row],[Close]]),2)&amp;"-Q"&amp;ROUNDUP(MONTH(Opportunities[[#This Row],[Close]])/3, 0)</f>
        <v>CY26-Q2</v>
      </c>
      <c r="R28" t="str">
        <f>siteUrl&amp;"/Lists/"&amp;oppList&amp;"/DispForm.aspx?ID="&amp;Opportunities[[#This Row],[ID]]</f>
        <v>https://cleansheet5.sharepoint.com/sites/SalesFunnel//Lists/citizenOpportunities/DispForm.aspx?ID=27</v>
      </c>
      <c r="S28">
        <f>_xlfn.XLOOKUP(Opportunities[[#This Row],[Stage]],stage[Stage Name],stage[Index],"")</f>
        <v>2</v>
      </c>
      <c r="T28" t="str">
        <f>_xlfn.XLOOKUP(Opportunities[[#This Row],[StageNumber]],stage[Index],stage[Display])</f>
        <v>➁ - Nurturing</v>
      </c>
      <c r="U28">
        <f>Opportunities[[#This Row],[Amount]]*_xlfn.XLOOKUP(Opportunities[[#This Row],[Probability]],prob[Win Probability],prob[Value])</f>
        <v>397487.60000000003</v>
      </c>
      <c r="V28" t="str" cm="1">
        <f t="array" ref="V28">_xlfn.SWITCH(Opportunities[[#This Row],[Status]],"At Risk","⚠","Active","✓","⮾")</f>
        <v>⚠</v>
      </c>
      <c r="W28" t="str">
        <f>_xlfn.XLOOKUP(Opportunities[[#This Row],[CustomerId]],Customers[Id],Customers[Customer Name])</f>
        <v>Construction Dynamics</v>
      </c>
      <c r="X28" t="str">
        <f>_xlfn.XLOOKUP(Opportunities[[#This Row],[CustomerId]],Customers[Id],Customers[url2])</f>
        <v>https://cleansheet5.sharepoint.com/sites/SalesFunnel//Lists/citizenCustomers/DispForm.aspx?ID=9</v>
      </c>
      <c r="Y28">
        <f>_xlfn.XLOOKUP(Opportunities[[#This Row],[ID]],View[ID],View[Visible])</f>
        <v>1</v>
      </c>
      <c r="Z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(Backup &amp; Recovery System)
 $1.0m • Nurturing • Owner: Mike Consultant</v>
      </c>
      <c r="AA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8" t="str" cm="1">
        <f t="array" ref="AC28">_xlfn.SWITCH(Opportunities[[#This Row],[Probability]],"High","↖","Medium","←","Low","↙")&amp;" " &amp;Opportunities[[#This Row],[Probability]]</f>
        <v>← Medium</v>
      </c>
      <c r="AD28" t="b">
        <f>Opportunities[[#This Row],[WinProbDisplay]]="↖ High"</f>
        <v>0</v>
      </c>
    </row>
    <row r="29" spans="1:30" x14ac:dyDescent="0.25">
      <c r="A29">
        <v>28</v>
      </c>
      <c r="B29" t="s">
        <v>177</v>
      </c>
      <c r="C29" t="s">
        <v>19</v>
      </c>
      <c r="D29" t="s">
        <v>23</v>
      </c>
      <c r="E29">
        <v>1001054</v>
      </c>
      <c r="F29" t="s">
        <v>84</v>
      </c>
      <c r="G29" s="40">
        <v>46113</v>
      </c>
      <c r="H29" s="40">
        <v>45887</v>
      </c>
      <c r="I29" t="s">
        <v>147</v>
      </c>
      <c r="J29">
        <v>3</v>
      </c>
      <c r="L29" t="s">
        <v>394</v>
      </c>
      <c r="M29" s="40">
        <v>46149</v>
      </c>
      <c r="O29">
        <v>0</v>
      </c>
      <c r="P29" t="str">
        <f>" FY"&amp;RIGHT(IF(MONTH(Opportunities[[#This Row],[Close]])&gt;=7,YEAR(Opportunities[[#This Row],[Close]])+1,YEAR(Opportunities[[#This Row],[Close]])),2)&amp;"-Q"&amp;IF(MONTH(Opportunities[[#This Row],[Close]])&gt;=7,CEILING((MONTH(Opportunities[[#This Row],[Close]])-6)/3,1),CEILING((MONTH(Opportunities[[#This Row],[Close]])+6)/3,1))</f>
        <v xml:space="preserve"> FY26-Q4</v>
      </c>
      <c r="Q29" t="str">
        <f>"CY"&amp;RIGHT(YEAR(Opportunities[[#This Row],[Close]]),2)&amp;"-Q"&amp;ROUNDUP(MONTH(Opportunities[[#This Row],[Close]])/3, 0)</f>
        <v>CY26-Q2</v>
      </c>
      <c r="R29" t="str">
        <f>siteUrl&amp;"/Lists/"&amp;oppList&amp;"/DispForm.aspx?ID="&amp;Opportunities[[#This Row],[ID]]</f>
        <v>https://cleansheet5.sharepoint.com/sites/SalesFunnel//Lists/citizenOpportunities/DispForm.aspx?ID=28</v>
      </c>
      <c r="S29">
        <f>_xlfn.XLOOKUP(Opportunities[[#This Row],[Stage]],stage[Stage Name],stage[Index],"")</f>
        <v>2</v>
      </c>
      <c r="T29" t="str">
        <f>_xlfn.XLOOKUP(Opportunities[[#This Row],[StageNumber]],stage[Index],stage[Display])</f>
        <v>➁ - Nurturing</v>
      </c>
      <c r="U29">
        <f>Opportunities[[#This Row],[Amount]]*_xlfn.XLOOKUP(Opportunities[[#This Row],[Probability]],prob[Win Probability],prob[Value])</f>
        <v>900948.6</v>
      </c>
      <c r="V29" t="str" cm="1">
        <f t="array" ref="V29">_xlfn.SWITCH(Opportunities[[#This Row],[Status]],"At Risk","⚠","Active","✓","⮾")</f>
        <v>✓</v>
      </c>
      <c r="W29" t="str">
        <f>_xlfn.XLOOKUP(Opportunities[[#This Row],[CustomerId]],Customers[Id],Customers[Customer Name])</f>
        <v>Tech Solutions Inc</v>
      </c>
      <c r="X29" t="str">
        <f>_xlfn.XLOOKUP(Opportunities[[#This Row],[CustomerId]],Customers[Id],Customers[url2])</f>
        <v>https://cleansheet5.sharepoint.com/sites/SalesFunnel//Lists/citizenCustomers/DispForm.aspx?ID=3</v>
      </c>
      <c r="Y29">
        <f>_xlfn.XLOOKUP(Opportunities[[#This Row],[ID]],View[ID],View[Visible])</f>
        <v>1</v>
      </c>
      <c r="Z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(Website Redesign Project)
 $1.0m • Nurturing • Owner: Amanda Sales</v>
      </c>
      <c r="AA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9" t="str" cm="1">
        <f t="array" ref="AC29">_xlfn.SWITCH(Opportunities[[#This Row],[Probability]],"High","↖","Medium","←","Low","↙")&amp;" " &amp;Opportunities[[#This Row],[Probability]]</f>
        <v>↖ High</v>
      </c>
      <c r="AD29" t="b">
        <f>Opportunities[[#This Row],[WinProbDisplay]]="↖ High"</f>
        <v>1</v>
      </c>
    </row>
    <row r="30" spans="1:30" x14ac:dyDescent="0.25">
      <c r="A30">
        <v>29</v>
      </c>
      <c r="B30" t="s">
        <v>178</v>
      </c>
      <c r="C30" t="s">
        <v>19</v>
      </c>
      <c r="D30" t="s">
        <v>20</v>
      </c>
      <c r="E30">
        <v>1091632</v>
      </c>
      <c r="F30" t="s">
        <v>84</v>
      </c>
      <c r="G30" s="40">
        <v>46038</v>
      </c>
      <c r="H30" s="40">
        <v>45937</v>
      </c>
      <c r="I30" t="s">
        <v>94</v>
      </c>
      <c r="J30">
        <v>29</v>
      </c>
      <c r="L30" t="s">
        <v>158</v>
      </c>
      <c r="M30" s="40">
        <v>46090</v>
      </c>
      <c r="O30">
        <v>0</v>
      </c>
      <c r="P30" t="str">
        <f>" FY"&amp;RIGHT(IF(MONTH(Opportunities[[#This Row],[Close]])&gt;=7,YEAR(Opportunities[[#This Row],[Close]])+1,YEAR(Opportunities[[#This Row],[Close]])),2)&amp;"-Q"&amp;IF(MONTH(Opportunities[[#This Row],[Close]])&gt;=7,CEILING((MONTH(Opportunities[[#This Row],[Close]])-6)/3,1),CEILING((MONTH(Opportunities[[#This Row],[Close]])+6)/3,1))</f>
        <v xml:space="preserve"> FY26-Q3</v>
      </c>
      <c r="Q30" t="str">
        <f>"CY"&amp;RIGHT(YEAR(Opportunities[[#This Row],[Close]]),2)&amp;"-Q"&amp;ROUNDUP(MONTH(Opportunities[[#This Row],[Close]])/3, 0)</f>
        <v>CY26-Q1</v>
      </c>
      <c r="R30" t="str">
        <f>siteUrl&amp;"/Lists/"&amp;oppList&amp;"/DispForm.aspx?ID="&amp;Opportunities[[#This Row],[ID]]</f>
        <v>https://cleansheet5.sharepoint.com/sites/SalesFunnel//Lists/citizenOpportunities/DispForm.aspx?ID=29</v>
      </c>
      <c r="S30">
        <f>_xlfn.XLOOKUP(Opportunities[[#This Row],[Stage]],stage[Stage Name],stage[Index],"")</f>
        <v>1</v>
      </c>
      <c r="T30" t="str">
        <f>_xlfn.XLOOKUP(Opportunities[[#This Row],[StageNumber]],stage[Index],stage[Display])</f>
        <v>➀ - Lead Qualification</v>
      </c>
      <c r="U30">
        <f>Opportunities[[#This Row],[Amount]]*_xlfn.XLOOKUP(Opportunities[[#This Row],[Probability]],prob[Win Probability],prob[Value])</f>
        <v>982468.8</v>
      </c>
      <c r="V30" t="str" cm="1">
        <f t="array" ref="V30">_xlfn.SWITCH(Opportunities[[#This Row],[Status]],"At Risk","⚠","Active","✓","⮾")</f>
        <v>✓</v>
      </c>
      <c r="W30" t="str">
        <f>_xlfn.XLOOKUP(Opportunities[[#This Row],[CustomerId]],Customers[Id],Customers[Customer Name])</f>
        <v>Waste Management Co</v>
      </c>
      <c r="X30" t="str">
        <f>_xlfn.XLOOKUP(Opportunities[[#This Row],[CustomerId]],Customers[Id],Customers[url2])</f>
        <v>https://cleansheet5.sharepoint.com/sites/SalesFunnel//Lists/citizenCustomers/DispForm.aspx?ID=29</v>
      </c>
      <c r="Y30">
        <f>_xlfn.XLOOKUP(Opportunities[[#This Row],[ID]],View[ID],View[Visible])</f>
        <v>1</v>
      </c>
      <c r="Z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(Social Media Management Tool)
 $1.1m • Lead Qualification • Owner: Robert Analyst</v>
      </c>
      <c r="AA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0" t="str" cm="1">
        <f t="array" ref="AC30">_xlfn.SWITCH(Opportunities[[#This Row],[Probability]],"High","↖","Medium","←","Low","↙")&amp;" " &amp;Opportunities[[#This Row],[Probability]]</f>
        <v>↖ High</v>
      </c>
      <c r="AD30" t="b">
        <f>Opportunities[[#This Row],[WinProbDisplay]]="↖ High"</f>
        <v>1</v>
      </c>
    </row>
    <row r="31" spans="1:30" x14ac:dyDescent="0.25">
      <c r="A31">
        <v>30</v>
      </c>
      <c r="B31" t="s">
        <v>179</v>
      </c>
      <c r="C31" t="s">
        <v>25</v>
      </c>
      <c r="D31" t="s">
        <v>23</v>
      </c>
      <c r="E31">
        <v>1555472</v>
      </c>
      <c r="F31" t="s">
        <v>83</v>
      </c>
      <c r="G31" s="40">
        <v>46307</v>
      </c>
      <c r="H31" s="40">
        <v>45887</v>
      </c>
      <c r="I31" t="s">
        <v>97</v>
      </c>
      <c r="J31">
        <v>1</v>
      </c>
      <c r="L31" t="s">
        <v>105</v>
      </c>
      <c r="M31" s="40">
        <v>46323</v>
      </c>
      <c r="O31">
        <v>0</v>
      </c>
      <c r="P31" t="str">
        <f>" FY"&amp;RIGHT(IF(MONTH(Opportunities[[#This Row],[Close]])&gt;=7,YEAR(Opportunities[[#This Row],[Close]])+1,YEAR(Opportunities[[#This Row],[Close]])),2)&amp;"-Q"&amp;IF(MONTH(Opportunities[[#This Row],[Close]])&gt;=7,CEILING((MONTH(Opportunities[[#This Row],[Close]])-6)/3,1),CEILING((MONTH(Opportunities[[#This Row],[Close]])+6)/3,1))</f>
        <v xml:space="preserve"> FY27-Q2</v>
      </c>
      <c r="Q31" t="str">
        <f>"CY"&amp;RIGHT(YEAR(Opportunities[[#This Row],[Close]]),2)&amp;"-Q"&amp;ROUNDUP(MONTH(Opportunities[[#This Row],[Close]])/3, 0)</f>
        <v>CY26-Q4</v>
      </c>
      <c r="R31" t="str">
        <f>siteUrl&amp;"/Lists/"&amp;oppList&amp;"/DispForm.aspx?ID="&amp;Opportunities[[#This Row],[ID]]</f>
        <v>https://cleansheet5.sharepoint.com/sites/SalesFunnel//Lists/citizenOpportunities/DispForm.aspx?ID=30</v>
      </c>
      <c r="S31">
        <f>_xlfn.XLOOKUP(Opportunities[[#This Row],[Stage]],stage[Stage Name],stage[Index],"")</f>
        <v>2</v>
      </c>
      <c r="T31" t="str">
        <f>_xlfn.XLOOKUP(Opportunities[[#This Row],[StageNumber]],stage[Index],stage[Display])</f>
        <v>➁ - Nurturing</v>
      </c>
      <c r="U31">
        <f>Opportunities[[#This Row],[Amount]]*_xlfn.XLOOKUP(Opportunities[[#This Row],[Probability]],prob[Win Probability],prob[Value])</f>
        <v>622188.80000000005</v>
      </c>
      <c r="V31" t="str" cm="1">
        <f t="array" ref="V31">_xlfn.SWITCH(Opportunities[[#This Row],[Status]],"At Risk","⚠","Active","✓","⮾")</f>
        <v>⮾</v>
      </c>
      <c r="W31" t="str">
        <f>_xlfn.XLOOKUP(Opportunities[[#This Row],[CustomerId]],Customers[Id],Customers[Customer Name])</f>
        <v>ACME Corporation</v>
      </c>
      <c r="X31" t="str">
        <f>_xlfn.XLOOKUP(Opportunities[[#This Row],[CustomerId]],Customers[Id],Customers[url2])</f>
        <v>https://cleansheet5.sharepoint.com/sites/SalesFunnel//Lists/citizenCustomers/DispForm.aspx?ID=1</v>
      </c>
      <c r="Y31">
        <f>_xlfn.XLOOKUP(Opportunities[[#This Row],[ID]],View[ID],View[Visible])</f>
        <v>1</v>
      </c>
      <c r="Z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$1.6m • Nurturing • Owner: Dr. Tech Advisor</v>
      </c>
      <c r="AA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1" t="str" cm="1">
        <f t="array" ref="AC31">_xlfn.SWITCH(Opportunities[[#This Row],[Probability]],"High","↖","Medium","←","Low","↙")&amp;" " &amp;Opportunities[[#This Row],[Probability]]</f>
        <v>← Medium</v>
      </c>
      <c r="AD31" t="b">
        <f>Opportunities[[#This Row],[WinProbDisplay]]="↖ High"</f>
        <v>0</v>
      </c>
    </row>
    <row r="32" spans="1:30" x14ac:dyDescent="0.25">
      <c r="A32">
        <v>31</v>
      </c>
      <c r="B32" t="s">
        <v>180</v>
      </c>
      <c r="C32" t="s">
        <v>17</v>
      </c>
      <c r="D32" t="s">
        <v>24</v>
      </c>
      <c r="E32">
        <v>1181189</v>
      </c>
      <c r="F32" t="s">
        <v>83</v>
      </c>
      <c r="G32" s="40">
        <v>46255</v>
      </c>
      <c r="H32" s="40">
        <v>45938</v>
      </c>
      <c r="I32" t="s">
        <v>100</v>
      </c>
      <c r="J32">
        <v>13</v>
      </c>
      <c r="L32" t="s">
        <v>99</v>
      </c>
      <c r="M32" s="40">
        <v>46323</v>
      </c>
      <c r="O32">
        <v>0</v>
      </c>
      <c r="P32" t="str">
        <f>" FY"&amp;RIGHT(IF(MONTH(Opportunities[[#This Row],[Close]])&gt;=7,YEAR(Opportunities[[#This Row],[Close]])+1,YEAR(Opportunities[[#This Row],[Close]])),2)&amp;"-Q"&amp;IF(MONTH(Opportunities[[#This Row],[Close]])&gt;=7,CEILING((MONTH(Opportunities[[#This Row],[Close]])-6)/3,1),CEILING((MONTH(Opportunities[[#This Row],[Close]])+6)/3,1))</f>
        <v xml:space="preserve"> FY27-Q1</v>
      </c>
      <c r="Q32" t="str">
        <f>"CY"&amp;RIGHT(YEAR(Opportunities[[#This Row],[Close]]),2)&amp;"-Q"&amp;ROUNDUP(MONTH(Opportunities[[#This Row],[Close]])/3, 0)</f>
        <v>CY26-Q3</v>
      </c>
      <c r="R32" t="str">
        <f>siteUrl&amp;"/Lists/"&amp;oppList&amp;"/DispForm.aspx?ID="&amp;Opportunities[[#This Row],[ID]]</f>
        <v>https://cleansheet5.sharepoint.com/sites/SalesFunnel//Lists/citizenOpportunities/DispForm.aspx?ID=31</v>
      </c>
      <c r="S32">
        <f>_xlfn.XLOOKUP(Opportunities[[#This Row],[Stage]],stage[Stage Name],stage[Index],"")</f>
        <v>6</v>
      </c>
      <c r="T32" t="str">
        <f>_xlfn.XLOOKUP(Opportunities[[#This Row],[StageNumber]],stage[Index],stage[Display])</f>
        <v>➅ - Closeout</v>
      </c>
      <c r="U32">
        <f>Opportunities[[#This Row],[Amount]]*_xlfn.XLOOKUP(Opportunities[[#This Row],[Probability]],prob[Win Probability],prob[Value])</f>
        <v>472475.60000000003</v>
      </c>
      <c r="V32" t="str" cm="1">
        <f t="array" ref="V32">_xlfn.SWITCH(Opportunities[[#This Row],[Status]],"At Risk","⚠","Active","✓","⮾")</f>
        <v>⚠</v>
      </c>
      <c r="W32" t="str">
        <f>_xlfn.XLOOKUP(Opportunities[[#This Row],[CustomerId]],Customers[Id],Customers[Customer Name])</f>
        <v>Professional Services Group</v>
      </c>
      <c r="X32" t="str">
        <f>_xlfn.XLOOKUP(Opportunities[[#This Row],[CustomerId]],Customers[Id],Customers[url2])</f>
        <v>https://cleansheet5.sharepoint.com/sites/SalesFunnel//Lists/citizenCustomers/DispForm.aspx?ID=13</v>
      </c>
      <c r="Y32">
        <f>_xlfn.XLOOKUP(Opportunities[[#This Row],[ID]],View[ID],View[Visible])</f>
        <v>1</v>
      </c>
      <c r="Z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(Fleet Management System)
 $1.2m • Closeout • Owner: Mike Consultant</v>
      </c>
      <c r="AA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2" t="str" cm="1">
        <f t="array" ref="AC32">_xlfn.SWITCH(Opportunities[[#This Row],[Probability]],"High","↖","Medium","←","Low","↙")&amp;" " &amp;Opportunities[[#This Row],[Probability]]</f>
        <v>← Medium</v>
      </c>
      <c r="AD32" t="b">
        <f>Opportunities[[#This Row],[WinProbDisplay]]="↖ High"</f>
        <v>0</v>
      </c>
    </row>
    <row r="33" spans="1:30" x14ac:dyDescent="0.25">
      <c r="A33">
        <v>32</v>
      </c>
      <c r="B33" t="s">
        <v>181</v>
      </c>
      <c r="C33" t="s">
        <v>19</v>
      </c>
      <c r="D33" t="s">
        <v>21</v>
      </c>
      <c r="E33">
        <v>1850071</v>
      </c>
      <c r="F33" t="s">
        <v>83</v>
      </c>
      <c r="G33" s="40">
        <v>46211</v>
      </c>
      <c r="H33" s="40">
        <v>45891</v>
      </c>
      <c r="I33" t="s">
        <v>149</v>
      </c>
      <c r="J33">
        <v>14</v>
      </c>
      <c r="L33" t="s">
        <v>102</v>
      </c>
      <c r="M33" s="40">
        <v>46293</v>
      </c>
      <c r="O33">
        <v>0</v>
      </c>
      <c r="P33" t="str">
        <f>" FY"&amp;RIGHT(IF(MONTH(Opportunities[[#This Row],[Close]])&gt;=7,YEAR(Opportunities[[#This Row],[Close]])+1,YEAR(Opportunities[[#This Row],[Close]])),2)&amp;"-Q"&amp;IF(MONTH(Opportunities[[#This Row],[Close]])&gt;=7,CEILING((MONTH(Opportunities[[#This Row],[Close]])-6)/3,1),CEILING((MONTH(Opportunities[[#This Row],[Close]])+6)/3,1))</f>
        <v xml:space="preserve"> FY27-Q1</v>
      </c>
      <c r="Q33" t="str">
        <f>"CY"&amp;RIGHT(YEAR(Opportunities[[#This Row],[Close]]),2)&amp;"-Q"&amp;ROUNDUP(MONTH(Opportunities[[#This Row],[Close]])/3, 0)</f>
        <v>CY26-Q3</v>
      </c>
      <c r="R33" t="str">
        <f>siteUrl&amp;"/Lists/"&amp;oppList&amp;"/DispForm.aspx?ID="&amp;Opportunities[[#This Row],[ID]]</f>
        <v>https://cleansheet5.sharepoint.com/sites/SalesFunnel//Lists/citizenOpportunities/DispForm.aspx?ID=32</v>
      </c>
      <c r="S33">
        <f>_xlfn.XLOOKUP(Opportunities[[#This Row],[Stage]],stage[Stage Name],stage[Index],"")</f>
        <v>5</v>
      </c>
      <c r="T33" t="str">
        <f>_xlfn.XLOOKUP(Opportunities[[#This Row],[StageNumber]],stage[Index],stage[Display])</f>
        <v>➄ - Project Execution</v>
      </c>
      <c r="U33">
        <f>Opportunities[[#This Row],[Amount]]*_xlfn.XLOOKUP(Opportunities[[#This Row],[Probability]],prob[Win Probability],prob[Value])</f>
        <v>740028.4</v>
      </c>
      <c r="V33" t="str" cm="1">
        <f t="array" ref="V33">_xlfn.SWITCH(Opportunities[[#This Row],[Status]],"At Risk","⚠","Active","✓","⮾")</f>
        <v>✓</v>
      </c>
      <c r="W33" t="str">
        <f>_xlfn.XLOOKUP(Opportunities[[#This Row],[CustomerId]],Customers[Id],Customers[Customer Name])</f>
        <v>Media Communications</v>
      </c>
      <c r="X33" t="str">
        <f>_xlfn.XLOOKUP(Opportunities[[#This Row],[CustomerId]],Customers[Id],Customers[url2])</f>
        <v>https://cleansheet5.sharepoint.com/sites/SalesFunnel//Lists/citizenCustomers/DispForm.aspx?ID=14</v>
      </c>
      <c r="Y33">
        <f>_xlfn.XLOOKUP(Opportunities[[#This Row],[ID]],View[ID],View[Visible])</f>
        <v>1</v>
      </c>
      <c r="Z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(Environmental Monitoring Solution)
 $1.9m • Project Execution • Owner: Lisa Engineer</v>
      </c>
      <c r="AA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3" t="str" cm="1">
        <f t="array" ref="AC33">_xlfn.SWITCH(Opportunities[[#This Row],[Probability]],"High","↖","Medium","←","Low","↙")&amp;" " &amp;Opportunities[[#This Row],[Probability]]</f>
        <v>← Medium</v>
      </c>
      <c r="AD33" t="b">
        <f>Opportunities[[#This Row],[WinProbDisplay]]="↖ High"</f>
        <v>0</v>
      </c>
    </row>
    <row r="34" spans="1:30" x14ac:dyDescent="0.25">
      <c r="A34">
        <v>33</v>
      </c>
      <c r="B34" t="s">
        <v>182</v>
      </c>
      <c r="C34" t="s">
        <v>19</v>
      </c>
      <c r="D34" t="s">
        <v>22</v>
      </c>
      <c r="E34">
        <v>927080</v>
      </c>
      <c r="F34" t="s">
        <v>83</v>
      </c>
      <c r="G34" s="40">
        <v>46181</v>
      </c>
      <c r="H34" s="40">
        <v>45929</v>
      </c>
      <c r="I34" t="s">
        <v>160</v>
      </c>
      <c r="J34">
        <v>17</v>
      </c>
      <c r="L34" t="s">
        <v>99</v>
      </c>
      <c r="M34" s="40">
        <v>46212</v>
      </c>
      <c r="O34">
        <v>0</v>
      </c>
      <c r="P34" t="str">
        <f>" FY"&amp;RIGHT(IF(MONTH(Opportunities[[#This Row],[Close]])&gt;=7,YEAR(Opportunities[[#This Row],[Close]])+1,YEAR(Opportunities[[#This Row],[Close]])),2)&amp;"-Q"&amp;IF(MONTH(Opportunities[[#This Row],[Close]])&gt;=7,CEILING((MONTH(Opportunities[[#This Row],[Close]])-6)/3,1),CEILING((MONTH(Opportunities[[#This Row],[Close]])+6)/3,1))</f>
        <v xml:space="preserve"> FY26-Q4</v>
      </c>
      <c r="Q34" t="str">
        <f>"CY"&amp;RIGHT(YEAR(Opportunities[[#This Row],[Close]]),2)&amp;"-Q"&amp;ROUNDUP(MONTH(Opportunities[[#This Row],[Close]])/3, 0)</f>
        <v>CY26-Q2</v>
      </c>
      <c r="R34" t="str">
        <f>siteUrl&amp;"/Lists/"&amp;oppList&amp;"/DispForm.aspx?ID="&amp;Opportunities[[#This Row],[ID]]</f>
        <v>https://cleansheet5.sharepoint.com/sites/SalesFunnel//Lists/citizenOpportunities/DispForm.aspx?ID=33</v>
      </c>
      <c r="S34">
        <f>_xlfn.XLOOKUP(Opportunities[[#This Row],[Stage]],stage[Stage Name],stage[Index],"")</f>
        <v>3</v>
      </c>
      <c r="T34" t="str">
        <f>_xlfn.XLOOKUP(Opportunities[[#This Row],[StageNumber]],stage[Index],stage[Display])</f>
        <v>➂ - Proposal</v>
      </c>
      <c r="U34">
        <f>Opportunities[[#This Row],[Amount]]*_xlfn.XLOOKUP(Opportunities[[#This Row],[Probability]],prob[Win Probability],prob[Value])</f>
        <v>370832</v>
      </c>
      <c r="V34" t="str" cm="1">
        <f t="array" ref="V34">_xlfn.SWITCH(Opportunities[[#This Row],[Status]],"At Risk","⚠","Active","✓","⮾")</f>
        <v>✓</v>
      </c>
      <c r="W34" t="str">
        <f>_xlfn.XLOOKUP(Opportunities[[#This Row],[CustomerId]],Customers[Id],Customers[Customer Name])</f>
        <v>Insurance Specialists</v>
      </c>
      <c r="X34" t="str">
        <f>_xlfn.XLOOKUP(Opportunities[[#This Row],[CustomerId]],Customers[Id],Customers[url2])</f>
        <v>https://cleansheet5.sharepoint.com/sites/SalesFunnel//Lists/citizenCustomers/DispForm.aspx?ID=17</v>
      </c>
      <c r="Y34">
        <f>_xlfn.XLOOKUP(Opportunities[[#This Row],[ID]],View[ID],View[Visible])</f>
        <v>1</v>
      </c>
      <c r="Z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(Safety Management System)
 $0.9m • Proposal • Owner: Mike Consultant</v>
      </c>
      <c r="AA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4" t="str" cm="1">
        <f t="array" ref="AC34">_xlfn.SWITCH(Opportunities[[#This Row],[Probability]],"High","↖","Medium","←","Low","↙")&amp;" " &amp;Opportunities[[#This Row],[Probability]]</f>
        <v>← Medium</v>
      </c>
      <c r="AD34" t="b">
        <f>Opportunities[[#This Row],[WinProbDisplay]]="↖ High"</f>
        <v>0</v>
      </c>
    </row>
    <row r="35" spans="1:30" x14ac:dyDescent="0.25">
      <c r="A35">
        <v>34</v>
      </c>
      <c r="B35" t="s">
        <v>183</v>
      </c>
      <c r="C35" t="s">
        <v>19</v>
      </c>
      <c r="D35" t="s">
        <v>18</v>
      </c>
      <c r="E35">
        <v>1225158</v>
      </c>
      <c r="F35" t="s">
        <v>85</v>
      </c>
      <c r="G35" s="40">
        <v>46077</v>
      </c>
      <c r="H35" s="40">
        <v>45930</v>
      </c>
      <c r="I35" t="s">
        <v>97</v>
      </c>
      <c r="J35">
        <v>2</v>
      </c>
      <c r="L35" t="s">
        <v>105</v>
      </c>
      <c r="M35" s="40">
        <v>46136</v>
      </c>
      <c r="O35">
        <v>0</v>
      </c>
      <c r="P35" t="str">
        <f>" FY"&amp;RIGHT(IF(MONTH(Opportunities[[#This Row],[Close]])&gt;=7,YEAR(Opportunities[[#This Row],[Close]])+1,YEAR(Opportunities[[#This Row],[Close]])),2)&amp;"-Q"&amp;IF(MONTH(Opportunities[[#This Row],[Close]])&gt;=7,CEILING((MONTH(Opportunities[[#This Row],[Close]])-6)/3,1),CEILING((MONTH(Opportunities[[#This Row],[Close]])+6)/3,1))</f>
        <v xml:space="preserve"> FY26-Q3</v>
      </c>
      <c r="Q35" t="str">
        <f>"CY"&amp;RIGHT(YEAR(Opportunities[[#This Row],[Close]]),2)&amp;"-Q"&amp;ROUNDUP(MONTH(Opportunities[[#This Row],[Close]])/3, 0)</f>
        <v>CY26-Q1</v>
      </c>
      <c r="R35" t="str">
        <f>siteUrl&amp;"/Lists/"&amp;oppList&amp;"/DispForm.aspx?ID="&amp;Opportunities[[#This Row],[ID]]</f>
        <v>https://cleansheet5.sharepoint.com/sites/SalesFunnel//Lists/citizenOpportunities/DispForm.aspx?ID=34</v>
      </c>
      <c r="S35">
        <f>_xlfn.XLOOKUP(Opportunities[[#This Row],[Stage]],stage[Stage Name],stage[Index],"")</f>
        <v>4</v>
      </c>
      <c r="T35" t="str">
        <f>_xlfn.XLOOKUP(Opportunities[[#This Row],[StageNumber]],stage[Index],stage[Display])</f>
        <v>➃ - Negotiation</v>
      </c>
      <c r="U35">
        <f>Opportunities[[#This Row],[Amount]]*_xlfn.XLOOKUP(Opportunities[[#This Row],[Probability]],prob[Win Probability],prob[Value])</f>
        <v>245031.6</v>
      </c>
      <c r="V35" t="str" cm="1">
        <f t="array" ref="V35">_xlfn.SWITCH(Opportunities[[#This Row],[Status]],"At Risk","⚠","Active","✓","⮾")</f>
        <v>✓</v>
      </c>
      <c r="W35" t="str">
        <f>_xlfn.XLOOKUP(Opportunities[[#This Row],[CustomerId]],Customers[Id],Customers[Customer Name])</f>
        <v>Global Industries</v>
      </c>
      <c r="X35" t="str">
        <f>_xlfn.XLOOKUP(Opportunities[[#This Row],[CustomerId]],Customers[Id],Customers[url2])</f>
        <v>https://cleansheet5.sharepoint.com/sites/SalesFunnel//Lists/citizenCustomers/DispForm.aspx?ID=2</v>
      </c>
      <c r="Y35">
        <f>_xlfn.XLOOKUP(Opportunities[[#This Row],[ID]],View[ID],View[Visible])</f>
        <v>1</v>
      </c>
      <c r="Z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$1.2m • Negotiation • Owner: Dr. Tech Advisor</v>
      </c>
      <c r="AA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5" t="str" cm="1">
        <f t="array" ref="AC35">_xlfn.SWITCH(Opportunities[[#This Row],[Probability]],"High","↖","Medium","←","Low","↙")&amp;" " &amp;Opportunities[[#This Row],[Probability]]</f>
        <v>↙ Low</v>
      </c>
      <c r="AD35" t="b">
        <f>Opportunities[[#This Row],[WinProbDisplay]]="↖ High"</f>
        <v>0</v>
      </c>
    </row>
    <row r="36" spans="1:30" x14ac:dyDescent="0.25">
      <c r="A36">
        <v>35</v>
      </c>
      <c r="B36" t="s">
        <v>184</v>
      </c>
      <c r="C36" t="s">
        <v>19</v>
      </c>
      <c r="D36" t="s">
        <v>21</v>
      </c>
      <c r="E36">
        <v>1362832</v>
      </c>
      <c r="F36" t="s">
        <v>83</v>
      </c>
      <c r="G36" s="40">
        <v>46035</v>
      </c>
      <c r="H36" s="40">
        <v>45904</v>
      </c>
      <c r="I36" t="s">
        <v>152</v>
      </c>
      <c r="J36">
        <v>2</v>
      </c>
      <c r="L36" t="s">
        <v>158</v>
      </c>
      <c r="M36" s="40">
        <v>46109</v>
      </c>
      <c r="O36">
        <v>0</v>
      </c>
      <c r="P36" t="str">
        <f>" FY"&amp;RIGHT(IF(MONTH(Opportunities[[#This Row],[Close]])&gt;=7,YEAR(Opportunities[[#This Row],[Close]])+1,YEAR(Opportunities[[#This Row],[Close]])),2)&amp;"-Q"&amp;IF(MONTH(Opportunities[[#This Row],[Close]])&gt;=7,CEILING((MONTH(Opportunities[[#This Row],[Close]])-6)/3,1),CEILING((MONTH(Opportunities[[#This Row],[Close]])+6)/3,1))</f>
        <v xml:space="preserve"> FY26-Q3</v>
      </c>
      <c r="Q36" t="str">
        <f>"CY"&amp;RIGHT(YEAR(Opportunities[[#This Row],[Close]]),2)&amp;"-Q"&amp;ROUNDUP(MONTH(Opportunities[[#This Row],[Close]])/3, 0)</f>
        <v>CY26-Q1</v>
      </c>
      <c r="R36" t="str">
        <f>siteUrl&amp;"/Lists/"&amp;oppList&amp;"/DispForm.aspx?ID="&amp;Opportunities[[#This Row],[ID]]</f>
        <v>https://cleansheet5.sharepoint.com/sites/SalesFunnel//Lists/citizenOpportunities/DispForm.aspx?ID=35</v>
      </c>
      <c r="S36">
        <f>_xlfn.XLOOKUP(Opportunities[[#This Row],[Stage]],stage[Stage Name],stage[Index],"")</f>
        <v>5</v>
      </c>
      <c r="T36" t="str">
        <f>_xlfn.XLOOKUP(Opportunities[[#This Row],[StageNumber]],stage[Index],stage[Display])</f>
        <v>➄ - Project Execution</v>
      </c>
      <c r="U36">
        <f>Opportunities[[#This Row],[Amount]]*_xlfn.XLOOKUP(Opportunities[[#This Row],[Probability]],prob[Win Probability],prob[Value])</f>
        <v>545132.80000000005</v>
      </c>
      <c r="V36" t="str" cm="1">
        <f t="array" ref="V36">_xlfn.SWITCH(Opportunities[[#This Row],[Status]],"At Risk","⚠","Active","✓","⮾")</f>
        <v>✓</v>
      </c>
      <c r="W36" t="str">
        <f>_xlfn.XLOOKUP(Opportunities[[#This Row],[CustomerId]],Customers[Id],Customers[Customer Name])</f>
        <v>Global Industries</v>
      </c>
      <c r="X36" t="str">
        <f>_xlfn.XLOOKUP(Opportunities[[#This Row],[CustomerId]],Customers[Id],Customers[url2])</f>
        <v>https://cleansheet5.sharepoint.com/sites/SalesFunnel//Lists/citizenCustomers/DispForm.aspx?ID=2</v>
      </c>
      <c r="Y36">
        <f>_xlfn.XLOOKUP(Opportunities[[#This Row],[ID]],View[ID],View[Visible])</f>
        <v>1</v>
      </c>
      <c r="Z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(Workflow Automation Tool)
 $1.4m • Project Execution • Owner: Robert Analyst</v>
      </c>
      <c r="AA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6" t="str" cm="1">
        <f t="array" ref="AC36">_xlfn.SWITCH(Opportunities[[#This Row],[Probability]],"High","↖","Medium","←","Low","↙")&amp;" " &amp;Opportunities[[#This Row],[Probability]]</f>
        <v>← Medium</v>
      </c>
      <c r="AD36" t="b">
        <f>Opportunities[[#This Row],[WinProbDisplay]]="↖ High"</f>
        <v>0</v>
      </c>
    </row>
    <row r="37" spans="1:30" x14ac:dyDescent="0.25">
      <c r="A37">
        <v>36</v>
      </c>
      <c r="B37" t="s">
        <v>185</v>
      </c>
      <c r="C37" t="s">
        <v>19</v>
      </c>
      <c r="D37" t="s">
        <v>21</v>
      </c>
      <c r="E37">
        <v>1259133</v>
      </c>
      <c r="F37" t="s">
        <v>83</v>
      </c>
      <c r="G37" s="40">
        <v>45896</v>
      </c>
      <c r="H37" s="40">
        <v>45925</v>
      </c>
      <c r="I37" t="s">
        <v>100</v>
      </c>
      <c r="J37">
        <v>25</v>
      </c>
      <c r="L37" t="s">
        <v>394</v>
      </c>
      <c r="M37" s="40">
        <v>45940</v>
      </c>
      <c r="O37">
        <v>0</v>
      </c>
      <c r="P37" t="str">
        <f>" FY"&amp;RIGHT(IF(MONTH(Opportunities[[#This Row],[Close]])&gt;=7,YEAR(Opportunities[[#This Row],[Close]])+1,YEAR(Opportunities[[#This Row],[Close]])),2)&amp;"-Q"&amp;IF(MONTH(Opportunities[[#This Row],[Close]])&gt;=7,CEILING((MONTH(Opportunities[[#This Row],[Close]])-6)/3,1),CEILING((MONTH(Opportunities[[#This Row],[Close]])+6)/3,1))</f>
        <v xml:space="preserve"> FY26-Q1</v>
      </c>
      <c r="Q37" t="str">
        <f>"CY"&amp;RIGHT(YEAR(Opportunities[[#This Row],[Close]]),2)&amp;"-Q"&amp;ROUNDUP(MONTH(Opportunities[[#This Row],[Close]])/3, 0)</f>
        <v>CY25-Q3</v>
      </c>
      <c r="R37" t="str">
        <f>siteUrl&amp;"/Lists/"&amp;oppList&amp;"/DispForm.aspx?ID="&amp;Opportunities[[#This Row],[ID]]</f>
        <v>https://cleansheet5.sharepoint.com/sites/SalesFunnel//Lists/citizenOpportunities/DispForm.aspx?ID=36</v>
      </c>
      <c r="S37">
        <f>_xlfn.XLOOKUP(Opportunities[[#This Row],[Stage]],stage[Stage Name],stage[Index],"")</f>
        <v>5</v>
      </c>
      <c r="T37" t="str">
        <f>_xlfn.XLOOKUP(Opportunities[[#This Row],[StageNumber]],stage[Index],stage[Display])</f>
        <v>➄ - Project Execution</v>
      </c>
      <c r="U37">
        <f>Opportunities[[#This Row],[Amount]]*_xlfn.XLOOKUP(Opportunities[[#This Row],[Probability]],prob[Win Probability],prob[Value])</f>
        <v>503653.2</v>
      </c>
      <c r="V37" t="str" cm="1">
        <f t="array" ref="V37">_xlfn.SWITCH(Opportunities[[#This Row],[Status]],"At Risk","⚠","Active","✓","⮾")</f>
        <v>✓</v>
      </c>
      <c r="W37" t="str">
        <f>_xlfn.XLOOKUP(Opportunities[[#This Row],[CustomerId]],Customers[Id],Customers[Customer Name])</f>
        <v>Chemical Processing</v>
      </c>
      <c r="X37" t="str">
        <f>_xlfn.XLOOKUP(Opportunities[[#This Row],[CustomerId]],Customers[Id],Customers[url2])</f>
        <v>https://cleansheet5.sharepoint.com/sites/SalesFunnel//Lists/citizenCustomers/DispForm.aspx?ID=25</v>
      </c>
      <c r="Y37">
        <f>_xlfn.XLOOKUP(Opportunities[[#This Row],[ID]],View[ID],View[Visible])</f>
        <v>1</v>
      </c>
      <c r="Z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(Integration Services Project)
 $1.3m • Project Execution • Owner: Amanda Sales</v>
      </c>
      <c r="AA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37" t="str" cm="1">
        <f t="array" ref="AC37">_xlfn.SWITCH(Opportunities[[#This Row],[Probability]],"High","↖","Medium","←","Low","↙")&amp;" " &amp;Opportunities[[#This Row],[Probability]]</f>
        <v>← Medium</v>
      </c>
      <c r="AD37" t="b">
        <f>Opportunities[[#This Row],[WinProbDisplay]]="↖ High"</f>
        <v>0</v>
      </c>
    </row>
    <row r="38" spans="1:30" x14ac:dyDescent="0.25">
      <c r="A38">
        <v>37</v>
      </c>
      <c r="B38" t="s">
        <v>186</v>
      </c>
      <c r="C38" t="s">
        <v>19</v>
      </c>
      <c r="D38" t="s">
        <v>20</v>
      </c>
      <c r="E38">
        <v>630289</v>
      </c>
      <c r="F38" t="s">
        <v>83</v>
      </c>
      <c r="G38" s="40">
        <v>46024</v>
      </c>
      <c r="H38" s="40">
        <v>45912</v>
      </c>
      <c r="I38" t="s">
        <v>94</v>
      </c>
      <c r="J38">
        <v>9</v>
      </c>
      <c r="L38" t="s">
        <v>96</v>
      </c>
      <c r="M38" s="40">
        <v>46056</v>
      </c>
      <c r="O38">
        <v>0</v>
      </c>
      <c r="P38" t="str">
        <f>" FY"&amp;RIGHT(IF(MONTH(Opportunities[[#This Row],[Close]])&gt;=7,YEAR(Opportunities[[#This Row],[Close]])+1,YEAR(Opportunities[[#This Row],[Close]])),2)&amp;"-Q"&amp;IF(MONTH(Opportunities[[#This Row],[Close]])&gt;=7,CEILING((MONTH(Opportunities[[#This Row],[Close]])-6)/3,1),CEILING((MONTH(Opportunities[[#This Row],[Close]])+6)/3,1))</f>
        <v xml:space="preserve"> FY26-Q3</v>
      </c>
      <c r="Q38" t="str">
        <f>"CY"&amp;RIGHT(YEAR(Opportunities[[#This Row],[Close]]),2)&amp;"-Q"&amp;ROUNDUP(MONTH(Opportunities[[#This Row],[Close]])/3, 0)</f>
        <v>CY26-Q1</v>
      </c>
      <c r="R38" t="str">
        <f>siteUrl&amp;"/Lists/"&amp;oppList&amp;"/DispForm.aspx?ID="&amp;Opportunities[[#This Row],[ID]]</f>
        <v>https://cleansheet5.sharepoint.com/sites/SalesFunnel//Lists/citizenOpportunities/DispForm.aspx?ID=37</v>
      </c>
      <c r="S38">
        <f>_xlfn.XLOOKUP(Opportunities[[#This Row],[Stage]],stage[Stage Name],stage[Index],"")</f>
        <v>1</v>
      </c>
      <c r="T38" t="str">
        <f>_xlfn.XLOOKUP(Opportunities[[#This Row],[StageNumber]],stage[Index],stage[Display])</f>
        <v>➀ - Lead Qualification</v>
      </c>
      <c r="U38">
        <f>Opportunities[[#This Row],[Amount]]*_xlfn.XLOOKUP(Opportunities[[#This Row],[Probability]],prob[Win Probability],prob[Value])</f>
        <v>252115.6</v>
      </c>
      <c r="V38" t="str" cm="1">
        <f t="array" ref="V38">_xlfn.SWITCH(Opportunities[[#This Row],[Status]],"At Risk","⚠","Active","✓","⮾")</f>
        <v>✓</v>
      </c>
      <c r="W38" t="str">
        <f>_xlfn.XLOOKUP(Opportunities[[#This Row],[CustomerId]],Customers[Id],Customers[Customer Name])</f>
        <v>Construction Dynamics</v>
      </c>
      <c r="X38" t="str">
        <f>_xlfn.XLOOKUP(Opportunities[[#This Row],[CustomerId]],Customers[Id],Customers[url2])</f>
        <v>https://cleansheet5.sharepoint.com/sites/SalesFunnel//Lists/citizenCustomers/DispForm.aspx?ID=9</v>
      </c>
      <c r="Y38">
        <f>_xlfn.XLOOKUP(Opportunities[[#This Row],[ID]],View[ID],View[Visible])</f>
        <v>1</v>
      </c>
      <c r="Z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(Database Migration Project)
 $0.6m • Lead Qualification • Owner: Sarah Director</v>
      </c>
      <c r="AA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8" t="str" cm="1">
        <f t="array" ref="AC38">_xlfn.SWITCH(Opportunities[[#This Row],[Probability]],"High","↖","Medium","←","Low","↙")&amp;" " &amp;Opportunities[[#This Row],[Probability]]</f>
        <v>← Medium</v>
      </c>
      <c r="AD38" t="b">
        <f>Opportunities[[#This Row],[WinProbDisplay]]="↖ High"</f>
        <v>0</v>
      </c>
    </row>
    <row r="39" spans="1:30" x14ac:dyDescent="0.25">
      <c r="A39">
        <v>38</v>
      </c>
      <c r="B39" t="s">
        <v>187</v>
      </c>
      <c r="C39" t="s">
        <v>19</v>
      </c>
      <c r="D39" t="s">
        <v>23</v>
      </c>
      <c r="E39">
        <v>1778409</v>
      </c>
      <c r="F39" t="s">
        <v>85</v>
      </c>
      <c r="G39" s="40">
        <v>46099</v>
      </c>
      <c r="H39" s="40">
        <v>45895</v>
      </c>
      <c r="I39" t="s">
        <v>94</v>
      </c>
      <c r="J39">
        <v>13</v>
      </c>
      <c r="L39" t="s">
        <v>158</v>
      </c>
      <c r="M39" s="40">
        <v>46141</v>
      </c>
      <c r="O39">
        <v>0</v>
      </c>
      <c r="P39" t="str">
        <f>" FY"&amp;RIGHT(IF(MONTH(Opportunities[[#This Row],[Close]])&gt;=7,YEAR(Opportunities[[#This Row],[Close]])+1,YEAR(Opportunities[[#This Row],[Close]])),2)&amp;"-Q"&amp;IF(MONTH(Opportunities[[#This Row],[Close]])&gt;=7,CEILING((MONTH(Opportunities[[#This Row],[Close]])-6)/3,1),CEILING((MONTH(Opportunities[[#This Row],[Close]])+6)/3,1))</f>
        <v xml:space="preserve"> FY26-Q3</v>
      </c>
      <c r="Q39" t="str">
        <f>"CY"&amp;RIGHT(YEAR(Opportunities[[#This Row],[Close]]),2)&amp;"-Q"&amp;ROUNDUP(MONTH(Opportunities[[#This Row],[Close]])/3, 0)</f>
        <v>CY26-Q1</v>
      </c>
      <c r="R39" t="str">
        <f>siteUrl&amp;"/Lists/"&amp;oppList&amp;"/DispForm.aspx?ID="&amp;Opportunities[[#This Row],[ID]]</f>
        <v>https://cleansheet5.sharepoint.com/sites/SalesFunnel//Lists/citizenOpportunities/DispForm.aspx?ID=38</v>
      </c>
      <c r="S39">
        <f>_xlfn.XLOOKUP(Opportunities[[#This Row],[Stage]],stage[Stage Name],stage[Index],"")</f>
        <v>2</v>
      </c>
      <c r="T39" t="str">
        <f>_xlfn.XLOOKUP(Opportunities[[#This Row],[StageNumber]],stage[Index],stage[Display])</f>
        <v>➁ - Nurturing</v>
      </c>
      <c r="U39">
        <f>Opportunities[[#This Row],[Amount]]*_xlfn.XLOOKUP(Opportunities[[#This Row],[Probability]],prob[Win Probability],prob[Value])</f>
        <v>355681.80000000005</v>
      </c>
      <c r="V39" t="str" cm="1">
        <f t="array" ref="V39">_xlfn.SWITCH(Opportunities[[#This Row],[Status]],"At Risk","⚠","Active","✓","⮾")</f>
        <v>✓</v>
      </c>
      <c r="W39" t="str">
        <f>_xlfn.XLOOKUP(Opportunities[[#This Row],[CustomerId]],Customers[Id],Customers[Customer Name])</f>
        <v>Professional Services Group</v>
      </c>
      <c r="X39" t="str">
        <f>_xlfn.XLOOKUP(Opportunities[[#This Row],[CustomerId]],Customers[Id],Customers[url2])</f>
        <v>https://cleansheet5.sharepoint.com/sites/SalesFunnel//Lists/citizenCustomers/DispForm.aspx?ID=13</v>
      </c>
      <c r="Y39">
        <f>_xlfn.XLOOKUP(Opportunities[[#This Row],[ID]],View[ID],View[Visible])</f>
        <v>1</v>
      </c>
      <c r="Z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(Legacy System Modernization)
 $1.8m • Nurturing • Owner: Robert Analyst</v>
      </c>
      <c r="AA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9" t="str" cm="1">
        <f t="array" ref="AC39">_xlfn.SWITCH(Opportunities[[#This Row],[Probability]],"High","↖","Medium","←","Low","↙")&amp;" " &amp;Opportunities[[#This Row],[Probability]]</f>
        <v>↙ Low</v>
      </c>
      <c r="AD39" t="b">
        <f>Opportunities[[#This Row],[WinProbDisplay]]="↖ High"</f>
        <v>0</v>
      </c>
    </row>
    <row r="40" spans="1:30" x14ac:dyDescent="0.25">
      <c r="A40">
        <v>39</v>
      </c>
      <c r="B40" t="s">
        <v>188</v>
      </c>
      <c r="C40" t="s">
        <v>19</v>
      </c>
      <c r="D40" t="s">
        <v>18</v>
      </c>
      <c r="E40">
        <v>1366197</v>
      </c>
      <c r="F40" t="s">
        <v>83</v>
      </c>
      <c r="G40" s="40">
        <v>46153</v>
      </c>
      <c r="H40" s="40">
        <v>45885</v>
      </c>
      <c r="I40" t="s">
        <v>147</v>
      </c>
      <c r="J40">
        <v>3</v>
      </c>
      <c r="L40" t="s">
        <v>102</v>
      </c>
      <c r="M40" s="40">
        <v>46185</v>
      </c>
      <c r="O40">
        <v>0</v>
      </c>
      <c r="P40" t="str">
        <f>" FY"&amp;RIGHT(IF(MONTH(Opportunities[[#This Row],[Close]])&gt;=7,YEAR(Opportunities[[#This Row],[Close]])+1,YEAR(Opportunities[[#This Row],[Close]])),2)&amp;"-Q"&amp;IF(MONTH(Opportunities[[#This Row],[Close]])&gt;=7,CEILING((MONTH(Opportunities[[#This Row],[Close]])-6)/3,1),CEILING((MONTH(Opportunities[[#This Row],[Close]])+6)/3,1))</f>
        <v xml:space="preserve"> FY26-Q4</v>
      </c>
      <c r="Q40" t="str">
        <f>"CY"&amp;RIGHT(YEAR(Opportunities[[#This Row],[Close]]),2)&amp;"-Q"&amp;ROUNDUP(MONTH(Opportunities[[#This Row],[Close]])/3, 0)</f>
        <v>CY26-Q2</v>
      </c>
      <c r="R40" t="str">
        <f>siteUrl&amp;"/Lists/"&amp;oppList&amp;"/DispForm.aspx?ID="&amp;Opportunities[[#This Row],[ID]]</f>
        <v>https://cleansheet5.sharepoint.com/sites/SalesFunnel//Lists/citizenOpportunities/DispForm.aspx?ID=39</v>
      </c>
      <c r="S40">
        <f>_xlfn.XLOOKUP(Opportunities[[#This Row],[Stage]],stage[Stage Name],stage[Index],"")</f>
        <v>4</v>
      </c>
      <c r="T40" t="str">
        <f>_xlfn.XLOOKUP(Opportunities[[#This Row],[StageNumber]],stage[Index],stage[Display])</f>
        <v>➃ - Negotiation</v>
      </c>
      <c r="U40">
        <f>Opportunities[[#This Row],[Amount]]*_xlfn.XLOOKUP(Opportunities[[#This Row],[Probability]],prob[Win Probability],prob[Value])</f>
        <v>546478.80000000005</v>
      </c>
      <c r="V40" t="str" cm="1">
        <f t="array" ref="V40">_xlfn.SWITCH(Opportunities[[#This Row],[Status]],"At Risk","⚠","Active","✓","⮾")</f>
        <v>✓</v>
      </c>
      <c r="W40" t="str">
        <f>_xlfn.XLOOKUP(Opportunities[[#This Row],[CustomerId]],Customers[Id],Customers[Customer Name])</f>
        <v>Tech Solutions Inc</v>
      </c>
      <c r="X40" t="str">
        <f>_xlfn.XLOOKUP(Opportunities[[#This Row],[CustomerId]],Customers[Id],Customers[url2])</f>
        <v>https://cleansheet5.sharepoint.com/sites/SalesFunnel//Lists/citizenCustomers/DispForm.aspx?ID=3</v>
      </c>
      <c r="Y40">
        <f>_xlfn.XLOOKUP(Opportunities[[#This Row],[ID]],View[ID],View[Visible])</f>
        <v>1</v>
      </c>
      <c r="Z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$1.4m • Negotiation • Owner: Lisa Engineer</v>
      </c>
      <c r="AA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0" t="str" cm="1">
        <f t="array" ref="AC40">_xlfn.SWITCH(Opportunities[[#This Row],[Probability]],"High","↖","Medium","←","Low","↙")&amp;" " &amp;Opportunities[[#This Row],[Probability]]</f>
        <v>← Medium</v>
      </c>
      <c r="AD40" t="b">
        <f>Opportunities[[#This Row],[WinProbDisplay]]="↖ High"</f>
        <v>0</v>
      </c>
    </row>
    <row r="41" spans="1:30" x14ac:dyDescent="0.25">
      <c r="A41">
        <v>40</v>
      </c>
      <c r="B41" t="s">
        <v>189</v>
      </c>
      <c r="C41" t="s">
        <v>19</v>
      </c>
      <c r="D41" t="s">
        <v>21</v>
      </c>
      <c r="E41">
        <v>1474927</v>
      </c>
      <c r="F41" t="s">
        <v>83</v>
      </c>
      <c r="G41" s="40">
        <v>45999</v>
      </c>
      <c r="H41" s="40">
        <v>45930</v>
      </c>
      <c r="I41" t="s">
        <v>152</v>
      </c>
      <c r="J41">
        <v>3</v>
      </c>
      <c r="L41" t="s">
        <v>96</v>
      </c>
      <c r="M41" s="40">
        <v>46047</v>
      </c>
      <c r="O41">
        <v>0</v>
      </c>
      <c r="P41" t="str">
        <f>" FY"&amp;RIGHT(IF(MONTH(Opportunities[[#This Row],[Close]])&gt;=7,YEAR(Opportunities[[#This Row],[Close]])+1,YEAR(Opportunities[[#This Row],[Close]])),2)&amp;"-Q"&amp;IF(MONTH(Opportunities[[#This Row],[Close]])&gt;=7,CEILING((MONTH(Opportunities[[#This Row],[Close]])-6)/3,1),CEILING((MONTH(Opportunities[[#This Row],[Close]])+6)/3,1))</f>
        <v xml:space="preserve"> FY26-Q2</v>
      </c>
      <c r="Q41" t="str">
        <f>"CY"&amp;RIGHT(YEAR(Opportunities[[#This Row],[Close]]),2)&amp;"-Q"&amp;ROUNDUP(MONTH(Opportunities[[#This Row],[Close]])/3, 0)</f>
        <v>CY25-Q4</v>
      </c>
      <c r="R41" t="str">
        <f>siteUrl&amp;"/Lists/"&amp;oppList&amp;"/DispForm.aspx?ID="&amp;Opportunities[[#This Row],[ID]]</f>
        <v>https://cleansheet5.sharepoint.com/sites/SalesFunnel//Lists/citizenOpportunities/DispForm.aspx?ID=40</v>
      </c>
      <c r="S41">
        <f>_xlfn.XLOOKUP(Opportunities[[#This Row],[Stage]],stage[Stage Name],stage[Index],"")</f>
        <v>5</v>
      </c>
      <c r="T41" t="str">
        <f>_xlfn.XLOOKUP(Opportunities[[#This Row],[StageNumber]],stage[Index],stage[Display])</f>
        <v>➄ - Project Execution</v>
      </c>
      <c r="U41">
        <f>Opportunities[[#This Row],[Amount]]*_xlfn.XLOOKUP(Opportunities[[#This Row],[Probability]],prob[Win Probability],prob[Value])</f>
        <v>589970.80000000005</v>
      </c>
      <c r="V41" t="str" cm="1">
        <f t="array" ref="V41">_xlfn.SWITCH(Opportunities[[#This Row],[Status]],"At Risk","⚠","Active","✓","⮾")</f>
        <v>✓</v>
      </c>
      <c r="W41" t="str">
        <f>_xlfn.XLOOKUP(Opportunities[[#This Row],[CustomerId]],Customers[Id],Customers[Customer Name])</f>
        <v>Tech Solutions Inc</v>
      </c>
      <c r="X41" t="str">
        <f>_xlfn.XLOOKUP(Opportunities[[#This Row],[CustomerId]],Customers[Id],Customers[url2])</f>
        <v>https://cleansheet5.sharepoint.com/sites/SalesFunnel//Lists/citizenCustomers/DispForm.aspx?ID=3</v>
      </c>
      <c r="Y41">
        <f>_xlfn.XLOOKUP(Opportunities[[#This Row],[ID]],View[ID],View[Visible])</f>
        <v>1</v>
      </c>
      <c r="Z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$1.5m • Project Execution • Owner: Sarah Director</v>
      </c>
      <c r="AA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41" t="str" cm="1">
        <f t="array" ref="AC41">_xlfn.SWITCH(Opportunities[[#This Row],[Probability]],"High","↖","Medium","←","Low","↙")&amp;" " &amp;Opportunities[[#This Row],[Probability]]</f>
        <v>← Medium</v>
      </c>
      <c r="AD41"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X3" sqref="X3"/>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86</v>
      </c>
      <c r="C1" t="s">
        <v>3</v>
      </c>
      <c r="D1" t="s">
        <v>4</v>
      </c>
      <c r="E1" t="s">
        <v>5</v>
      </c>
      <c r="F1" t="s">
        <v>6</v>
      </c>
      <c r="G1" t="s">
        <v>7</v>
      </c>
      <c r="H1" t="s">
        <v>8</v>
      </c>
      <c r="I1" t="s">
        <v>72</v>
      </c>
      <c r="J1" t="s">
        <v>2</v>
      </c>
      <c r="K1" t="s">
        <v>1</v>
      </c>
      <c r="L1" t="s">
        <v>73</v>
      </c>
      <c r="M1" t="s">
        <v>387</v>
      </c>
      <c r="N1" t="s">
        <v>142</v>
      </c>
      <c r="O1" t="s">
        <v>51</v>
      </c>
    </row>
    <row r="2" spans="1:22" x14ac:dyDescent="0.25">
      <c r="A2">
        <v>1</v>
      </c>
      <c r="B2" t="s">
        <v>107</v>
      </c>
      <c r="C2" t="s">
        <v>109</v>
      </c>
      <c r="D2" t="s">
        <v>9</v>
      </c>
      <c r="E2" t="s">
        <v>110</v>
      </c>
      <c r="F2" t="s">
        <v>111</v>
      </c>
      <c r="G2" t="s">
        <v>112</v>
      </c>
      <c r="H2" t="s">
        <v>10</v>
      </c>
      <c r="I2" t="s">
        <v>108</v>
      </c>
      <c r="J2" t="s">
        <v>413</v>
      </c>
      <c r="K2" t="s">
        <v>413</v>
      </c>
      <c r="L2" t="str">
        <f>siteUrl&amp;"/Lists/"&amp;custList&amp;"/DispForm.aspx?ID="&amp;Customers[[#This Row],[Id]]</f>
        <v>https://cleansheet5.sharepoint.com/sites/SalesFunnel//Lists/citizenCustomers/DispForm.aspx?ID=1</v>
      </c>
      <c r="M2" t="e">
        <f>_xlfn.XLOOKUP(Customers[[#This Row],[Id]],Customers[Id],#REF!)</f>
        <v>#REF!</v>
      </c>
      <c r="N2" t="str">
        <f>_xlfn.XLOOKUP(Customers[[#This Row],[Id]],Customers[Id],Customers[url2])</f>
        <v>https://cleansheet5.sharepoint.com/sites/SalesFunnel//Lists/citizenCustomers/DispForm.aspx?ID=1</v>
      </c>
      <c r="O2" t="s">
        <v>52</v>
      </c>
    </row>
    <row r="3" spans="1:22" x14ac:dyDescent="0.25">
      <c r="A3">
        <v>2</v>
      </c>
      <c r="B3" t="s">
        <v>89</v>
      </c>
      <c r="C3" t="s">
        <v>114</v>
      </c>
      <c r="D3" t="s">
        <v>115</v>
      </c>
      <c r="E3" t="s">
        <v>116</v>
      </c>
      <c r="F3" t="s">
        <v>117</v>
      </c>
      <c r="G3" t="s">
        <v>118</v>
      </c>
      <c r="H3" t="s">
        <v>119</v>
      </c>
      <c r="I3" t="s">
        <v>113</v>
      </c>
      <c r="J3" t="s">
        <v>413</v>
      </c>
      <c r="K3" t="s">
        <v>413</v>
      </c>
      <c r="L3" t="str">
        <f>siteUrl&amp;"/Lists/"&amp;custList&amp;"/DispForm.aspx?ID="&amp;Customers[[#This Row],[Id]]</f>
        <v>https://cleansheet5.sharepoint.com/sites/SalesFunnel//Lists/citizenCustomers/DispForm.aspx?ID=2</v>
      </c>
      <c r="M3" t="e">
        <f>_xlfn.XLOOKUP(Customers[[#This Row],[Id]],Customers[Id],#REF!)</f>
        <v>#REF!</v>
      </c>
      <c r="N3" t="str">
        <f>_xlfn.XLOOKUP(Customers[[#This Row],[Id]],Customers[Id],Customers[url2])</f>
        <v>https://cleansheet5.sharepoint.com/sites/SalesFunnel//Lists/citizenCustomers/DispForm.aspx?ID=2</v>
      </c>
      <c r="V3" t="s">
        <v>53</v>
      </c>
    </row>
    <row r="4" spans="1:22" x14ac:dyDescent="0.25">
      <c r="A4">
        <v>3</v>
      </c>
      <c r="B4" t="s">
        <v>120</v>
      </c>
      <c r="C4" t="s">
        <v>12</v>
      </c>
      <c r="D4" t="s">
        <v>122</v>
      </c>
      <c r="E4" t="s">
        <v>123</v>
      </c>
      <c r="F4" t="s">
        <v>124</v>
      </c>
      <c r="G4" t="s">
        <v>125</v>
      </c>
      <c r="H4" t="s">
        <v>126</v>
      </c>
      <c r="I4" t="s">
        <v>121</v>
      </c>
      <c r="J4" t="s">
        <v>413</v>
      </c>
      <c r="K4" t="s">
        <v>413</v>
      </c>
      <c r="L4" t="str">
        <f>siteUrl&amp;"/Lists/"&amp;custList&amp;"/DispForm.aspx?ID="&amp;Customers[[#This Row],[Id]]</f>
        <v>https://cleansheet5.sharepoint.com/sites/SalesFunnel//Lists/citizenCustomers/DispForm.aspx?ID=3</v>
      </c>
      <c r="M4" t="e">
        <f>_xlfn.XLOOKUP(Customers[[#This Row],[Id]],Customers[Id],#REF!)</f>
        <v>#REF!</v>
      </c>
      <c r="N4" t="str">
        <f>_xlfn.XLOOKUP(Customers[[#This Row],[Id]],Customers[Id],Customers[url2])</f>
        <v>https://cleansheet5.sharepoint.com/sites/SalesFunnel//Lists/citizenCustomers/DispForm.aspx?ID=3</v>
      </c>
      <c r="V4" t="s">
        <v>61</v>
      </c>
    </row>
    <row r="5" spans="1:22" x14ac:dyDescent="0.25">
      <c r="A5">
        <v>4</v>
      </c>
      <c r="B5" t="s">
        <v>127</v>
      </c>
      <c r="C5" t="s">
        <v>129</v>
      </c>
      <c r="D5" t="s">
        <v>130</v>
      </c>
      <c r="E5" t="s">
        <v>131</v>
      </c>
      <c r="F5" t="s">
        <v>132</v>
      </c>
      <c r="G5" t="s">
        <v>133</v>
      </c>
      <c r="H5" t="s">
        <v>134</v>
      </c>
      <c r="I5" t="s">
        <v>128</v>
      </c>
      <c r="J5" t="s">
        <v>413</v>
      </c>
      <c r="K5" t="s">
        <v>413</v>
      </c>
      <c r="L5" t="str">
        <f>siteUrl&amp;"/Lists/"&amp;custList&amp;"/DispForm.aspx?ID="&amp;Customers[[#This Row],[Id]]</f>
        <v>https://cleansheet5.sharepoint.com/sites/SalesFunnel//Lists/citizenCustomers/DispForm.aspx?ID=4</v>
      </c>
      <c r="M5" t="e">
        <f>_xlfn.XLOOKUP(Customers[[#This Row],[Id]],Customers[Id],#REF!)</f>
        <v>#REF!</v>
      </c>
      <c r="N5" t="str">
        <f>_xlfn.XLOOKUP(Customers[[#This Row],[Id]],Customers[Id],Customers[url2])</f>
        <v>https://cleansheet5.sharepoint.com/sites/SalesFunnel//Lists/citizenCustomers/DispForm.aspx?ID=4</v>
      </c>
      <c r="V5" t="s">
        <v>54</v>
      </c>
    </row>
    <row r="6" spans="1:22" x14ac:dyDescent="0.25">
      <c r="A6">
        <v>5</v>
      </c>
      <c r="B6" t="s">
        <v>135</v>
      </c>
      <c r="C6" t="s">
        <v>137</v>
      </c>
      <c r="D6" t="s">
        <v>11</v>
      </c>
      <c r="E6" t="s">
        <v>138</v>
      </c>
      <c r="F6" t="s">
        <v>139</v>
      </c>
      <c r="G6" t="s">
        <v>140</v>
      </c>
      <c r="H6" t="s">
        <v>141</v>
      </c>
      <c r="I6" t="s">
        <v>136</v>
      </c>
      <c r="J6" t="s">
        <v>413</v>
      </c>
      <c r="K6" t="s">
        <v>413</v>
      </c>
      <c r="L6" t="str">
        <f>siteUrl&amp;"/Lists/"&amp;custList&amp;"/DispForm.aspx?ID="&amp;Customers[[#This Row],[Id]]</f>
        <v>https://cleansheet5.sharepoint.com/sites/SalesFunnel//Lists/citizenCustomers/DispForm.aspx?ID=5</v>
      </c>
      <c r="M6" t="e">
        <f>_xlfn.XLOOKUP(Customers[[#This Row],[Id]],Customers[Id],#REF!)</f>
        <v>#REF!</v>
      </c>
      <c r="N6" t="str">
        <f>_xlfn.XLOOKUP(Customers[[#This Row],[Id]],Customers[Id],Customers[url2])</f>
        <v>https://cleansheet5.sharepoint.com/sites/SalesFunnel//Lists/citizenCustomers/DispForm.aspx?ID=5</v>
      </c>
      <c r="V6" t="s">
        <v>55</v>
      </c>
    </row>
    <row r="7" spans="1:22" x14ac:dyDescent="0.25">
      <c r="A7">
        <v>6</v>
      </c>
      <c r="B7" t="s">
        <v>275</v>
      </c>
      <c r="C7" t="s">
        <v>277</v>
      </c>
      <c r="D7" t="s">
        <v>278</v>
      </c>
      <c r="E7" t="s">
        <v>279</v>
      </c>
      <c r="F7" t="s">
        <v>280</v>
      </c>
      <c r="G7" t="s">
        <v>281</v>
      </c>
      <c r="H7" t="s">
        <v>126</v>
      </c>
      <c r="I7" t="s">
        <v>276</v>
      </c>
      <c r="J7" t="s">
        <v>413</v>
      </c>
      <c r="K7" t="s">
        <v>413</v>
      </c>
      <c r="L7" t="str">
        <f>siteUrl&amp;"/Lists/"&amp;custList&amp;"/DispForm.aspx?ID="&amp;Customers[[#This Row],[Id]]</f>
        <v>https://cleansheet5.sharepoint.com/sites/SalesFunnel//Lists/citizenCustomers/DispForm.aspx?ID=6</v>
      </c>
      <c r="M7" t="e">
        <f>_xlfn.XLOOKUP(Customers[[#This Row],[Id]],Customers[Id],#REF!)</f>
        <v>#REF!</v>
      </c>
      <c r="N7" t="str">
        <f>_xlfn.XLOOKUP(Customers[[#This Row],[Id]],Customers[Id],Customers[url2])</f>
        <v>https://cleansheet5.sharepoint.com/sites/SalesFunnel//Lists/citizenCustomers/DispForm.aspx?ID=6</v>
      </c>
      <c r="V7" t="s">
        <v>62</v>
      </c>
    </row>
    <row r="8" spans="1:22" x14ac:dyDescent="0.25">
      <c r="A8">
        <v>7</v>
      </c>
      <c r="B8" t="s">
        <v>282</v>
      </c>
      <c r="C8" t="s">
        <v>284</v>
      </c>
      <c r="D8" t="s">
        <v>193</v>
      </c>
      <c r="E8" t="s">
        <v>285</v>
      </c>
      <c r="F8" t="s">
        <v>286</v>
      </c>
      <c r="G8" t="s">
        <v>287</v>
      </c>
      <c r="H8" t="s">
        <v>288</v>
      </c>
      <c r="I8" t="s">
        <v>283</v>
      </c>
      <c r="J8" t="s">
        <v>414</v>
      </c>
      <c r="K8" t="s">
        <v>414</v>
      </c>
      <c r="L8" t="str">
        <f>siteUrl&amp;"/Lists/"&amp;custList&amp;"/DispForm.aspx?ID="&amp;Customers[[#This Row],[Id]]</f>
        <v>https://cleansheet5.sharepoint.com/sites/SalesFunnel//Lists/citizenCustomers/DispForm.aspx?ID=7</v>
      </c>
      <c r="M8" t="e">
        <f>_xlfn.XLOOKUP(Customers[[#This Row],[Id]],Customers[Id],#REF!)</f>
        <v>#REF!</v>
      </c>
      <c r="N8" t="str">
        <f>_xlfn.XLOOKUP(Customers[[#This Row],[Id]],Customers[Id],Customers[url2])</f>
        <v>https://cleansheet5.sharepoint.com/sites/SalesFunnel//Lists/citizenCustomers/DispForm.aspx?ID=7</v>
      </c>
      <c r="V8" t="s">
        <v>56</v>
      </c>
    </row>
    <row r="9" spans="1:22" x14ac:dyDescent="0.25">
      <c r="A9">
        <v>8</v>
      </c>
      <c r="B9" t="s">
        <v>289</v>
      </c>
      <c r="C9" t="s">
        <v>291</v>
      </c>
      <c r="D9" t="s">
        <v>292</v>
      </c>
      <c r="E9" t="s">
        <v>293</v>
      </c>
      <c r="F9" t="s">
        <v>272</v>
      </c>
      <c r="G9" t="s">
        <v>294</v>
      </c>
      <c r="H9" t="s">
        <v>249</v>
      </c>
      <c r="I9" t="s">
        <v>290</v>
      </c>
      <c r="J9" t="s">
        <v>414</v>
      </c>
      <c r="K9" t="s">
        <v>414</v>
      </c>
      <c r="L9" t="str">
        <f>siteUrl&amp;"/Lists/"&amp;custList&amp;"/DispForm.aspx?ID="&amp;Customers[[#This Row],[Id]]</f>
        <v>https://cleansheet5.sharepoint.com/sites/SalesFunnel//Lists/citizenCustomers/DispForm.aspx?ID=8</v>
      </c>
      <c r="M9" t="e">
        <f>_xlfn.XLOOKUP(Customers[[#This Row],[Id]],Customers[Id],#REF!)</f>
        <v>#REF!</v>
      </c>
      <c r="N9" t="str">
        <f>_xlfn.XLOOKUP(Customers[[#This Row],[Id]],Customers[Id],Customers[url2])</f>
        <v>https://cleansheet5.sharepoint.com/sites/SalesFunnel//Lists/citizenCustomers/DispForm.aspx?ID=8</v>
      </c>
      <c r="V9" t="s">
        <v>57</v>
      </c>
    </row>
    <row r="10" spans="1:22" x14ac:dyDescent="0.25">
      <c r="A10">
        <v>9</v>
      </c>
      <c r="B10" t="s">
        <v>295</v>
      </c>
      <c r="C10" t="s">
        <v>297</v>
      </c>
      <c r="D10" t="s">
        <v>298</v>
      </c>
      <c r="E10" t="s">
        <v>299</v>
      </c>
      <c r="F10" t="s">
        <v>300</v>
      </c>
      <c r="G10" t="s">
        <v>301</v>
      </c>
      <c r="H10" t="s">
        <v>302</v>
      </c>
      <c r="I10" t="s">
        <v>296</v>
      </c>
      <c r="J10" t="s">
        <v>414</v>
      </c>
      <c r="K10" t="s">
        <v>414</v>
      </c>
      <c r="L10" t="str">
        <f>siteUrl&amp;"/Lists/"&amp;custList&amp;"/DispForm.aspx?ID="&amp;Customers[[#This Row],[Id]]</f>
        <v>https://cleansheet5.sharepoint.com/sites/SalesFunnel//Lists/citizenCustomers/DispForm.aspx?ID=9</v>
      </c>
      <c r="M10" t="e">
        <f>_xlfn.XLOOKUP(Customers[[#This Row],[Id]],Customers[Id],#REF!)</f>
        <v>#REF!</v>
      </c>
      <c r="N10" t="str">
        <f>_xlfn.XLOOKUP(Customers[[#This Row],[Id]],Customers[Id],Customers[url2])</f>
        <v>https://cleansheet5.sharepoint.com/sites/SalesFunnel//Lists/citizenCustomers/DispForm.aspx?ID=9</v>
      </c>
      <c r="V10" t="s">
        <v>53</v>
      </c>
    </row>
    <row r="11" spans="1:22" x14ac:dyDescent="0.25">
      <c r="A11">
        <v>10</v>
      </c>
      <c r="B11" t="s">
        <v>303</v>
      </c>
      <c r="C11" t="s">
        <v>305</v>
      </c>
      <c r="D11" t="s">
        <v>306</v>
      </c>
      <c r="E11" t="s">
        <v>307</v>
      </c>
      <c r="F11" t="s">
        <v>308</v>
      </c>
      <c r="G11" t="s">
        <v>309</v>
      </c>
      <c r="H11" t="s">
        <v>310</v>
      </c>
      <c r="I11" t="s">
        <v>304</v>
      </c>
      <c r="J11" t="s">
        <v>414</v>
      </c>
      <c r="K11" t="s">
        <v>414</v>
      </c>
      <c r="L11" t="str">
        <f>siteUrl&amp;"/Lists/"&amp;custList&amp;"/DispForm.aspx?ID="&amp;Customers[[#This Row],[Id]]</f>
        <v>https://cleansheet5.sharepoint.com/sites/SalesFunnel//Lists/citizenCustomers/DispForm.aspx?ID=10</v>
      </c>
      <c r="M11" t="e">
        <f>_xlfn.XLOOKUP(Customers[[#This Row],[Id]],Customers[Id],#REF!)</f>
        <v>#REF!</v>
      </c>
      <c r="N11" t="str">
        <f>_xlfn.XLOOKUP(Customers[[#This Row],[Id]],Customers[Id],Customers[url2])</f>
        <v>https://cleansheet5.sharepoint.com/sites/SalesFunnel//Lists/citizenCustomers/DispForm.aspx?ID=10</v>
      </c>
      <c r="V11" t="s">
        <v>63</v>
      </c>
    </row>
    <row r="12" spans="1:22" x14ac:dyDescent="0.25">
      <c r="A12">
        <v>11</v>
      </c>
      <c r="B12" t="s">
        <v>311</v>
      </c>
      <c r="C12" t="s">
        <v>313</v>
      </c>
      <c r="D12" t="s">
        <v>314</v>
      </c>
      <c r="E12" t="s">
        <v>315</v>
      </c>
      <c r="F12" t="s">
        <v>227</v>
      </c>
      <c r="G12" t="s">
        <v>316</v>
      </c>
      <c r="H12" t="s">
        <v>317</v>
      </c>
      <c r="I12" t="s">
        <v>312</v>
      </c>
      <c r="J12" t="s">
        <v>414</v>
      </c>
      <c r="K12" t="s">
        <v>414</v>
      </c>
      <c r="L12" t="str">
        <f>siteUrl&amp;"/Lists/"&amp;custList&amp;"/DispForm.aspx?ID="&amp;Customers[[#This Row],[Id]]</f>
        <v>https://cleansheet5.sharepoint.com/sites/SalesFunnel//Lists/citizenCustomers/DispForm.aspx?ID=11</v>
      </c>
      <c r="M12" t="e">
        <f>_xlfn.XLOOKUP(Customers[[#This Row],[Id]],Customers[Id],#REF!)</f>
        <v>#REF!</v>
      </c>
      <c r="N12" t="str">
        <f>_xlfn.XLOOKUP(Customers[[#This Row],[Id]],Customers[Id],Customers[url2])</f>
        <v>https://cleansheet5.sharepoint.com/sites/SalesFunnel//Lists/citizenCustomers/DispForm.aspx?ID=11</v>
      </c>
      <c r="V12" t="s">
        <v>54</v>
      </c>
    </row>
    <row r="13" spans="1:22" x14ac:dyDescent="0.25">
      <c r="A13">
        <v>12</v>
      </c>
      <c r="B13" t="s">
        <v>318</v>
      </c>
      <c r="C13" t="s">
        <v>320</v>
      </c>
      <c r="D13" t="s">
        <v>298</v>
      </c>
      <c r="E13" t="s">
        <v>321</v>
      </c>
      <c r="F13" t="s">
        <v>322</v>
      </c>
      <c r="G13" t="s">
        <v>323</v>
      </c>
      <c r="H13" t="s">
        <v>324</v>
      </c>
      <c r="I13" t="s">
        <v>319</v>
      </c>
      <c r="J13" t="s">
        <v>414</v>
      </c>
      <c r="K13" t="s">
        <v>414</v>
      </c>
      <c r="L13" t="str">
        <f>siteUrl&amp;"/Lists/"&amp;custList&amp;"/DispForm.aspx?ID="&amp;Customers[[#This Row],[Id]]</f>
        <v>https://cleansheet5.sharepoint.com/sites/SalesFunnel//Lists/citizenCustomers/DispForm.aspx?ID=12</v>
      </c>
      <c r="M13" t="e">
        <f>_xlfn.XLOOKUP(Customers[[#This Row],[Id]],Customers[Id],#REF!)</f>
        <v>#REF!</v>
      </c>
      <c r="N13" t="str">
        <f>_xlfn.XLOOKUP(Customers[[#This Row],[Id]],Customers[Id],Customers[url2])</f>
        <v>https://cleansheet5.sharepoint.com/sites/SalesFunnel//Lists/citizenCustomers/DispForm.aspx?ID=12</v>
      </c>
      <c r="V13" t="s">
        <v>64</v>
      </c>
    </row>
    <row r="14" spans="1:22" x14ac:dyDescent="0.25">
      <c r="A14">
        <v>13</v>
      </c>
      <c r="B14" t="s">
        <v>325</v>
      </c>
      <c r="C14" t="s">
        <v>327</v>
      </c>
      <c r="D14" t="s">
        <v>328</v>
      </c>
      <c r="E14" t="s">
        <v>329</v>
      </c>
      <c r="F14" t="s">
        <v>330</v>
      </c>
      <c r="G14" t="s">
        <v>331</v>
      </c>
      <c r="H14" t="s">
        <v>227</v>
      </c>
      <c r="I14" t="s">
        <v>326</v>
      </c>
      <c r="J14" t="s">
        <v>414</v>
      </c>
      <c r="K14" t="s">
        <v>414</v>
      </c>
      <c r="L14" t="str">
        <f>siteUrl&amp;"/Lists/"&amp;custList&amp;"/DispForm.aspx?ID="&amp;Customers[[#This Row],[Id]]</f>
        <v>https://cleansheet5.sharepoint.com/sites/SalesFunnel//Lists/citizenCustomers/DispForm.aspx?ID=13</v>
      </c>
      <c r="M14" t="e">
        <f>_xlfn.XLOOKUP(Customers[[#This Row],[Id]],Customers[Id],#REF!)</f>
        <v>#REF!</v>
      </c>
      <c r="N14" t="str">
        <f>_xlfn.XLOOKUP(Customers[[#This Row],[Id]],Customers[Id],Customers[url2])</f>
        <v>https://cleansheet5.sharepoint.com/sites/SalesFunnel//Lists/citizenCustomers/DispForm.aspx?ID=13</v>
      </c>
      <c r="V14" t="s">
        <v>65</v>
      </c>
    </row>
    <row r="15" spans="1:22" x14ac:dyDescent="0.25">
      <c r="A15">
        <v>14</v>
      </c>
      <c r="B15" t="s">
        <v>332</v>
      </c>
      <c r="C15" t="s">
        <v>334</v>
      </c>
      <c r="D15" t="s">
        <v>335</v>
      </c>
      <c r="E15" t="s">
        <v>336</v>
      </c>
      <c r="F15" t="s">
        <v>201</v>
      </c>
      <c r="G15" t="s">
        <v>337</v>
      </c>
      <c r="H15" t="s">
        <v>338</v>
      </c>
      <c r="I15" t="s">
        <v>333</v>
      </c>
      <c r="J15" t="s">
        <v>414</v>
      </c>
      <c r="K15" t="s">
        <v>414</v>
      </c>
      <c r="L15" t="str">
        <f>siteUrl&amp;"/Lists/"&amp;custList&amp;"/DispForm.aspx?ID="&amp;Customers[[#This Row],[Id]]</f>
        <v>https://cleansheet5.sharepoint.com/sites/SalesFunnel//Lists/citizenCustomers/DispForm.aspx?ID=14</v>
      </c>
      <c r="M15" t="e">
        <f>_xlfn.XLOOKUP(Customers[[#This Row],[Id]],Customers[Id],#REF!)</f>
        <v>#REF!</v>
      </c>
      <c r="N15" t="str">
        <f>_xlfn.XLOOKUP(Customers[[#This Row],[Id]],Customers[Id],Customers[url2])</f>
        <v>https://cleansheet5.sharepoint.com/sites/SalesFunnel//Lists/citizenCustomers/DispForm.aspx?ID=14</v>
      </c>
      <c r="V15" t="s">
        <v>56</v>
      </c>
    </row>
    <row r="16" spans="1:22" x14ac:dyDescent="0.25">
      <c r="A16">
        <v>15</v>
      </c>
      <c r="B16" t="s">
        <v>339</v>
      </c>
      <c r="C16" t="s">
        <v>341</v>
      </c>
      <c r="D16" t="s">
        <v>342</v>
      </c>
      <c r="E16" t="s">
        <v>343</v>
      </c>
      <c r="F16" t="s">
        <v>344</v>
      </c>
      <c r="G16" t="s">
        <v>345</v>
      </c>
      <c r="H16" t="s">
        <v>346</v>
      </c>
      <c r="I16" t="s">
        <v>340</v>
      </c>
      <c r="J16" t="s">
        <v>414</v>
      </c>
      <c r="K16" t="s">
        <v>414</v>
      </c>
      <c r="L16" t="str">
        <f>siteUrl&amp;"/Lists/"&amp;custList&amp;"/DispForm.aspx?ID="&amp;Customers[[#This Row],[Id]]</f>
        <v>https://cleansheet5.sharepoint.com/sites/SalesFunnel//Lists/citizenCustomers/DispForm.aspx?ID=15</v>
      </c>
      <c r="M16" t="e">
        <f>_xlfn.XLOOKUP(Customers[[#This Row],[Id]],Customers[Id],#REF!)</f>
        <v>#REF!</v>
      </c>
      <c r="N16" t="str">
        <f>_xlfn.XLOOKUP(Customers[[#This Row],[Id]],Customers[Id],Customers[url2])</f>
        <v>https://cleansheet5.sharepoint.com/sites/SalesFunnel//Lists/citizenCustomers/DispForm.aspx?ID=15</v>
      </c>
      <c r="V16" t="s">
        <v>57</v>
      </c>
    </row>
    <row r="17" spans="1:40" x14ac:dyDescent="0.25">
      <c r="A17">
        <v>16</v>
      </c>
      <c r="B17" t="s">
        <v>347</v>
      </c>
      <c r="C17" t="s">
        <v>349</v>
      </c>
      <c r="D17" t="s">
        <v>350</v>
      </c>
      <c r="E17" t="s">
        <v>351</v>
      </c>
      <c r="F17" t="s">
        <v>352</v>
      </c>
      <c r="G17" t="s">
        <v>353</v>
      </c>
      <c r="H17" t="s">
        <v>354</v>
      </c>
      <c r="I17" t="s">
        <v>348</v>
      </c>
      <c r="J17" t="s">
        <v>414</v>
      </c>
      <c r="K17" t="s">
        <v>414</v>
      </c>
      <c r="L17" t="str">
        <f>siteUrl&amp;"/Lists/"&amp;custList&amp;"/DispForm.aspx?ID="&amp;Customers[[#This Row],[Id]]</f>
        <v>https://cleansheet5.sharepoint.com/sites/SalesFunnel//Lists/citizenCustomers/DispForm.aspx?ID=16</v>
      </c>
      <c r="M17" t="e">
        <f>_xlfn.XLOOKUP(Customers[[#This Row],[Id]],Customers[Id],#REF!)</f>
        <v>#REF!</v>
      </c>
      <c r="N17" t="str">
        <f>_xlfn.XLOOKUP(Customers[[#This Row],[Id]],Customers[Id],Customers[url2])</f>
        <v>https://cleansheet5.sharepoint.com/sites/SalesFunnel//Lists/citizenCustomers/DispForm.aspx?ID=16</v>
      </c>
      <c r="V17" t="s">
        <v>53</v>
      </c>
    </row>
    <row r="18" spans="1:40" x14ac:dyDescent="0.25">
      <c r="A18">
        <v>17</v>
      </c>
      <c r="B18" t="s">
        <v>355</v>
      </c>
      <c r="C18" t="s">
        <v>357</v>
      </c>
      <c r="D18" t="s">
        <v>358</v>
      </c>
      <c r="E18" t="s">
        <v>359</v>
      </c>
      <c r="F18" t="s">
        <v>360</v>
      </c>
      <c r="G18" t="s">
        <v>361</v>
      </c>
      <c r="H18" t="s">
        <v>362</v>
      </c>
      <c r="I18" t="s">
        <v>356</v>
      </c>
      <c r="J18" t="s">
        <v>414</v>
      </c>
      <c r="K18" t="s">
        <v>414</v>
      </c>
      <c r="L18" t="str">
        <f>siteUrl&amp;"/Lists/"&amp;custList&amp;"/DispForm.aspx?ID="&amp;Customers[[#This Row],[Id]]</f>
        <v>https://cleansheet5.sharepoint.com/sites/SalesFunnel//Lists/citizenCustomers/DispForm.aspx?ID=17</v>
      </c>
      <c r="M18" t="e">
        <f>_xlfn.XLOOKUP(Customers[[#This Row],[Id]],Customers[Id],#REF!)</f>
        <v>#REF!</v>
      </c>
      <c r="N18" t="str">
        <f>_xlfn.XLOOKUP(Customers[[#This Row],[Id]],Customers[Id],Customers[url2])</f>
        <v>https://cleansheet5.sharepoint.com/sites/SalesFunnel//Lists/citizenCustomers/DispForm.aspx?ID=17</v>
      </c>
      <c r="V18" t="s">
        <v>66</v>
      </c>
    </row>
    <row r="19" spans="1:40" x14ac:dyDescent="0.25">
      <c r="A19">
        <v>18</v>
      </c>
      <c r="B19" t="s">
        <v>363</v>
      </c>
      <c r="C19" t="s">
        <v>365</v>
      </c>
      <c r="D19" t="s">
        <v>366</v>
      </c>
      <c r="E19" t="s">
        <v>367</v>
      </c>
      <c r="F19" t="s">
        <v>368</v>
      </c>
      <c r="G19" t="s">
        <v>369</v>
      </c>
      <c r="H19" t="s">
        <v>370</v>
      </c>
      <c r="I19" t="s">
        <v>364</v>
      </c>
      <c r="J19" t="s">
        <v>414</v>
      </c>
      <c r="K19" t="s">
        <v>414</v>
      </c>
      <c r="L19" t="str">
        <f>siteUrl&amp;"/Lists/"&amp;custList&amp;"/DispForm.aspx?ID="&amp;Customers[[#This Row],[Id]]</f>
        <v>https://cleansheet5.sharepoint.com/sites/SalesFunnel//Lists/citizenCustomers/DispForm.aspx?ID=18</v>
      </c>
      <c r="M19" t="e">
        <f>_xlfn.XLOOKUP(Customers[[#This Row],[Id]],Customers[Id],#REF!)</f>
        <v>#REF!</v>
      </c>
      <c r="N19" t="str">
        <f>_xlfn.XLOOKUP(Customers[[#This Row],[Id]],Customers[Id],Customers[url2])</f>
        <v>https://cleansheet5.sharepoint.com/sites/SalesFunnel//Lists/citizenCustomers/DispForm.aspx?ID=18</v>
      </c>
      <c r="V19" t="s">
        <v>54</v>
      </c>
    </row>
    <row r="20" spans="1:40" x14ac:dyDescent="0.25">
      <c r="A20">
        <v>19</v>
      </c>
      <c r="B20" t="s">
        <v>371</v>
      </c>
      <c r="C20" t="s">
        <v>373</v>
      </c>
      <c r="D20" t="s">
        <v>298</v>
      </c>
      <c r="E20" t="s">
        <v>374</v>
      </c>
      <c r="F20" t="s">
        <v>375</v>
      </c>
      <c r="G20" t="s">
        <v>376</v>
      </c>
      <c r="H20" t="s">
        <v>377</v>
      </c>
      <c r="I20" t="s">
        <v>372</v>
      </c>
      <c r="J20" t="s">
        <v>414</v>
      </c>
      <c r="K20" t="s">
        <v>414</v>
      </c>
      <c r="L20" t="str">
        <f>siteUrl&amp;"/Lists/"&amp;custList&amp;"/DispForm.aspx?ID="&amp;Customers[[#This Row],[Id]]</f>
        <v>https://cleansheet5.sharepoint.com/sites/SalesFunnel//Lists/citizenCustomers/DispForm.aspx?ID=19</v>
      </c>
      <c r="M20" t="e">
        <f>_xlfn.XLOOKUP(Customers[[#This Row],[Id]],Customers[Id],#REF!)</f>
        <v>#REF!</v>
      </c>
      <c r="N20" t="str">
        <f>_xlfn.XLOOKUP(Customers[[#This Row],[Id]],Customers[Id],Customers[url2])</f>
        <v>https://cleansheet5.sharepoint.com/sites/SalesFunnel//Lists/citizenCustomers/DispForm.aspx?ID=19</v>
      </c>
      <c r="V20" t="s">
        <v>67</v>
      </c>
    </row>
    <row r="21" spans="1:40" x14ac:dyDescent="0.25">
      <c r="A21">
        <v>20</v>
      </c>
      <c r="B21" t="s">
        <v>190</v>
      </c>
      <c r="C21" t="s">
        <v>192</v>
      </c>
      <c r="D21" t="s">
        <v>193</v>
      </c>
      <c r="E21" t="s">
        <v>194</v>
      </c>
      <c r="F21" t="s">
        <v>195</v>
      </c>
      <c r="G21" t="s">
        <v>196</v>
      </c>
      <c r="H21" t="s">
        <v>197</v>
      </c>
      <c r="I21" t="s">
        <v>191</v>
      </c>
      <c r="J21" t="s">
        <v>414</v>
      </c>
      <c r="K21" t="s">
        <v>414</v>
      </c>
      <c r="L21" t="str">
        <f>siteUrl&amp;"/Lists/"&amp;custList&amp;"/DispForm.aspx?ID="&amp;Customers[[#This Row],[Id]]</f>
        <v>https://cleansheet5.sharepoint.com/sites/SalesFunnel//Lists/citizenCustomers/DispForm.aspx?ID=20</v>
      </c>
      <c r="M21" t="e">
        <f>_xlfn.XLOOKUP(Customers[[#This Row],[Id]],Customers[Id],#REF!)</f>
        <v>#REF!</v>
      </c>
      <c r="N21" t="str">
        <f>_xlfn.XLOOKUP(Customers[[#This Row],[Id]],Customers[Id],Customers[url2])</f>
        <v>https://cleansheet5.sharepoint.com/sites/SalesFunnel//Lists/citizenCustomers/DispForm.aspx?ID=20</v>
      </c>
      <c r="V21" t="s">
        <v>68</v>
      </c>
    </row>
    <row r="22" spans="1:40" x14ac:dyDescent="0.25">
      <c r="A22">
        <v>21</v>
      </c>
      <c r="B22" t="s">
        <v>198</v>
      </c>
      <c r="C22" t="s">
        <v>200</v>
      </c>
      <c r="D22" t="s">
        <v>201</v>
      </c>
      <c r="E22" t="s">
        <v>202</v>
      </c>
      <c r="F22" t="s">
        <v>203</v>
      </c>
      <c r="G22" t="s">
        <v>204</v>
      </c>
      <c r="H22" t="s">
        <v>205</v>
      </c>
      <c r="I22" t="s">
        <v>199</v>
      </c>
      <c r="J22" t="s">
        <v>414</v>
      </c>
      <c r="K22" t="s">
        <v>414</v>
      </c>
      <c r="L22" t="str">
        <f>siteUrl&amp;"/Lists/"&amp;custList&amp;"/DispForm.aspx?ID="&amp;Customers[[#This Row],[Id]]</f>
        <v>https://cleansheet5.sharepoint.com/sites/SalesFunnel//Lists/citizenCustomers/DispForm.aspx?ID=21</v>
      </c>
      <c r="M22" t="e">
        <f>_xlfn.XLOOKUP(Customers[[#This Row],[Id]],Customers[Id],#REF!)</f>
        <v>#REF!</v>
      </c>
      <c r="N22" t="str">
        <f>_xlfn.XLOOKUP(Customers[[#This Row],[Id]],Customers[Id],Customers[url2])</f>
        <v>https://cleansheet5.sharepoint.com/sites/SalesFunnel//Lists/citizenCustomers/DispForm.aspx?ID=21</v>
      </c>
      <c r="V22" t="s">
        <v>56</v>
      </c>
    </row>
    <row r="23" spans="1:40" x14ac:dyDescent="0.25">
      <c r="A23">
        <v>22</v>
      </c>
      <c r="B23" t="s">
        <v>206</v>
      </c>
      <c r="C23" t="s">
        <v>208</v>
      </c>
      <c r="D23" t="s">
        <v>209</v>
      </c>
      <c r="E23" t="s">
        <v>210</v>
      </c>
      <c r="F23" t="s">
        <v>211</v>
      </c>
      <c r="G23" t="s">
        <v>212</v>
      </c>
      <c r="H23" t="s">
        <v>213</v>
      </c>
      <c r="I23" t="s">
        <v>207</v>
      </c>
      <c r="J23" t="s">
        <v>414</v>
      </c>
      <c r="K23" t="s">
        <v>414</v>
      </c>
      <c r="L23" t="str">
        <f>siteUrl&amp;"/Lists/"&amp;custList&amp;"/DispForm.aspx?ID="&amp;Customers[[#This Row],[Id]]</f>
        <v>https://cleansheet5.sharepoint.com/sites/SalesFunnel//Lists/citizenCustomers/DispForm.aspx?ID=22</v>
      </c>
      <c r="M23" t="e">
        <f>_xlfn.XLOOKUP(Customers[[#This Row],[Id]],Customers[Id],#REF!)</f>
        <v>#REF!</v>
      </c>
      <c r="N23" t="str">
        <f>_xlfn.XLOOKUP(Customers[[#This Row],[Id]],Customers[Id],Customers[url2])</f>
        <v>https://cleansheet5.sharepoint.com/sites/SalesFunnel//Lists/citizenCustomers/DispForm.aspx?ID=22</v>
      </c>
      <c r="V23" t="s">
        <v>57</v>
      </c>
    </row>
    <row r="24" spans="1:40" x14ac:dyDescent="0.25">
      <c r="A24">
        <v>23</v>
      </c>
      <c r="B24" t="s">
        <v>214</v>
      </c>
      <c r="C24" t="s">
        <v>216</v>
      </c>
      <c r="D24" t="s">
        <v>217</v>
      </c>
      <c r="E24" t="s">
        <v>218</v>
      </c>
      <c r="F24" t="s">
        <v>219</v>
      </c>
      <c r="G24" t="s">
        <v>220</v>
      </c>
      <c r="H24" t="s">
        <v>221</v>
      </c>
      <c r="I24" t="s">
        <v>215</v>
      </c>
      <c r="J24" t="s">
        <v>414</v>
      </c>
      <c r="K24" t="s">
        <v>414</v>
      </c>
      <c r="L24" t="str">
        <f>siteUrl&amp;"/Lists/"&amp;custList&amp;"/DispForm.aspx?ID="&amp;Customers[[#This Row],[Id]]</f>
        <v>https://cleansheet5.sharepoint.com/sites/SalesFunnel//Lists/citizenCustomers/DispForm.aspx?ID=23</v>
      </c>
      <c r="M24" t="e">
        <f>_xlfn.XLOOKUP(Customers[[#This Row],[Id]],Customers[Id],#REF!)</f>
        <v>#REF!</v>
      </c>
      <c r="N24" t="str">
        <f>_xlfn.XLOOKUP(Customers[[#This Row],[Id]],Customers[Id],Customers[url2])</f>
        <v>https://cleansheet5.sharepoint.com/sites/SalesFunnel//Lists/citizenCustomers/DispForm.aspx?ID=23</v>
      </c>
      <c r="V24" t="s">
        <v>53</v>
      </c>
    </row>
    <row r="25" spans="1:40" x14ac:dyDescent="0.25">
      <c r="A25">
        <v>24</v>
      </c>
      <c r="B25" t="s">
        <v>222</v>
      </c>
      <c r="C25" t="s">
        <v>224</v>
      </c>
      <c r="D25" t="s">
        <v>225</v>
      </c>
      <c r="E25" t="s">
        <v>226</v>
      </c>
      <c r="F25" t="s">
        <v>227</v>
      </c>
      <c r="G25" t="s">
        <v>228</v>
      </c>
      <c r="H25" t="s">
        <v>229</v>
      </c>
      <c r="I25" t="s">
        <v>223</v>
      </c>
      <c r="J25" t="s">
        <v>414</v>
      </c>
      <c r="K25" t="s">
        <v>414</v>
      </c>
      <c r="L25" t="str">
        <f>siteUrl&amp;"/Lists/"&amp;custList&amp;"/DispForm.aspx?ID="&amp;Customers[[#This Row],[Id]]</f>
        <v>https://cleansheet5.sharepoint.com/sites/SalesFunnel//Lists/citizenCustomers/DispForm.aspx?ID=24</v>
      </c>
      <c r="M25" t="e">
        <f>_xlfn.XLOOKUP(Customers[[#This Row],[Id]],Customers[Id],#REF!)</f>
        <v>#REF!</v>
      </c>
      <c r="N25" t="str">
        <f>_xlfn.XLOOKUP(Customers[[#This Row],[Id]],Customers[Id],Customers[url2])</f>
        <v>https://cleansheet5.sharepoint.com/sites/SalesFunnel//Lists/citizenCustomers/DispForm.aspx?ID=24</v>
      </c>
      <c r="V25" t="s">
        <v>69</v>
      </c>
    </row>
    <row r="26" spans="1:40" x14ac:dyDescent="0.25">
      <c r="A26">
        <v>25</v>
      </c>
      <c r="B26" t="s">
        <v>230</v>
      </c>
      <c r="C26" t="s">
        <v>232</v>
      </c>
      <c r="D26" t="s">
        <v>130</v>
      </c>
      <c r="E26" t="s">
        <v>233</v>
      </c>
      <c r="F26" t="s">
        <v>234</v>
      </c>
      <c r="G26" t="s">
        <v>235</v>
      </c>
      <c r="H26" t="s">
        <v>236</v>
      </c>
      <c r="I26" t="s">
        <v>231</v>
      </c>
      <c r="J26" t="s">
        <v>414</v>
      </c>
      <c r="K26" t="s">
        <v>414</v>
      </c>
      <c r="L26" t="str">
        <f>siteUrl&amp;"/Lists/"&amp;custList&amp;"/DispForm.aspx?ID="&amp;Customers[[#This Row],[Id]]</f>
        <v>https://cleansheet5.sharepoint.com/sites/SalesFunnel//Lists/citizenCustomers/DispForm.aspx?ID=25</v>
      </c>
      <c r="M26" t="e">
        <f>_xlfn.XLOOKUP(Customers[[#This Row],[Id]],Customers[Id],#REF!)</f>
        <v>#REF!</v>
      </c>
      <c r="N26" t="str">
        <f>_xlfn.XLOOKUP(Customers[[#This Row],[Id]],Customers[Id],Customers[url2])</f>
        <v>https://cleansheet5.sharepoint.com/sites/SalesFunnel//Lists/citizenCustomers/DispForm.aspx?ID=25</v>
      </c>
      <c r="V26" t="s">
        <v>54</v>
      </c>
    </row>
    <row r="27" spans="1:40" x14ac:dyDescent="0.25">
      <c r="A27">
        <v>26</v>
      </c>
      <c r="B27" t="s">
        <v>237</v>
      </c>
      <c r="C27" t="s">
        <v>239</v>
      </c>
      <c r="D27" t="s">
        <v>240</v>
      </c>
      <c r="E27" t="s">
        <v>241</v>
      </c>
      <c r="F27" t="s">
        <v>201</v>
      </c>
      <c r="G27" t="s">
        <v>242</v>
      </c>
      <c r="H27" t="s">
        <v>243</v>
      </c>
      <c r="I27" t="s">
        <v>238</v>
      </c>
      <c r="J27" t="s">
        <v>414</v>
      </c>
      <c r="K27" t="s">
        <v>414</v>
      </c>
      <c r="L27" t="str">
        <f>siteUrl&amp;"/Lists/"&amp;custList&amp;"/DispForm.aspx?ID="&amp;Customers[[#This Row],[Id]]</f>
        <v>https://cleansheet5.sharepoint.com/sites/SalesFunnel//Lists/citizenCustomers/DispForm.aspx?ID=26</v>
      </c>
      <c r="M27" t="e">
        <f>_xlfn.XLOOKUP(Customers[[#This Row],[Id]],Customers[Id],#REF!)</f>
        <v>#REF!</v>
      </c>
      <c r="N27" t="str">
        <f>_xlfn.XLOOKUP(Customers[[#This Row],[Id]],Customers[Id],Customers[url2])</f>
        <v>https://cleansheet5.sharepoint.com/sites/SalesFunnel//Lists/citizenCustomers/DispForm.aspx?ID=26</v>
      </c>
      <c r="V27" t="s">
        <v>70</v>
      </c>
    </row>
    <row r="28" spans="1:40" x14ac:dyDescent="0.25">
      <c r="A28">
        <v>27</v>
      </c>
      <c r="B28" t="s">
        <v>244</v>
      </c>
      <c r="C28" t="s">
        <v>246</v>
      </c>
      <c r="D28" t="s">
        <v>247</v>
      </c>
      <c r="E28" t="s">
        <v>248</v>
      </c>
      <c r="F28" t="s">
        <v>249</v>
      </c>
      <c r="G28" t="s">
        <v>250</v>
      </c>
      <c r="H28" t="s">
        <v>251</v>
      </c>
      <c r="I28" t="s">
        <v>245</v>
      </c>
      <c r="J28" t="s">
        <v>415</v>
      </c>
      <c r="K28" t="s">
        <v>415</v>
      </c>
      <c r="L28" t="str">
        <f>siteUrl&amp;"/Lists/"&amp;custList&amp;"/DispForm.aspx?ID="&amp;Customers[[#This Row],[Id]]</f>
        <v>https://cleansheet5.sharepoint.com/sites/SalesFunnel//Lists/citizenCustomers/DispForm.aspx?ID=27</v>
      </c>
      <c r="M28" t="e">
        <f>_xlfn.XLOOKUP(Customers[[#This Row],[Id]],Customers[Id],#REF!)</f>
        <v>#REF!</v>
      </c>
      <c r="N28" t="str">
        <f>_xlfn.XLOOKUP(Customers[[#This Row],[Id]],Customers[Id],Customers[url2])</f>
        <v>https://cleansheet5.sharepoint.com/sites/SalesFunnel//Lists/citizenCustomers/DispForm.aspx?ID=27</v>
      </c>
      <c r="V28" t="s">
        <v>71</v>
      </c>
    </row>
    <row r="29" spans="1:40" x14ac:dyDescent="0.25">
      <c r="A29">
        <v>28</v>
      </c>
      <c r="B29" t="s">
        <v>252</v>
      </c>
      <c r="C29" t="s">
        <v>254</v>
      </c>
      <c r="D29" t="s">
        <v>255</v>
      </c>
      <c r="E29" t="s">
        <v>256</v>
      </c>
      <c r="F29" t="s">
        <v>257</v>
      </c>
      <c r="G29" t="s">
        <v>258</v>
      </c>
      <c r="H29" t="s">
        <v>259</v>
      </c>
      <c r="I29" t="s">
        <v>253</v>
      </c>
      <c r="J29" t="s">
        <v>415</v>
      </c>
      <c r="K29" t="s">
        <v>415</v>
      </c>
      <c r="L29" t="str">
        <f>siteUrl&amp;"/Lists/"&amp;custList&amp;"/DispForm.aspx?ID="&amp;Customers[[#This Row],[Id]]</f>
        <v>https://cleansheet5.sharepoint.com/sites/SalesFunnel//Lists/citizenCustomers/DispForm.aspx?ID=28</v>
      </c>
      <c r="M29" t="e">
        <f>_xlfn.XLOOKUP(Customers[[#This Row],[Id]],Customers[Id],#REF!)</f>
        <v>#REF!</v>
      </c>
      <c r="N29" t="str">
        <f>_xlfn.XLOOKUP(Customers[[#This Row],[Id]],Customers[Id],Customers[url2])</f>
        <v>https://cleansheet5.sharepoint.com/sites/SalesFunnel//Lists/citizenCustomers/DispForm.aspx?ID=28</v>
      </c>
      <c r="V29" t="s">
        <v>56</v>
      </c>
    </row>
    <row r="30" spans="1:40" x14ac:dyDescent="0.25">
      <c r="A30">
        <v>29</v>
      </c>
      <c r="B30" t="s">
        <v>260</v>
      </c>
      <c r="C30" t="s">
        <v>262</v>
      </c>
      <c r="D30" t="s">
        <v>132</v>
      </c>
      <c r="E30" t="s">
        <v>263</v>
      </c>
      <c r="F30" t="s">
        <v>264</v>
      </c>
      <c r="G30" t="s">
        <v>265</v>
      </c>
      <c r="H30" t="s">
        <v>266</v>
      </c>
      <c r="I30" t="s">
        <v>261</v>
      </c>
      <c r="J30" t="s">
        <v>415</v>
      </c>
      <c r="K30" t="s">
        <v>415</v>
      </c>
      <c r="L30" t="str">
        <f>siteUrl&amp;"/Lists/"&amp;custList&amp;"/DispForm.aspx?ID="&amp;Customers[[#This Row],[Id]]</f>
        <v>https://cleansheet5.sharepoint.com/sites/SalesFunnel//Lists/citizenCustomers/DispForm.aspx?ID=29</v>
      </c>
      <c r="M30" t="e">
        <f>_xlfn.XLOOKUP(Customers[[#This Row],[Id]],Customers[Id],#REF!)</f>
        <v>#REF!</v>
      </c>
      <c r="N30" t="str">
        <f>_xlfn.XLOOKUP(Customers[[#This Row],[Id]],Customers[Id],Customers[url2])</f>
        <v>https://cleansheet5.sharepoint.com/sites/SalesFunnel//Lists/citizenCustomers/DispForm.aspx?ID=29</v>
      </c>
      <c r="V30" t="s">
        <v>58</v>
      </c>
    </row>
    <row r="31" spans="1:40" x14ac:dyDescent="0.25">
      <c r="A31">
        <v>30</v>
      </c>
      <c r="B31" t="s">
        <v>267</v>
      </c>
      <c r="C31" t="s">
        <v>269</v>
      </c>
      <c r="D31" t="s">
        <v>270</v>
      </c>
      <c r="E31" t="s">
        <v>271</v>
      </c>
      <c r="F31" t="s">
        <v>272</v>
      </c>
      <c r="G31" t="s">
        <v>273</v>
      </c>
      <c r="H31" t="s">
        <v>274</v>
      </c>
      <c r="I31" t="s">
        <v>268</v>
      </c>
      <c r="J31" t="s">
        <v>415</v>
      </c>
      <c r="K31" t="s">
        <v>415</v>
      </c>
      <c r="L31" t="str">
        <f>siteUrl&amp;"/Lists/"&amp;custList&amp;"/DispForm.aspx?ID="&amp;Customers[[#This Row],[Id]]</f>
        <v>https://cleansheet5.sharepoint.com/sites/SalesFunnel//Lists/citizenCustomers/DispForm.aspx?ID=30</v>
      </c>
      <c r="M31" t="e">
        <f>_xlfn.XLOOKUP(Customers[[#This Row],[Id]],Customers[Id],#REF!)</f>
        <v>#REF!</v>
      </c>
      <c r="N31" t="str">
        <f>_xlfn.XLOOKUP(Customers[[#This Row],[Id]],Customers[Id],Customers[url2])</f>
        <v>https://cleansheet5.sharepoint.com/sites/SalesFunnel//Lists/citizenCustomers/DispForm.aspx?ID=30</v>
      </c>
      <c r="V31" t="s">
        <v>59</v>
      </c>
    </row>
    <row r="32" spans="1:40" x14ac:dyDescent="0.25">
      <c r="AN32" t="s">
        <v>60</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X3" sqref="X3"/>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49.469619000000002</v>
      </c>
      <c r="C2" s="15">
        <f>SUBTOTAL(3,View[[🔗Customer ]])</f>
        <v>40</v>
      </c>
      <c r="D2" s="16">
        <f>(B2-(SUBTOTAL(9,View[Estmated Revenue])/1000))/B2</f>
        <v>0.57146100114496534</v>
      </c>
      <c r="E2" s="18">
        <f>SUMIFS(Opportunities[Amount],Opportunities[High Probability],TRUE,View[Visible],1)/1000/1000</f>
        <v>10.083202</v>
      </c>
      <c r="H2" t="s">
        <v>48</v>
      </c>
      <c r="I2">
        <f>IF(I1="","",COUNTIFS(View[Visible],1,View[Close Quarter],graphics!I1))</f>
        <v>2</v>
      </c>
      <c r="J2">
        <f>IF(J1="","",COUNTIFS(View[Visible],1,View[Close Quarter],graphics!J1))</f>
        <v>3</v>
      </c>
      <c r="K2">
        <f>IF(K1="","",COUNTIFS(View[Visible],1,View[Close Quarter],graphics!K1))</f>
        <v>12</v>
      </c>
      <c r="L2">
        <f>IF(L1="","",COUNTIFS(View[Visible],1,View[Close Quarter],graphics!L1))</f>
        <v>11</v>
      </c>
      <c r="M2">
        <f>IF(M1="","",COUNTIFS(View[Visible],1,View[Close Quarter],graphics!M1))</f>
        <v>6</v>
      </c>
      <c r="N2">
        <f>IF(N1="","",COUNTIFS(View[Visible],1,View[Close Quarter],graphics!N1))</f>
        <v>6</v>
      </c>
      <c r="Q2" t="str" cm="1">
        <f t="array" ref="Q2:Q7">(_xlfn._xlws.SORT(_xlfn.UNIQUE(View[Stage])))</f>
        <v>➀ - Lead Qualification</v>
      </c>
      <c r="R2">
        <f>IF(R$1="","",SUMIFS(View[Unweighted],View[Close Quarter],R$1,View[Stage],$Q2,View[Visible],1)/1000)</f>
        <v>0</v>
      </c>
      <c r="S2">
        <f>IF(S$1="","",SUMIFS(View[Unweighted],View[Close Quarter],S$1,View[Stage],$Q2,View[Visible],1)/1000)</f>
        <v>3.5966869999999997</v>
      </c>
      <c r="T2">
        <f>IF(T$1="","",SUMIFS(View[Unweighted],View[Close Quarter],T$1,View[Stage],$Q2,View[Visible],1)/1000)</f>
        <v>2.5584849999999997</v>
      </c>
      <c r="U2">
        <f>IF(U$1="","",SUMIFS(View[Unweighted],View[Close Quarter],U$1,View[Stage],$Q2,View[Visible],1)/1000)</f>
        <v>1.721921</v>
      </c>
      <c r="V2">
        <f>IF(V$1="","",SUMIFS(View[Unweighted],View[Close Quarter],V$1,View[Stage],$Q2,View[Visible],1)/1000)</f>
        <v>0</v>
      </c>
      <c r="W2">
        <f>IF(W$1="","",SUMIFS(View[Unweighted],View[Close Quarter],W$1,View[Stage],$Q2,View[Visible],1)/1000)</f>
        <v>0</v>
      </c>
      <c r="AF2" t="s">
        <v>77</v>
      </c>
      <c r="AG2" t="s">
        <v>25</v>
      </c>
      <c r="AH2" s="26">
        <f>IF(AH$1="","",SUMIFS(View[Unweighted],View[Close Quarter],AH$1,View[S],$AF2,View[Visible],1)/1000)</f>
        <v>1.555472</v>
      </c>
      <c r="AI2" s="26">
        <f>IF(AI$1="","",SUMIFS(View[Unweighted],View[Close Quarter],AI$1,View[S],$AF2,View[Visible],1)/1000)</f>
        <v>0</v>
      </c>
      <c r="AJ2" s="26">
        <f>IF(AJ$1="","",SUMIFS(View[Unweighted],View[Close Quarter],AJ$1,View[S],$AF2,View[Visible],1)/1000)</f>
        <v>0</v>
      </c>
      <c r="AK2" s="26">
        <f>IF(AK$1="","",SUMIFS(View[Unweighted],View[Close Quarter],AK$1,View[S],$AF2,View[Visible],1)/1000)</f>
        <v>0</v>
      </c>
      <c r="AL2" s="26">
        <f>IF(AL$1="","",SUMIFS(View[Unweighted],View[Close Quarter],AL$1,View[S],$AF2,View[Visible],1)/1000)</f>
        <v>0</v>
      </c>
      <c r="AM2" s="26">
        <f>IF(AM$1="","",SUMIFS(View[Unweighted],View[Close Quarter],AM$1,View[S],$AF2,View[Visible],1)/1000)</f>
        <v>0</v>
      </c>
    </row>
    <row r="3" spans="1:39" x14ac:dyDescent="0.25">
      <c r="B3" s="13" t="s">
        <v>26</v>
      </c>
      <c r="C3" s="13" t="s">
        <v>48</v>
      </c>
      <c r="D3" s="13" t="s">
        <v>27</v>
      </c>
      <c r="E3" s="5" t="s">
        <v>28</v>
      </c>
      <c r="H3" t="s">
        <v>43</v>
      </c>
      <c r="I3" s="4">
        <f>IF(I1="","",SUMIFS(View[Unweighted],View[Visible],1,View[Close Quarter],graphics!I$1)/1000)</f>
        <v>2.4779430000000002</v>
      </c>
      <c r="J3" s="4">
        <f>IF(J1="","",SUMIFS(View[Unweighted],View[Visible],1,View[Close Quarter],graphics!J$1)/1000)</f>
        <v>4.1744479999999999</v>
      </c>
      <c r="K3" s="4">
        <f>IF(K1="","",SUMIFS(View[Unweighted],View[Visible],1,View[Close Quarter],graphics!K$1)/1000)</f>
        <v>15.057593999999998</v>
      </c>
      <c r="L3" s="4">
        <f>IF(L1="","",SUMIFS(View[Unweighted],View[Visible],1,View[Close Quarter],graphics!L$1)/1000)</f>
        <v>12.035836</v>
      </c>
      <c r="M3" s="4">
        <f>IF(M1="","",SUMIFS(View[Unweighted],View[Visible],1,View[Close Quarter],graphics!M$1)/1000)</f>
        <v>7.9430969999999999</v>
      </c>
      <c r="N3" s="4">
        <f>IF(N1="","",SUMIFS(View[Unweighted],View[Visible],1,View[Close Quarter],graphics!N$1)/1000)</f>
        <v>7.7807009999999996</v>
      </c>
      <c r="Q3" t="str">
        <v>➁ - Nurturing</v>
      </c>
      <c r="R3">
        <f>IF(R$1="","",SUMIFS(View[Unweighted],View[Close Quarter],R$1,View[Stage],$Q3,View[Visible],1)/1000)</f>
        <v>2.3985850000000002</v>
      </c>
      <c r="S3">
        <f>IF(S$1="","",SUMIFS(View[Unweighted],View[Close Quarter],S$1,View[Stage],$Q3,View[Visible],1)/1000)</f>
        <v>0</v>
      </c>
      <c r="T3">
        <f>IF(T$1="","",SUMIFS(View[Unweighted],View[Close Quarter],T$1,View[Stage],$Q3,View[Visible],1)/1000)</f>
        <v>3.4280710000000001</v>
      </c>
      <c r="U3">
        <f>IF(U$1="","",SUMIFS(View[Unweighted],View[Close Quarter],U$1,View[Stage],$Q3,View[Visible],1)/1000)</f>
        <v>2.9954890000000001</v>
      </c>
      <c r="V3">
        <f>IF(V$1="","",SUMIFS(View[Unweighted],View[Close Quarter],V$1,View[Stage],$Q3,View[Visible],1)/1000)</f>
        <v>0</v>
      </c>
      <c r="W3">
        <f>IF(W$1="","",SUMIFS(View[Unweighted],View[Close Quarter],W$1,View[Stage],$Q3,View[Visible],1)/1000)</f>
        <v>0</v>
      </c>
      <c r="AF3" t="s">
        <v>78</v>
      </c>
      <c r="AG3" t="s">
        <v>17</v>
      </c>
      <c r="AH3" s="26">
        <f>IF(AH$1="","",SUMIFS(View[Unweighted],View[Close Quarter],AH$1,View[S],$AF3,View[Visible],1)/1000)</f>
        <v>1.8751599999999999</v>
      </c>
      <c r="AI3" s="26">
        <f>IF(AI$1="","",SUMIFS(View[Unweighted],View[Close Quarter],AI$1,View[S],$AF3,View[Visible],1)/1000)</f>
        <v>3.499682</v>
      </c>
      <c r="AJ3" s="26">
        <f>IF(AJ$1="","",SUMIFS(View[Unweighted],View[Close Quarter],AJ$1,View[S],$AF3,View[Visible],1)/1000)</f>
        <v>3.5235759999999998</v>
      </c>
      <c r="AK3" s="26">
        <f>IF(AK$1="","",SUMIFS(View[Unweighted],View[Close Quarter],AK$1,View[S],$AF3,View[Visible],1)/1000)</f>
        <v>1.3087960000000001</v>
      </c>
      <c r="AL3" s="26">
        <f>IF(AL$1="","",SUMIFS(View[Unweighted],View[Close Quarter],AL$1,View[S],$AF3,View[Visible],1)/1000)</f>
        <v>0</v>
      </c>
      <c r="AM3" s="26">
        <f>IF(AM$1="","",SUMIFS(View[Unweighted],View[Close Quarter],AM$1,View[S],$AF3,View[Visible],1)/1000)</f>
        <v>0</v>
      </c>
    </row>
    <row r="4" spans="1:39" x14ac:dyDescent="0.25">
      <c r="H4" t="s">
        <v>41</v>
      </c>
      <c r="I4" s="4">
        <f>IF(I1="","",SUMIFS(View[Estmated Revenue],View[Visible],1,View[Close Quarter],graphics!I$1)/1000)</f>
        <v>0.99117720000000009</v>
      </c>
      <c r="J4" s="4">
        <f>IF(J1="","",SUMIFS(View[Estmated Revenue],View[Visible],1,View[Close Quarter],graphics!J$1)/1000)</f>
        <v>1.129875</v>
      </c>
      <c r="K4" s="4">
        <f>IF(K1="","",SUMIFS(View[Estmated Revenue],View[Visible],1,View[Close Quarter],graphics!K$1)/1000)</f>
        <v>5.9017895999999999</v>
      </c>
      <c r="L4" s="4">
        <f>IF(L1="","",SUMIFS(View[Estmated Revenue],View[Visible],1,View[Close Quarter],graphics!L$1)/1000)</f>
        <v>6.6633384000000015</v>
      </c>
      <c r="M4" s="4">
        <f>IF(M1="","",SUMIFS(View[Estmated Revenue],View[Visible],1,View[Close Quarter],graphics!M$1)/1000)</f>
        <v>3.0896072000000006</v>
      </c>
      <c r="N4" s="4">
        <f>IF(N1="","",SUMIFS(View[Estmated Revenue],View[Visible],1,View[Close Quarter],graphics!N$1)/1000)</f>
        <v>3.4238735999999999</v>
      </c>
      <c r="Q4" t="str">
        <v>➂ - Proposal</v>
      </c>
      <c r="R4">
        <f>IF(R$1="","",SUMIFS(View[Unweighted],View[Close Quarter],R$1,View[Stage],$Q4,View[Visible],1)/1000)</f>
        <v>2.5983849999999999</v>
      </c>
      <c r="S4">
        <f>IF(S$1="","",SUMIFS(View[Unweighted],View[Close Quarter],S$1,View[Stage],$Q4,View[Visible],1)/1000)</f>
        <v>0</v>
      </c>
      <c r="T4">
        <f>IF(T$1="","",SUMIFS(View[Unweighted],View[Close Quarter],T$1,View[Stage],$Q4,View[Visible],1)/1000)</f>
        <v>2.2694769999999997</v>
      </c>
      <c r="U4">
        <f>IF(U$1="","",SUMIFS(View[Unweighted],View[Close Quarter],U$1,View[Stage],$Q4,View[Visible],1)/1000)</f>
        <v>2.4751880000000002</v>
      </c>
      <c r="V4">
        <f>IF(V$1="","",SUMIFS(View[Unweighted],View[Close Quarter],V$1,View[Stage],$Q4,View[Visible],1)/1000)</f>
        <v>0</v>
      </c>
      <c r="W4">
        <f>IF(W$1="","",SUMIFS(View[Unweighted],View[Close Quarter],W$1,View[Stage],$Q4,View[Visible],1)/1000)</f>
        <v>0</v>
      </c>
      <c r="AF4" t="s">
        <v>79</v>
      </c>
      <c r="AG4" t="s">
        <v>19</v>
      </c>
      <c r="AH4" s="26">
        <f>IF(AH$1="","",SUMIFS(View[Unweighted],View[Close Quarter],AH$1,View[S],$AF4,View[Visible],1)/1000)</f>
        <v>4.3500690000000004</v>
      </c>
      <c r="AI4" s="26">
        <f>IF(AI$1="","",SUMIFS(View[Unweighted],View[Close Quarter],AI$1,View[S],$AF4,View[Visible],1)/1000)</f>
        <v>4.4434149999999999</v>
      </c>
      <c r="AJ4" s="26">
        <f>IF(AJ$1="","",SUMIFS(View[Unweighted],View[Close Quarter],AJ$1,View[S],$AF4,View[Visible],1)/1000)</f>
        <v>8.5122599999999995</v>
      </c>
      <c r="AK4" s="26">
        <f>IF(AK$1="","",SUMIFS(View[Unweighted],View[Close Quarter],AK$1,View[S],$AF4,View[Visible],1)/1000)</f>
        <v>13.748797999999999</v>
      </c>
      <c r="AL4" s="26">
        <f>IF(AL$1="","",SUMIFS(View[Unweighted],View[Close Quarter],AL$1,View[S],$AF4,View[Visible],1)/1000)</f>
        <v>4.1744479999999999</v>
      </c>
      <c r="AM4" s="26">
        <f>IF(AM$1="","",SUMIFS(View[Unweighted],View[Close Quarter],AM$1,View[S],$AF4,View[Visible],1)/1000)</f>
        <v>2.4779430000000002</v>
      </c>
    </row>
    <row r="5" spans="1:39" x14ac:dyDescent="0.25">
      <c r="Q5" t="str">
        <v>➃ - Negotiation</v>
      </c>
      <c r="R5">
        <f>IF(R$1="","",SUMIFS(View[Unweighted],View[Close Quarter],R$1,View[Stage],$Q5,View[Visible],1)/1000)</f>
        <v>0</v>
      </c>
      <c r="S5">
        <f>IF(S$1="","",SUMIFS(View[Unweighted],View[Close Quarter],S$1,View[Stage],$Q5,View[Visible],1)/1000)</f>
        <v>1.31515</v>
      </c>
      <c r="T5">
        <f>IF(T$1="","",SUMIFS(View[Unweighted],View[Close Quarter],T$1,View[Stage],$Q5,View[Visible],1)/1000)</f>
        <v>1.3661969999999999</v>
      </c>
      <c r="U5">
        <f>IF(U$1="","",SUMIFS(View[Unweighted],View[Close Quarter],U$1,View[Stage],$Q5,View[Visible],1)/1000)</f>
        <v>4.6446270000000007</v>
      </c>
      <c r="V5">
        <f>IF(V$1="","",SUMIFS(View[Unweighted],View[Close Quarter],V$1,View[Stage],$Q5,View[Visible],1)/1000)</f>
        <v>2.6995210000000003</v>
      </c>
      <c r="W5">
        <f>IF(W$1="","",SUMIFS(View[Unweighted],View[Close Quarter],W$1,View[Stage],$Q5,View[Visible],1)/1000)</f>
        <v>0</v>
      </c>
    </row>
    <row r="6" spans="1:39" x14ac:dyDescent="0.25">
      <c r="Q6" t="str">
        <v>➄ - Project Execution</v>
      </c>
      <c r="R6">
        <f>IF(R$1="","",SUMIFS(View[Unweighted],View[Close Quarter],R$1,View[Stage],$Q6,View[Visible],1)/1000)</f>
        <v>1.68801</v>
      </c>
      <c r="S6">
        <f>IF(S$1="","",SUMIFS(View[Unweighted],View[Close Quarter],S$1,View[Stage],$Q6,View[Visible],1)/1000)</f>
        <v>1.850071</v>
      </c>
      <c r="T6">
        <f>IF(T$1="","",SUMIFS(View[Unweighted],View[Close Quarter],T$1,View[Stage],$Q6,View[Visible],1)/1000)</f>
        <v>0</v>
      </c>
      <c r="U6">
        <f>IF(U$1="","",SUMIFS(View[Unweighted],View[Close Quarter],U$1,View[Stage],$Q6,View[Visible],1)/1000)</f>
        <v>2.5540379999999998</v>
      </c>
      <c r="V6">
        <f>IF(V$1="","",SUMIFS(View[Unweighted],View[Close Quarter],V$1,View[Stage],$Q6,View[Visible],1)/1000)</f>
        <v>1.4749269999999999</v>
      </c>
      <c r="W6">
        <f>IF(W$1="","",SUMIFS(View[Unweighted],View[Close Quarter],W$1,View[Stage],$Q6,View[Visible],1)/1000)</f>
        <v>1.2591330000000001</v>
      </c>
    </row>
    <row r="7" spans="1:39" x14ac:dyDescent="0.25">
      <c r="Q7" t="str">
        <v>➅ - Closeout</v>
      </c>
      <c r="R7">
        <f>IF(R$1="","",SUMIFS(View[Unweighted],View[Close Quarter],R$1,View[Stage],$Q7,View[Visible],1)/1000)</f>
        <v>1.0957209999999999</v>
      </c>
      <c r="S7">
        <f>IF(S$1="","",SUMIFS(View[Unweighted],View[Close Quarter],S$1,View[Stage],$Q7,View[Visible],1)/1000)</f>
        <v>1.181189</v>
      </c>
      <c r="T7">
        <f>IF(T$1="","",SUMIFS(View[Unweighted],View[Close Quarter],T$1,View[Stage],$Q7,View[Visible],1)/1000)</f>
        <v>2.4136059999999997</v>
      </c>
      <c r="U7">
        <f>IF(U$1="","",SUMIFS(View[Unweighted],View[Close Quarter],U$1,View[Stage],$Q7,View[Visible],1)/1000)</f>
        <v>0.66633100000000001</v>
      </c>
      <c r="V7">
        <f>IF(V$1="","",SUMIFS(View[Unweighted],View[Close Quarter],V$1,View[Stage],$Q7,View[Visible],1)/1000)</f>
        <v>0</v>
      </c>
      <c r="W7">
        <f>IF(W$1="","",SUMIFS(View[Unweighted],View[Close Quarter],W$1,View[Stage],$Q7,View[Visible],1)/1000)</f>
        <v>1.2188099999999999</v>
      </c>
    </row>
    <row r="10" spans="1:39" x14ac:dyDescent="0.25">
      <c r="B10" t="s">
        <v>14</v>
      </c>
      <c r="C10" t="s">
        <v>48</v>
      </c>
      <c r="D10" t="s">
        <v>15</v>
      </c>
    </row>
    <row r="11" spans="1:39" x14ac:dyDescent="0.25">
      <c r="A11" t="str">
        <f>_xlfn.XLOOKUP(B11,stage[Display],stage[Stage Name])</f>
        <v>Lead Qualification</v>
      </c>
      <c r="B11" t="s">
        <v>379</v>
      </c>
      <c r="C11">
        <f>COUNTIFS(View[Stage],B11,View[Visible],1)</f>
        <v>7</v>
      </c>
      <c r="D11" s="21">
        <f>SUMIFS(View[Opp Value],View[Stage],B11,View[Visible],1)/1000</f>
        <v>7.8770930000000003</v>
      </c>
    </row>
    <row r="12" spans="1:39" x14ac:dyDescent="0.25">
      <c r="A12" t="str">
        <f>_xlfn.XLOOKUP(B12,stage[Display],stage[Stage Name])</f>
        <v>Nurturing</v>
      </c>
      <c r="B12" t="s">
        <v>380</v>
      </c>
      <c r="C12">
        <f>COUNTIF(View[Stage],B12)</f>
        <v>7</v>
      </c>
      <c r="D12" s="21">
        <f>SUMIFS(View[Opp Value],View[Stage],B12,View[Visible],1)/1000</f>
        <v>8.8221450000000008</v>
      </c>
    </row>
    <row r="13" spans="1:39" x14ac:dyDescent="0.25">
      <c r="A13" t="str">
        <f>_xlfn.XLOOKUP(B13,stage[Display],stage[Stage Name])</f>
        <v>Proposal</v>
      </c>
      <c r="B13" t="s">
        <v>381</v>
      </c>
      <c r="C13">
        <f>COUNTIF(View[Stage],B13)</f>
        <v>7</v>
      </c>
      <c r="D13" s="21">
        <f>SUMIFS(View[Opp Value],View[Stage],B13,View[Visible],1)/1000</f>
        <v>7.3430499999999999</v>
      </c>
    </row>
    <row r="14" spans="1:39" x14ac:dyDescent="0.25">
      <c r="A14" t="str">
        <f>_xlfn.XLOOKUP(B14,stage[Display],stage[Stage Name])</f>
        <v>Negotiation</v>
      </c>
      <c r="B14" t="s">
        <v>382</v>
      </c>
      <c r="C14">
        <f>COUNTIF(View[Stage],B14)</f>
        <v>7</v>
      </c>
      <c r="D14" s="21">
        <f>SUMIFS(View[Opp Value],View[Stage],B14,View[Visible],1)/1000</f>
        <v>10.025494999999999</v>
      </c>
    </row>
    <row r="15" spans="1:39" x14ac:dyDescent="0.25">
      <c r="A15" t="str">
        <f>_xlfn.XLOOKUP(B15,stage[Display],stage[Stage Name])</f>
        <v>Project Execution</v>
      </c>
      <c r="B15" t="s">
        <v>383</v>
      </c>
      <c r="C15">
        <f>COUNTIF(View[Stage],B15)</f>
        <v>6</v>
      </c>
      <c r="D15" s="21">
        <f>SUMIFS(View[Opp Value],View[Stage],B15,View[Visible],1)/1000</f>
        <v>8.8261789999999998</v>
      </c>
    </row>
    <row r="16" spans="1:39" x14ac:dyDescent="0.25">
      <c r="A16" t="str">
        <f>_xlfn.XLOOKUP(B16,stage[Display],stage[Stage Name])</f>
        <v>Closeout</v>
      </c>
      <c r="B16" t="s">
        <v>384</v>
      </c>
      <c r="C16">
        <f>COUNTIF(View[Stage],B16)</f>
        <v>6</v>
      </c>
      <c r="D16" s="21">
        <f>SUMIFS(View[Opp Value],View[Stage],B16,View[Visible],1)/1000</f>
        <v>6.5756570000000014</v>
      </c>
    </row>
    <row r="37" spans="47:53" s="41" customFormat="1" ht="52.5" customHeight="1" x14ac:dyDescent="0.25"/>
    <row r="38" spans="47:53" s="41" customFormat="1" ht="52.5" customHeight="1" x14ac:dyDescent="0.25"/>
    <row r="39" spans="47:53" s="41" customFormat="1" ht="52.5" customHeight="1" x14ac:dyDescent="0.25"/>
    <row r="40" spans="47:53" s="41" customFormat="1" ht="52.5" customHeight="1" x14ac:dyDescent="0.25">
      <c r="AU40" s="42"/>
      <c r="AV40" s="42"/>
      <c r="AW40" s="42"/>
      <c r="AX40" s="42"/>
      <c r="AY40" s="42"/>
      <c r="AZ40" s="42"/>
      <c r="BA40" s="42"/>
    </row>
    <row r="41" spans="47:53" s="41" customFormat="1" ht="52.5" customHeight="1" x14ac:dyDescent="0.25">
      <c r="AU41" s="42"/>
      <c r="AV41" s="42"/>
      <c r="AW41" s="42"/>
      <c r="AX41" s="42"/>
      <c r="AY41" s="42"/>
      <c r="AZ41" s="42"/>
      <c r="BA41" s="42"/>
    </row>
    <row r="42" spans="47:53" s="41" customFormat="1" ht="52.5" customHeight="1" x14ac:dyDescent="0.25">
      <c r="AU42" s="42"/>
      <c r="AV42" s="42"/>
      <c r="AW42" s="42"/>
      <c r="AX42" s="42"/>
      <c r="AY42" s="42"/>
      <c r="AZ42" s="42"/>
      <c r="BA42" s="42"/>
    </row>
    <row r="43" spans="47:53" s="41" customFormat="1" ht="52.5" customHeight="1" x14ac:dyDescent="0.25">
      <c r="AU43" s="42"/>
      <c r="AV43" s="42"/>
      <c r="AW43" s="42"/>
      <c r="AX43" s="42"/>
      <c r="AY43" s="42"/>
      <c r="AZ43" s="42"/>
      <c r="BA43" s="42"/>
    </row>
    <row r="44" spans="47:53" s="41" customFormat="1" ht="52.5" customHeight="1" x14ac:dyDescent="0.25">
      <c r="AU44" s="42"/>
      <c r="AV44" s="42"/>
      <c r="AW44" s="42"/>
      <c r="AX44" s="42"/>
      <c r="AY44" s="42"/>
      <c r="AZ44" s="42"/>
      <c r="BA44" s="42"/>
    </row>
    <row r="45" spans="47:53" s="41" customFormat="1" ht="52.5" customHeight="1" x14ac:dyDescent="0.25">
      <c r="AU45" s="42"/>
      <c r="AV45" s="42"/>
      <c r="AW45" s="42"/>
      <c r="AX45" s="42"/>
      <c r="AY45" s="42"/>
      <c r="AZ45" s="42"/>
      <c r="BA45" s="42"/>
    </row>
    <row r="46" spans="47:53" s="41" customFormat="1" ht="52.5" customHeight="1" x14ac:dyDescent="0.25">
      <c r="AU46" s="42"/>
      <c r="AV46" s="42"/>
      <c r="AW46" s="42"/>
      <c r="AX46" s="42"/>
      <c r="AY46" s="42"/>
      <c r="AZ46" s="42"/>
      <c r="BA46" s="42"/>
    </row>
    <row r="47" spans="47:53" s="41" customFormat="1" ht="52.5" customHeight="1" x14ac:dyDescent="0.25">
      <c r="AU47" s="42"/>
      <c r="AV47" s="42"/>
      <c r="AW47" s="42"/>
      <c r="AX47" s="42"/>
      <c r="AY47" s="42"/>
      <c r="AZ47" s="42"/>
      <c r="BA47" s="42"/>
    </row>
    <row r="48" spans="47:53" s="41" customFormat="1" ht="52.5" customHeight="1" x14ac:dyDescent="0.25">
      <c r="AU48" s="42"/>
      <c r="AV48" s="42"/>
      <c r="AW48" s="42"/>
      <c r="AX48" s="42"/>
      <c r="AY48" s="42"/>
      <c r="AZ48" s="42"/>
      <c r="BA48" s="42"/>
    </row>
    <row r="49" spans="47:53" s="41" customFormat="1" ht="52.5" customHeight="1" x14ac:dyDescent="0.25">
      <c r="AU49" s="42"/>
      <c r="AV49" s="42"/>
      <c r="AW49" s="42"/>
      <c r="AX49" s="42"/>
      <c r="AY49" s="42"/>
      <c r="AZ49" s="42"/>
      <c r="BA49" s="4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election activeCell="X3" sqref="X3"/>
    </sheetView>
  </sheetViews>
  <sheetFormatPr defaultRowHeight="15" x14ac:dyDescent="0.25"/>
  <cols>
    <col min="1" max="1" width="43.140625" style="43" bestFit="1" customWidth="1"/>
    <col min="6" max="12" width="53" style="42" customWidth="1"/>
  </cols>
  <sheetData>
    <row r="1" spans="1:12" x14ac:dyDescent="0.25">
      <c r="A1" s="43" t="str" cm="1">
        <f t="array" ref="A1:A13">_xlfn.VSTACK("Critical",_xlfn._xlws.FILTER(Opportunities[Display],Opportunities[Status]="Critical"),"","At Risk",_xlfn._xlws.FILTER(Opportunities[Display],Opportunities[Status]="At Risk"))</f>
        <v>Critical</v>
      </c>
      <c r="F1" s="44" t="str" cm="1">
        <f t="array" ref="F1:K1">TRANSPOSE(_xlfn.UNIQUE((_xlfn.SORTBY(View[Close Quarter],View[Close],1))))</f>
        <v>FY26-Q1</v>
      </c>
      <c r="G1" s="44" t="str">
        <v>FY26-Q2</v>
      </c>
      <c r="H1" s="44" t="str">
        <v>FY26-Q3</v>
      </c>
      <c r="I1" s="44" t="str">
        <v>FY26-Q4</v>
      </c>
      <c r="J1" s="44" t="str">
        <v>FY27-Q1</v>
      </c>
      <c r="K1" s="44" t="str">
        <v>FY27-Q2</v>
      </c>
      <c r="L1" s="44"/>
    </row>
    <row r="2" spans="1:12" ht="45" x14ac:dyDescent="0.25">
      <c r="A2" s="43" t="str">
        <v>⮾ ACME Corporation
(Customer Service Platform)
 $1.6m • Nurturing • Owner: Dr. Tech Advisor</v>
      </c>
      <c r="F2" s="42" t="str" cm="1">
        <f t="array" ref="F2:F3">_xlfn._xlws.FILTER(Opportunities[Display],Opportunities[Close Quarter]=tables!F1)</f>
        <v>✓ ACME Corporation
(Project Management Software)
 $1.2m • Closeout • Owner: Amanda Sales</v>
      </c>
      <c r="G2" s="42" t="str" cm="1">
        <f t="array" ref="G2:G4">_xlfn._xlws.FILTER(Opportunities[Display],Opportunities[Close Quarter]=tables!G1)</f>
        <v>✓ ACME Corporation
(Digital Transformation Project)
 $1.0m • Negotiation • Owner: John Manager</v>
      </c>
      <c r="H2" s="42" t="str" cm="1">
        <f t="array" ref="H2:H13">_xlfn._xlws.FILTER(Opportunities[Display],Opportunities[Close Quarter]=tables!H1)</f>
        <v>✓ Global Industries
(Healthcare Data Analytics Platform)
 $1.2m • Project Execution • Owner: Lisa Engineer</v>
      </c>
      <c r="I2" s="42" t="str" cm="1">
        <f t="array" ref="I2:I12">_xlfn._xlws.FILTER(Opportunities[Display],Opportunities[Close Quarter]=tables!I1)</f>
        <v>⚠ Food Service Partners
(Cloud Migration Initiative)
 $1.1m • Lead Qualification • Owner: Jennifer PM</v>
      </c>
      <c r="J2" s="42" t="str" cm="1">
        <f t="array" ref="J2:J7">_xlfn._xlws.FILTER(Opportunities[Display],Opportunities[Close Quarter]=tables!J1)</f>
        <v>⚠ ACME Corporation
(ERP Implementation Project)
 $0.9m • Lead Qualification • Owner: John Manager</v>
      </c>
      <c r="K2" s="42" t="str" cm="1">
        <f t="array" ref="K2:K7">_xlfn._xlws.FILTER(Opportunities[Display],Opportunities[Close Quarter]=tables!K1)</f>
        <v>⚠ Textile Manufacturing
(Customer Portal Development)
 $1.1m • Closeout • Owner: Mike Consultant</v>
      </c>
      <c r="L2" s="42" t="e" cm="1" vm="1">
        <f t="array" ref="L2">_xlfn._xlws.FILTER(Opportunities[Display],Opportunities[Close Quarter]=tables!L1)</f>
        <v>#VALUE!</v>
      </c>
    </row>
    <row r="3" spans="1:12" ht="45" x14ac:dyDescent="0.25">
      <c r="A3" s="43" t="str">
        <v/>
      </c>
      <c r="F3" s="42" t="str">
        <v>✓ Chemical Processing
(Integration Services Project)
 $1.3m • Project Execution • Owner: Amanda Sales</v>
      </c>
      <c r="G3" s="42" t="str">
        <v>✓ ACME Corporation
(Compliance Management Tool)
 $1.7m • Negotiation • Owner: Sarah Director</v>
      </c>
      <c r="H3" s="42" t="str">
        <v>✓ Pharmaceutical Research
(Network Infrastructure Upgrade)
 $1.2m • Proposal • Owner: Robert Analyst</v>
      </c>
      <c r="I3" s="42" t="str">
        <v>⚠ Telecommunications Inc
(Security Assessment &amp; Audit)
 $1.4m • Nurturing • Owner: Lisa Engineer</v>
      </c>
      <c r="J3" s="42" t="str">
        <v>✓ Transport Logistics
(Data Center Consolidation)
 $1.3m • Negotiation • Owner: Amanda Sales</v>
      </c>
      <c r="K3" s="42" t="str">
        <v>✓ Automotive Parts Plus
(E-commerce Platform)
 $1.7m • Project Execution • Owner: Robert Analyst</v>
      </c>
    </row>
    <row r="4" spans="1:12" ht="45" x14ac:dyDescent="0.25">
      <c r="A4" s="43" t="str">
        <v>At Risk</v>
      </c>
      <c r="G4" s="42" t="str">
        <v>✓ Tech Solutions Inc
(Machine Learning Implementation)
 $1.5m • Project Execution • Owner: Sarah Director</v>
      </c>
      <c r="H4" s="42" t="str">
        <v>✓ Real Estate Ventures
(Business Intelligence Solution)
 $0.7m • Closeout • Owner: Robert Analyst</v>
      </c>
      <c r="I4" s="42" t="str">
        <v>✓ Security Solutions
(Manufacturing Automation System)
 $0.6m • Proposal • Owner: Robert Analyst</v>
      </c>
      <c r="J4" s="42" t="str">
        <v>⚠ Agricultural Systems
(Document Management System)
 $1.4m • Lead Qualification • Owner: Lisa Engineer</v>
      </c>
      <c r="K4" s="42" t="str">
        <v>✓ Mining Operations
(Quality Management System)
 $1.8m • Proposal • Owner: David Specialist</v>
      </c>
    </row>
    <row r="5" spans="1:12" ht="60" x14ac:dyDescent="0.25">
      <c r="A5" s="43" t="str">
        <v>⚠ ACME Corporation
(ERP Implementation Project)
 $0.9m • Lead Qualification • Owner: John Manager</v>
      </c>
      <c r="H5" s="42" t="str">
        <v>✓ Consulting Experts
(Cybersecurity Enhancement)
 $1.2m • Nurturing • Owner: Sarah Director</v>
      </c>
      <c r="I5" s="42" t="str">
        <v>✓ Publishing House
(Mobile Application Development)
 $1.5m • Lead Qualification • Owner: Maria Coordinator</v>
      </c>
      <c r="J5" s="42" t="str">
        <v>✓ Transport Logistics
(CRM System Upgrade)
 $1.3m • Lead Qualification • Owner: David Specialist</v>
      </c>
      <c r="K5" s="42" t="str">
        <v>⚠ Education First
(Financial Planning Software)
 $0.8m • Proposal • Owner: Mike Consultant</v>
      </c>
    </row>
    <row r="6" spans="1:12" ht="60" x14ac:dyDescent="0.25">
      <c r="A6" s="43" t="str">
        <v>⚠ Food Service Partners
(Cloud Migration Initiative)
 $1.1m • Lead Qualification • Owner: Jennifer PM</v>
      </c>
      <c r="H6" s="42" t="str">
        <v>⚠ Sports &amp; Recreation
(Training &amp; Development Program)
 $1.3m • Proposal • Owner: Robert Analyst</v>
      </c>
      <c r="I6" s="42" t="str">
        <v>✓ Education First
(Supply Chain Optimization)
 $0.7m • Proposal • Owner: David Specialist</v>
      </c>
      <c r="J6" s="42" t="str">
        <v>⚠ Professional Services Group
(Fleet Management System)
 $1.2m • Closeout • Owner: Mike Consultant</v>
      </c>
      <c r="K6" s="42" t="str">
        <v>✓ Media Communications
(Inventory Management Solution)
 $0.8m • Nurturing • Owner: Amanda Sales</v>
      </c>
    </row>
    <row r="7" spans="1:12" ht="45" x14ac:dyDescent="0.25">
      <c r="A7" s="43" t="str">
        <v>⚠ Telecommunications Inc
(Security Assessment &amp; Audit)
 $1.4m • Nurturing • Owner: Lisa Engineer</v>
      </c>
      <c r="H7" s="42" t="str">
        <v>✓ Food Service Partners
(Point of Sale System)
 $1.2m • Negotiation • Owner: David Specialist</v>
      </c>
      <c r="I7" s="42" t="str">
        <v>✓ Hotel Management Group
(HR Management System)
 $1.2m • Closeout • Owner: Lisa Engineer</v>
      </c>
      <c r="J7" s="42" t="str">
        <v>✓ Media Communications
(Environmental Monitoring Solution)
 $1.9m • Project Execution • Owner: Lisa Engineer</v>
      </c>
      <c r="K7" s="42" t="str">
        <v>⮾ ACME Corporation
(Customer Service Platform)
 $1.6m • Nurturing • Owner: Dr. Tech Advisor</v>
      </c>
    </row>
    <row r="8" spans="1:12" ht="45" x14ac:dyDescent="0.25">
      <c r="A8" s="43" t="str">
        <v>⚠ Textile Manufacturing
(Customer Portal Development)
 $1.1m • Closeout • Owner: Mike Consultant</v>
      </c>
      <c r="H8" s="42" t="str">
        <v>✓ Pharmaceutical Research
(Video Conferencing Solution)
 $2.2m • Negotiation • Owner: Amanda Sales</v>
      </c>
      <c r="I8" s="42" t="str">
        <v>✓ Environmental Services
(Marketing Automation Platform)
 $1.2m • Closeout • Owner: Jennifer PM</v>
      </c>
    </row>
    <row r="9" spans="1:12" ht="60" x14ac:dyDescent="0.25">
      <c r="A9" s="43" t="str">
        <v>⚠ Agricultural Systems
(Document Management System)
 $1.4m • Lead Qualification • Owner: Lisa Engineer</v>
      </c>
      <c r="H9" s="42" t="str">
        <v>✓ Waste Management Co
(Social Media Management Tool)
 $1.1m • Lead Qualification • Owner: Robert Analyst</v>
      </c>
      <c r="I9" s="42" t="str">
        <v>⚠ Construction Dynamics
(Backup &amp; Recovery System)
 $1.0m • Nurturing • Owner: Mike Consultant</v>
      </c>
    </row>
    <row r="10" spans="1:12" ht="45" x14ac:dyDescent="0.25">
      <c r="A10" s="43" t="str">
        <v>⚠ Sports &amp; Recreation
(Training &amp; Development Program)
 $1.3m • Proposal • Owner: Robert Analyst</v>
      </c>
      <c r="H10" s="42" t="str">
        <v>✓ Global Industries
(Performance Analytics Dashboard)
 $1.2m • Negotiation • Owner: Dr. Tech Advisor</v>
      </c>
      <c r="I10" s="42" t="str">
        <v>✓ Tech Solutions Inc
(Website Redesign Project)
 $1.0m • Nurturing • Owner: Amanda Sales</v>
      </c>
    </row>
    <row r="11" spans="1:12" ht="45" x14ac:dyDescent="0.25">
      <c r="A11" s="43" t="str">
        <v>⚠ Education First
(Financial Planning Software)
 $0.8m • Proposal • Owner: Mike Consultant</v>
      </c>
      <c r="H11" s="42" t="str">
        <v>✓ Global Industries
(Workflow Automation Tool)
 $1.4m • Project Execution • Owner: Robert Analyst</v>
      </c>
      <c r="I11" s="42" t="str">
        <v>✓ Insurance Specialists
(Safety Management System)
 $0.9m • Proposal • Owner: Mike Consultant</v>
      </c>
    </row>
    <row r="12" spans="1:12" ht="45" x14ac:dyDescent="0.25">
      <c r="A12" s="43" t="str">
        <v>⚠ Construction Dynamics
(Backup &amp; Recovery System)
 $1.0m • Nurturing • Owner: Mike Consultant</v>
      </c>
      <c r="H12" s="42" t="str">
        <v>✓ Construction Dynamics
(Database Migration Project)
 $0.6m • Lead Qualification • Owner: Sarah Director</v>
      </c>
      <c r="I12" s="42" t="str">
        <v>✓ Tech Solutions Inc
(API Development Project)
 $1.4m • Negotiation • Owner: Lisa Engineer</v>
      </c>
    </row>
    <row r="13" spans="1:12" ht="45" x14ac:dyDescent="0.25">
      <c r="A13" s="43" t="str">
        <v>⚠ Professional Services Group
(Fleet Management System)
 $1.2m • Closeout • Owner: Mike Consultant</v>
      </c>
      <c r="H13" s="42" t="str">
        <v>✓ Professional Services Group
(Legacy System Modernization)
 $1.8m • Nurturing • Owner: Robert Analyst</v>
      </c>
    </row>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2025-08-12T11:56:35Z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