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352945EE-AE54-4733-9E5C-76BB5AE6266B}" xr6:coauthVersionLast="47" xr6:coauthVersionMax="47" xr10:uidLastSave="{00000000-0000-0000-0000-000000000000}"/>
  <bookViews>
    <workbookView xWindow="19090" yWindow="-110" windowWidth="38620" windowHeight="21100" activeTab="1" xr2:uid="{CDF61347-1E32-4F62-9AD6-B33051915A35}"/>
  </bookViews>
  <sheets>
    <sheet name="Pipeline" sheetId="4" r:id="rId1"/>
    <sheet name="Settings" sheetId="6" r:id="rId2"/>
    <sheet name="graphics" sheetId="5" state="hidden" r:id="rId3"/>
    <sheet name="Opportunities" sheetId="3" r:id="rId4"/>
    <sheet name="Customers" sheetId="2" state="hidden" r:id="rId5"/>
    <sheet name="meta" sheetId="1" state="hidden" r:id="rId6"/>
  </sheets>
  <definedNames>
    <definedName name="_xlchart.v2.0" hidden="1">graphics!$A$11:$A$16</definedName>
    <definedName name="_xlchart.v2.1" hidden="1">graphics!$C$11:$C$16</definedName>
    <definedName name="calendarType">Pipeline!$B$2</definedName>
    <definedName name="custList">Settings!$E$2</definedName>
    <definedName name="dateRange">Pipeline!$D$2</definedName>
    <definedName name="ExternalData_1" localSheetId="4" hidden="1">'Customers'!$A$1:$K$31</definedName>
    <definedName name="ExternalData_2" localSheetId="3" hidden="1">Opportunities!$A$1:$L$37</definedName>
    <definedName name="ExternalData_3" localSheetId="0" hidden="1">Pipeline!$M$7:$M$43</definedName>
    <definedName name="fqStart">Settings!$B$1</definedName>
    <definedName name="oppList">Settings!$E$3</definedName>
    <definedName name="pipelineType">Pipeline!$B$3</definedName>
    <definedName name="probabilityThreshold">Settings!$B$2</definedName>
    <definedName name="siteUrl">Settings!$E$1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4" l="1"/>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P8" i="4"/>
  <c r="J8" i="4" s="1"/>
  <c r="P9" i="4"/>
  <c r="J9" i="4" s="1"/>
  <c r="P10" i="4"/>
  <c r="J10" i="4" s="1"/>
  <c r="P11" i="4"/>
  <c r="J11" i="4" s="1"/>
  <c r="P12" i="4"/>
  <c r="J12" i="4" s="1"/>
  <c r="P13" i="4"/>
  <c r="J13" i="4" s="1"/>
  <c r="P14" i="4"/>
  <c r="J14" i="4" s="1"/>
  <c r="P15" i="4"/>
  <c r="J15" i="4" s="1"/>
  <c r="P16" i="4"/>
  <c r="J16" i="4" s="1"/>
  <c r="P17" i="4"/>
  <c r="J17" i="4" s="1"/>
  <c r="P18" i="4"/>
  <c r="J18" i="4" s="1"/>
  <c r="P19" i="4"/>
  <c r="J19" i="4" s="1"/>
  <c r="P20" i="4"/>
  <c r="J20" i="4" s="1"/>
  <c r="P21" i="4"/>
  <c r="J21" i="4" s="1"/>
  <c r="P22" i="4"/>
  <c r="J22" i="4" s="1"/>
  <c r="P23" i="4"/>
  <c r="J23" i="4" s="1"/>
  <c r="P24" i="4"/>
  <c r="J24" i="4" s="1"/>
  <c r="P25" i="4"/>
  <c r="J25" i="4" s="1"/>
  <c r="P26" i="4"/>
  <c r="J26" i="4" s="1"/>
  <c r="P27" i="4"/>
  <c r="J27" i="4" s="1"/>
  <c r="P28" i="4"/>
  <c r="J28" i="4" s="1"/>
  <c r="P29" i="4"/>
  <c r="J29" i="4" s="1"/>
  <c r="P30" i="4"/>
  <c r="J30" i="4" s="1"/>
  <c r="P31" i="4"/>
  <c r="J31" i="4" s="1"/>
  <c r="P32" i="4"/>
  <c r="J32" i="4" s="1"/>
  <c r="P33" i="4"/>
  <c r="J33" i="4" s="1"/>
  <c r="P34" i="4"/>
  <c r="J34" i="4" s="1"/>
  <c r="P35" i="4"/>
  <c r="J35" i="4" s="1"/>
  <c r="P36" i="4"/>
  <c r="J36" i="4" s="1"/>
  <c r="P37" i="4"/>
  <c r="J37" i="4" s="1"/>
  <c r="P38" i="4"/>
  <c r="J38" i="4" s="1"/>
  <c r="P39" i="4"/>
  <c r="J39" i="4" s="1"/>
  <c r="P40" i="4"/>
  <c r="J40" i="4" s="1"/>
  <c r="P41" i="4"/>
  <c r="J41" i="4" s="1"/>
  <c r="P42" i="4"/>
  <c r="J42" i="4" s="1"/>
  <c r="P43" i="4"/>
  <c r="J43"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S2" i="3" a="1"/>
  <c r="S2" i="3" s="1"/>
  <c r="S3" i="3" a="1"/>
  <c r="S3" i="3" s="1"/>
  <c r="S4" i="3" a="1"/>
  <c r="S4" i="3" s="1"/>
  <c r="S5" i="3" a="1"/>
  <c r="S5" i="3" s="1"/>
  <c r="S6" i="3" a="1"/>
  <c r="S6" i="3" s="1"/>
  <c r="S7" i="3" a="1"/>
  <c r="S7" i="3" s="1"/>
  <c r="S8" i="3" a="1"/>
  <c r="S8" i="3" s="1"/>
  <c r="S9" i="3" a="1"/>
  <c r="S9" i="3"/>
  <c r="S10" i="3" a="1"/>
  <c r="S10" i="3" s="1"/>
  <c r="S11" i="3" a="1"/>
  <c r="S11" i="3"/>
  <c r="S12" i="3" a="1"/>
  <c r="S12" i="3" s="1"/>
  <c r="S13" i="3" a="1"/>
  <c r="S13" i="3" s="1"/>
  <c r="S14" i="3" a="1"/>
  <c r="S14" i="3" s="1"/>
  <c r="S15" i="3" a="1"/>
  <c r="S15" i="3" s="1"/>
  <c r="S16" i="3" a="1"/>
  <c r="S16" i="3" s="1"/>
  <c r="S17" i="3" a="1"/>
  <c r="S17" i="3"/>
  <c r="S18" i="3" a="1"/>
  <c r="S18" i="3" s="1"/>
  <c r="S19" i="3" a="1"/>
  <c r="S19" i="3"/>
  <c r="S20" i="3" a="1"/>
  <c r="S20" i="3" s="1"/>
  <c r="S21" i="3" a="1"/>
  <c r="S21" i="3" s="1"/>
  <c r="S22" i="3" a="1"/>
  <c r="S22" i="3" s="1"/>
  <c r="S23" i="3" a="1"/>
  <c r="S23" i="3" s="1"/>
  <c r="S24" i="3" a="1"/>
  <c r="S24" i="3" s="1"/>
  <c r="S25" i="3" a="1"/>
  <c r="S25" i="3"/>
  <c r="S26" i="3" a="1"/>
  <c r="S26" i="3" s="1"/>
  <c r="S27" i="3" a="1"/>
  <c r="S27" i="3"/>
  <c r="S28" i="3" a="1"/>
  <c r="S28" i="3" s="1"/>
  <c r="S29" i="3" a="1"/>
  <c r="S29" i="3" s="1"/>
  <c r="S30" i="3" a="1"/>
  <c r="S30" i="3" s="1"/>
  <c r="S31" i="3" a="1"/>
  <c r="S31" i="3" s="1"/>
  <c r="S32" i="3" a="1"/>
  <c r="S32" i="3" s="1"/>
  <c r="S33" i="3" a="1"/>
  <c r="S33" i="3"/>
  <c r="S34" i="3" a="1"/>
  <c r="S34" i="3" s="1"/>
  <c r="S35" i="3" a="1"/>
  <c r="S35" i="3"/>
  <c r="S36" i="3" a="1"/>
  <c r="S36" i="3" s="1"/>
  <c r="S37" i="3" a="1"/>
  <c r="S37" i="3" s="1"/>
  <c r="AH1" i="5" l="1" a="1"/>
  <c r="I1" i="5" a="1"/>
  <c r="R1" i="5" a="1"/>
  <c r="Q2" i="5" a="1"/>
  <c r="Q2" i="5" s="1"/>
  <c r="AH1" i="5" l="1"/>
  <c r="AK2" i="5"/>
  <c r="AI3" i="5"/>
  <c r="AM3" i="5"/>
  <c r="AK4" i="5"/>
  <c r="AL2" i="5"/>
  <c r="AJ3" i="5"/>
  <c r="AL4" i="5"/>
  <c r="AI2" i="5"/>
  <c r="AM2" i="5"/>
  <c r="AK3" i="5"/>
  <c r="AI4" i="5"/>
  <c r="AM4" i="5"/>
  <c r="AJ2" i="5"/>
  <c r="AL3" i="5"/>
  <c r="AJ4" i="5"/>
  <c r="I1" i="5"/>
  <c r="K2" i="5"/>
  <c r="L4" i="5"/>
  <c r="M3" i="5"/>
  <c r="M2" i="5"/>
  <c r="N4" i="5"/>
  <c r="J4" i="5"/>
  <c r="K3" i="5"/>
  <c r="L2" i="5"/>
  <c r="N3" i="5"/>
  <c r="N2" i="5"/>
  <c r="J2" i="5"/>
  <c r="K4" i="5"/>
  <c r="L3" i="5"/>
  <c r="M4" i="5"/>
  <c r="J3" i="5"/>
  <c r="R1" i="5"/>
  <c r="T7" i="5"/>
  <c r="V6" i="5"/>
  <c r="T5" i="5"/>
  <c r="V4" i="5"/>
  <c r="T3" i="5"/>
  <c r="V2" i="5"/>
  <c r="V7" i="5"/>
  <c r="T6" i="5"/>
  <c r="V5" i="5"/>
  <c r="T4" i="5"/>
  <c r="V3" i="5"/>
  <c r="T2" i="5"/>
  <c r="U7" i="5"/>
  <c r="W6" i="5"/>
  <c r="S6" i="5"/>
  <c r="U5" i="5"/>
  <c r="S4" i="5"/>
  <c r="U3" i="5"/>
  <c r="W2" i="5"/>
  <c r="W7" i="5"/>
  <c r="S7" i="5"/>
  <c r="U6" i="5"/>
  <c r="W5" i="5"/>
  <c r="S5" i="5"/>
  <c r="U4" i="5"/>
  <c r="W3" i="5"/>
  <c r="S3" i="5"/>
  <c r="U2" i="5"/>
  <c r="W4" i="5"/>
  <c r="S2" i="5"/>
  <c r="AH3" i="5" l="1"/>
  <c r="AH2" i="5"/>
  <c r="AH4" i="5"/>
  <c r="R6" i="5"/>
  <c r="R4" i="5"/>
  <c r="R2" i="5"/>
  <c r="R7" i="5"/>
  <c r="R5" i="5"/>
  <c r="R3" i="5"/>
  <c r="I2" i="5"/>
  <c r="I4" i="5"/>
  <c r="I3" i="5"/>
  <c r="C2" i="5" l="1"/>
  <c r="B11" i="5" a="1"/>
  <c r="D1" i="1" a="1"/>
  <c r="D1" i="1" s="1"/>
  <c r="E2" i="5"/>
  <c r="B2" i="5"/>
  <c r="D2" i="4"/>
  <c r="D2" i="5" l="1"/>
  <c r="B11" i="5"/>
  <c r="A11" i="5" s="1"/>
  <c r="A12" i="5"/>
  <c r="A16" i="5"/>
  <c r="A13" i="5"/>
  <c r="A15" i="5"/>
  <c r="A14" i="5"/>
  <c r="D16" i="5"/>
  <c r="D13" i="5"/>
  <c r="D12" i="5"/>
  <c r="D15" i="5"/>
  <c r="D14" i="5"/>
  <c r="C13" i="5"/>
  <c r="C16" i="5"/>
  <c r="C12" i="5"/>
  <c r="C15" i="5"/>
  <c r="C14" i="5"/>
  <c r="C11" i="5"/>
  <c r="D11"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interval="15" name="Query - Customers" description="Connection to the 'Customers' query in the workbook." type="5" refreshedVersion="8" background="1" refreshOnLoad="1" saveData="1">
    <dbPr connection="Provider=Microsoft.Mashup.OleDb.1;Data Source=$Workbook$;Location=Customers;Extended Properties=&quot;&quot;" command="SELECT * FROM [Customers]"/>
  </connection>
  <connection id="2" xr16:uid="{A2085320-C93A-4289-861E-CEEDB7D51806}" keepAlive="1" interval="15" name="Query - Opportunities" description="Connection to the 'Opportunities' query in the workbook." type="5" refreshedVersion="8" background="1" refreshOnLoad="1" saveData="1">
    <dbPr connection="Provider=Microsoft.Mashup.OleDb.1;Data Source=$Workbook$;Location=Opportunities;Extended Properties=&quot;&quot;" command="SELECT * FROM [Opportunities]"/>
  </connection>
  <connection id="3" xr16:uid="{E7F92C6C-DBFD-4CAA-B3C3-C5D288DEC57F}" keepAlive="1" interval="15" name="Query - View" description="Connection to the 'View' query in the workbook." type="5" refreshedVersion="8" background="1" refreshOnLoa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<sst xmlns="http://schemas.openxmlformats.org/spreadsheetml/2006/main" count="502" uniqueCount="326">
  <si>
    <t>Id</t>
  </si>
  <si>
    <t>Title</t>
  </si>
  <si>
    <t>Created</t>
  </si>
  <si>
    <t>Modified</t>
  </si>
  <si>
    <t>PrimaryContact</t>
  </si>
  <si>
    <t>PrimaryContactTitle</t>
  </si>
  <si>
    <t>AlternateContact</t>
  </si>
  <si>
    <t>AlternateContactTitle</t>
  </si>
  <si>
    <t>AlternateContact2</t>
  </si>
  <si>
    <t>AlternateContact2Title</t>
  </si>
  <si>
    <t>CryoCell Solutions</t>
  </si>
  <si>
    <t>https://www.cryocellsolutions.com</t>
  </si>
  <si>
    <t>Dr. Sarah Chen</t>
  </si>
  <si>
    <t>Chief Scientific Officer</t>
  </si>
  <si>
    <t>Marcus Rodriguez</t>
  </si>
  <si>
    <t>VP of Operations</t>
  </si>
  <si>
    <t>SolarMax Innovations</t>
  </si>
  <si>
    <t>https://www.solarmaxinnovations.com</t>
  </si>
  <si>
    <t>David Thompson</t>
  </si>
  <si>
    <t>CEO</t>
  </si>
  <si>
    <t>Elena Vasquez</t>
  </si>
  <si>
    <t>VP of Engineering</t>
  </si>
  <si>
    <t>Michael Park</t>
  </si>
  <si>
    <t>Business Development Manager</t>
  </si>
  <si>
    <t>MicroAssembly Systems</t>
  </si>
  <si>
    <t>https://www.microassemblysys.com</t>
  </si>
  <si>
    <t>Dr. Raj Patel</t>
  </si>
  <si>
    <t>CTO</t>
  </si>
  <si>
    <t>Amanda Foster</t>
  </si>
  <si>
    <t>Director of Manufacturing</t>
  </si>
  <si>
    <t>Kevin Wu</t>
  </si>
  <si>
    <t>Quality Assurance Manager</t>
  </si>
  <si>
    <t>LanguageTech Corp</t>
  </si>
  <si>
    <t>https://www.languagetech.com</t>
  </si>
  <si>
    <t>Lisa Anderson</t>
  </si>
  <si>
    <t>Chief Product Officer</t>
  </si>
  <si>
    <t>Carlos Mendez</t>
  </si>
  <si>
    <t>VP of Research</t>
  </si>
  <si>
    <t>Sophie Turner</t>
  </si>
  <si>
    <t>Marketing Director</t>
  </si>
  <si>
    <t>CyberSecure Systems</t>
  </si>
  <si>
    <t>https://www.cybersecuresys.com</t>
  </si>
  <si>
    <t>Robert Johnson</t>
  </si>
  <si>
    <t>Chief Security Officer</t>
  </si>
  <si>
    <t>Maria Gonzalez</t>
  </si>
  <si>
    <t>VP of Client Services</t>
  </si>
  <si>
    <t>Alex Chen</t>
  </si>
  <si>
    <t>Technical Lead</t>
  </si>
  <si>
    <t>Precision3D Technologies</t>
  </si>
  <si>
    <t>https://www.precision3d.com</t>
  </si>
  <si>
    <t>Dr. Michelle Wong</t>
  </si>
  <si>
    <t>Founder &amp; CEO</t>
  </si>
  <si>
    <t>James Harrison</t>
  </si>
  <si>
    <t>VP of Sales</t>
  </si>
  <si>
    <t>Rachel Kim</t>
  </si>
  <si>
    <t>Operations Manager</t>
  </si>
  <si>
    <t>PredictiveHealth AI</t>
  </si>
  <si>
    <t>https://www.predictivehealthai.com</t>
  </si>
  <si>
    <t>Dr. Benjamin Carter</t>
  </si>
  <si>
    <t>Chief Medical Officer</t>
  </si>
  <si>
    <t>QuantumSensors Inc</t>
  </si>
  <si>
    <t>https://www.quantumsensors.com</t>
  </si>
  <si>
    <t>Dr. Alan Mitchell</t>
  </si>
  <si>
    <t>Chief Technology Officer</t>
  </si>
  <si>
    <t>Susan Davis</t>
  </si>
  <si>
    <t>VP of Business Development</t>
  </si>
  <si>
    <t>NanoMaterials Unlimited</t>
  </si>
  <si>
    <t>https://www.nanomaterialsunltd.com</t>
  </si>
  <si>
    <t>Dr. Nina Kowalski</t>
  </si>
  <si>
    <t>Chief Research Officer</t>
  </si>
  <si>
    <t>Frank Miller</t>
  </si>
  <si>
    <t>VP of Manufacturing</t>
  </si>
  <si>
    <t>CarbonCapture Solutions</t>
  </si>
  <si>
    <t>https://www.carboncapturesol.com</t>
  </si>
  <si>
    <t>Eric Peterson</t>
  </si>
  <si>
    <t>Isabella Rossi</t>
  </si>
  <si>
    <t>VP of Environmental Affairs</t>
  </si>
  <si>
    <t>Jake Thompson</t>
  </si>
  <si>
    <t>Project Manager</t>
  </si>
  <si>
    <t>LaserTech Precision</t>
  </si>
  <si>
    <t>https://www.lasertechprecision.com</t>
  </si>
  <si>
    <t>Dr. Mark Stevens</t>
  </si>
  <si>
    <t>Catherine Lee</t>
  </si>
  <si>
    <t>Brian Kim</t>
  </si>
  <si>
    <t>Production Manager</t>
  </si>
  <si>
    <t>SpaceTech Dynamics</t>
  </si>
  <si>
    <t>https://www.spacetechdynamics.com</t>
  </si>
  <si>
    <t>Jennifer Walsh</t>
  </si>
  <si>
    <t>Chief Executive Officer</t>
  </si>
  <si>
    <t>Antonio Garcia</t>
  </si>
  <si>
    <t>NeuralPath Therapeutics</t>
  </si>
  <si>
    <t>https://www.neuralpaththera.com</t>
  </si>
  <si>
    <t>Dr. Rebecca Foster</t>
  </si>
  <si>
    <t>Steven Liu</t>
  </si>
  <si>
    <t>VP of Clinical Affairs</t>
  </si>
  <si>
    <t>Monica Davis</t>
  </si>
  <si>
    <t>Regulatory Director</t>
  </si>
  <si>
    <t>RegeneraTech Industries</t>
  </si>
  <si>
    <t>https://www.regeneratech.com</t>
  </si>
  <si>
    <t>Dr. Christopher Young</t>
  </si>
  <si>
    <t>Founder &amp; CTO</t>
  </si>
  <si>
    <t>Patricia Brown</t>
  </si>
  <si>
    <t>Henry Wang</t>
  </si>
  <si>
    <t>R&amp;D Manager</t>
  </si>
  <si>
    <t>WindFlow Dynamics</t>
  </si>
  <si>
    <t>https://www.windflowdynamics.com</t>
  </si>
  <si>
    <t>Matthew Clark</t>
  </si>
  <si>
    <t>Samantha Miller</t>
  </si>
  <si>
    <t>FlexMaterials Inc</t>
  </si>
  <si>
    <t>https://www.flexmaterials.com</t>
  </si>
  <si>
    <t>Dr. Victoria Hughes</t>
  </si>
  <si>
    <t>Chief Materials Officer</t>
  </si>
  <si>
    <t>Ryan Anderson</t>
  </si>
  <si>
    <t>NeuroInterface Technologies</t>
  </si>
  <si>
    <t>https://www.neurointerface.com</t>
  </si>
  <si>
    <t>Dr. Andrew Martinez</t>
  </si>
  <si>
    <t>Faculty Consulting</t>
  </si>
  <si>
    <t>https://www.facultyconsulting.com</t>
  </si>
  <si>
    <t>Dr. Elizabeth Turner</t>
  </si>
  <si>
    <t>Managing Director</t>
  </si>
  <si>
    <t>Jonathan White</t>
  </si>
  <si>
    <t>Senior Partner</t>
  </si>
  <si>
    <t>RoboVision Technologies</t>
  </si>
  <si>
    <t>https://www.robovisiontech.com</t>
  </si>
  <si>
    <t>Peter Chang</t>
  </si>
  <si>
    <t>Sarah Williams</t>
  </si>
  <si>
    <t>SmartFactory Solutions</t>
  </si>
  <si>
    <t>https://www.smartfactorysol.com</t>
  </si>
  <si>
    <t>Linda Rodriguez</t>
  </si>
  <si>
    <t>Chief Operations Officer</t>
  </si>
  <si>
    <t>Adam Johnson</t>
  </si>
  <si>
    <t>VP of Technology</t>
  </si>
  <si>
    <t>FinanceML Solutions</t>
  </si>
  <si>
    <t>https://www.financemlsol.com</t>
  </si>
  <si>
    <t>Dr. Richard Davis</t>
  </si>
  <si>
    <t>Chief Data Officer</t>
  </si>
  <si>
    <t>FusionTech Energy</t>
  </si>
  <si>
    <t>https://www.fusiontechenergy.com</t>
  </si>
  <si>
    <t>Dr. Michael Robinson</t>
  </si>
  <si>
    <t>EcoMaterials Corp</t>
  </si>
  <si>
    <t>https://www.bioelectronicssys.com</t>
  </si>
  <si>
    <t>Sandra Lewis</t>
  </si>
  <si>
    <t>Philip Wong</t>
  </si>
  <si>
    <t>VP of Sustainability</t>
  </si>
  <si>
    <t>NeuralNet Dynamics</t>
  </si>
  <si>
    <t>https://www.ecomaterialscorp.com</t>
  </si>
  <si>
    <t>Dr. Joseph Wilson</t>
  </si>
  <si>
    <t>Chief AI Officer</t>
  </si>
  <si>
    <t>Lisa Garcia</t>
  </si>
  <si>
    <t>BioElectronics Systems</t>
  </si>
  <si>
    <t>https://www.neuralnetdynamics.com</t>
  </si>
  <si>
    <t>Dr. Mary Anderson</t>
  </si>
  <si>
    <t>David Lee</t>
  </si>
  <si>
    <t>Rachel Martinez</t>
  </si>
  <si>
    <t>Regulatory Affairs</t>
  </si>
  <si>
    <t>BioSynth Dynamics</t>
  </si>
  <si>
    <t>https://www.biosynthdynamics.com</t>
  </si>
  <si>
    <t>Dr. Thomas Taylor</t>
  </si>
  <si>
    <t>Amanda Rodriguez</t>
  </si>
  <si>
    <t>Quantum Dynamics Labs</t>
  </si>
  <si>
    <t>https://www.quantumdynamicslabs.com</t>
  </si>
  <si>
    <t>Dr. Susan Miller</t>
  </si>
  <si>
    <t>Chief Quantum Officer</t>
  </si>
  <si>
    <t>Charles Johnson</t>
  </si>
  <si>
    <t>HydrogenFuel Systems</t>
  </si>
  <si>
    <t>https://www.hydrogenfuelsys.com</t>
  </si>
  <si>
    <t>William Brown</t>
  </si>
  <si>
    <t>Maria Lopez</t>
  </si>
  <si>
    <t>DataFlow Analytics</t>
  </si>
  <si>
    <t>https://www.dataflowanalytics.com</t>
  </si>
  <si>
    <t>Dr. Jennifer Davis</t>
  </si>
  <si>
    <t>Chief Analytics Officer</t>
  </si>
  <si>
    <t>Robert Zhang</t>
  </si>
  <si>
    <t>AugmentedReality Labs</t>
  </si>
  <si>
    <t>https://www.arlabs.com</t>
  </si>
  <si>
    <t>Dr. Kevin Martinez</t>
  </si>
  <si>
    <t>Chief Innovation Officer</t>
  </si>
  <si>
    <t>Rachel Thompson</t>
  </si>
  <si>
    <t>VP of Product</t>
  </si>
  <si>
    <t>Michael Garcia</t>
  </si>
  <si>
    <t>Technical Director</t>
  </si>
  <si>
    <t>Status</t>
  </si>
  <si>
    <t>Stage</t>
  </si>
  <si>
    <t>Amount</t>
  </si>
  <si>
    <t>Probability</t>
  </si>
  <si>
    <t>Close Date</t>
  </si>
  <si>
    <t>Biomaterial Research</t>
  </si>
  <si>
    <t>At Risk</t>
  </si>
  <si>
    <t>Negotiation</t>
  </si>
  <si>
    <t>Novel Cryoprotectants</t>
  </si>
  <si>
    <t>Active</t>
  </si>
  <si>
    <t>Lead Qualification</t>
  </si>
  <si>
    <t>Population Genomics</t>
  </si>
  <si>
    <t>Perovskite Solar Cell Research</t>
  </si>
  <si>
    <t>Micro-Scale Process Engineering</t>
  </si>
  <si>
    <t>Project Execution</t>
  </si>
  <si>
    <t>Computational Linguistics</t>
  </si>
  <si>
    <t>Proposal</t>
  </si>
  <si>
    <t>ML Threat Detection</t>
  </si>
  <si>
    <t>3D Print Optimization</t>
  </si>
  <si>
    <t>Nurturing</t>
  </si>
  <si>
    <t>Medical Informatics</t>
  </si>
  <si>
    <t>Physics</t>
  </si>
  <si>
    <t>Closeout</t>
  </si>
  <si>
    <t>Nanomaterial Characterization</t>
  </si>
  <si>
    <t>CO2 Conversion Process</t>
  </si>
  <si>
    <t>Environmental Simulation</t>
  </si>
  <si>
    <t>Optical Biosensing</t>
  </si>
  <si>
    <t>Space Materials</t>
  </si>
  <si>
    <t>AI Protein Folding</t>
  </si>
  <si>
    <t>Fluid Dynamics</t>
  </si>
  <si>
    <t>Smart Materials</t>
  </si>
  <si>
    <t>Biomedical Engineering</t>
  </si>
  <si>
    <t>Computer Vision</t>
  </si>
  <si>
    <t>2D Material Synthesis</t>
  </si>
  <si>
    <t>Industrial Engineering</t>
  </si>
  <si>
    <t>Mathematical Modeling</t>
  </si>
  <si>
    <t>Plasma Physics</t>
  </si>
  <si>
    <t>Laser-Material Interface</t>
  </si>
  <si>
    <t>Polymer Chemistry</t>
  </si>
  <si>
    <t>Deep Learning Project</t>
  </si>
  <si>
    <t>Bioengineering</t>
  </si>
  <si>
    <t>Implantable Electronics</t>
  </si>
  <si>
    <t>Engineered Microorganisms</t>
  </si>
  <si>
    <t>Quantum Mechanics</t>
  </si>
  <si>
    <t>Critical</t>
  </si>
  <si>
    <t>Electrochemistry</t>
  </si>
  <si>
    <t>Distributed Computing</t>
  </si>
  <si>
    <t>Machine Learning Algorithms</t>
  </si>
  <si>
    <t>Human Factors</t>
  </si>
  <si>
    <t>Perception Algorithms</t>
  </si>
  <si>
    <t>Total Pipeline</t>
  </si>
  <si>
    <t>Avg Probability</t>
  </si>
  <si>
    <t>High Probability</t>
  </si>
  <si>
    <t>url</t>
  </si>
  <si>
    <t>Close Quarter</t>
  </si>
  <si>
    <t>FQ</t>
  </si>
  <si>
    <t>CQ</t>
  </si>
  <si>
    <t>Index</t>
  </si>
  <si>
    <t>CustomerId</t>
  </si>
  <si>
    <t>Close</t>
  </si>
  <si>
    <t>Customer</t>
  </si>
  <si>
    <t>StageNumber</t>
  </si>
  <si>
    <t>DisplayStage</t>
  </si>
  <si>
    <t>Calendar</t>
  </si>
  <si>
    <t>NextMilestone</t>
  </si>
  <si>
    <t>NextMilestoneDate</t>
  </si>
  <si>
    <t>Next Milestone</t>
  </si>
  <si>
    <t>4 - Negotiation</t>
  </si>
  <si>
    <t>1 - Lead Qualification</t>
  </si>
  <si>
    <t>5 - Project Execution</t>
  </si>
  <si>
    <t>3 - Proposal</t>
  </si>
  <si>
    <t>2 - Nurturing</t>
  </si>
  <si>
    <t>6 - Closeout</t>
  </si>
  <si>
    <t>Weighted</t>
  </si>
  <si>
    <t>Pipeline Type</t>
  </si>
  <si>
    <t>Unweighted</t>
  </si>
  <si>
    <t>Sales Pipeline Dashboard</t>
  </si>
  <si>
    <t>Active Opportunities</t>
  </si>
  <si>
    <t>Probability Threshold</t>
  </si>
  <si>
    <t>New Opportunity</t>
  </si>
  <si>
    <t>New Customer</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</si>
  <si>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</si>
  <si>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</si>
  <si>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</si>
  <si>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</si>
  <si>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</si>
  <si>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</si>
  <si>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</si>
  <si>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</si>
  <si>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</si>
  <si>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</si>
  <si>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"displayname": "Contact Information",</t>
  </si>
  <si>
    <t xml:space="preserve">            "fields": [</t>
  </si>
  <si>
    <t xml:space="preserve">                "Name",</t>
  </si>
  <si>
    <t xml:space="preserve">                "Customer",</t>
  </si>
  <si>
    <t xml:space="preserve">                "Opportunity Owner"</t>
  </si>
  <si>
    <t xml:space="preserve">            ]</t>
  </si>
  <si>
    <t xml:space="preserve">        },</t>
  </si>
  <si>
    <t xml:space="preserve">            "displayname": "Status",</t>
  </si>
  <si>
    <t xml:space="preserve">                "Status",</t>
  </si>
  <si>
    <t xml:space="preserve">                "Stage",</t>
  </si>
  <si>
    <t xml:space="preserve">                "Next Milestone",</t>
  </si>
  <si>
    <t xml:space="preserve">                "Next Milestone Date"</t>
  </si>
  <si>
    <t xml:space="preserve">            "displayname": "Financial Details",</t>
  </si>
  <si>
    <t xml:space="preserve">                "Amount",</t>
  </si>
  <si>
    <t xml:space="preserve">                "Probability",</t>
  </si>
  <si>
    <t xml:space="preserve">                "Close",</t>
  </si>
  <si>
    <t xml:space="preserve">                "Owner"</t>
  </si>
  <si>
    <t xml:space="preserve">            "displayname": "",</t>
  </si>
  <si>
    <t xml:space="preserve">                "Comment Log"</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</si>
  <si>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</si>
  <si>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</si>
  <si>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</si>
  <si>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</si>
  <si>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</si>
  <si>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</si>
  <si>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</si>
  <si>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</si>
  <si>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</si>
  <si>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</si>
  <si>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</si>
  <si>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</si>
  <si>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</si>
  <si>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</si>
  <si>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</si>
  <si>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</si>
  <si>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</si>
  <si>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</si>
  <si>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[Record]</t>
  </si>
  <si>
    <t>status symbol</t>
  </si>
  <si>
    <t>S</t>
  </si>
  <si>
    <t>Last Comment</t>
  </si>
  <si>
    <t>This worksheet is read only, backed by two sharepoint lists</t>
  </si>
  <si>
    <t>GitHub Issues</t>
  </si>
  <si>
    <t>⮾</t>
  </si>
  <si>
    <t>⚠</t>
  </si>
  <si>
    <t>✓</t>
  </si>
  <si>
    <t>Opportunity Value</t>
  </si>
  <si>
    <t>Win Probability</t>
  </si>
  <si>
    <t>Estmated Revenue</t>
  </si>
  <si>
    <t>Expected Revenue</t>
  </si>
  <si>
    <t xml:space="preserve"> 🔗Opportunity</t>
  </si>
  <si>
    <t>Opportunity</t>
  </si>
  <si>
    <t>manualCustomers</t>
  </si>
  <si>
    <t>manualOpportunities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</si>
</sst>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2"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s>
  <fills count="4">
    <fill>
      <patternFill patternType="none"/>
    </fill>
    <fill>
      <patternFill patternType="gray125"/>
    </fill>
    <fill>
      <patternFill patternType="solid">
        <fgColor theme="2"/>
        <bgColor indexed="64"/>
      </patternFill>
    </fill>
    <fill>
      <patternFill patternType="solid">
        <fgColor rgb="FF660000"/>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1">
    <xf numFmtId="0" fontId="0" fillId="0" borderId="0" xfId="0"/>
    <xf numFmtId="0" fontId="0" fillId="0" borderId="0" xfId="0" applyAlignment="1">
      <alignment horizontal="left"/>
    </xf>
    <xf numFmtId="164" fontId="0" fillId="0" borderId="0" xfId="1" applyNumberFormat="1" applyFont="1"/>
    <xf numFmtId="165" fontId="0" fillId="0" borderId="0" xfId="0" applyNumberFormat="1"/>
    <xf numFmtId="165" fontId="0" fillId="0" borderId="0" xfId="3" applyNumberFormat="1" applyFont="1"/>
    <xf numFmtId="166" fontId="0" fillId="0" borderId="0" xfId="0" applyNumberFormat="1"/>
    <xf numFmtId="166" fontId="0" fillId="0" borderId="0" xfId="3" applyNumberFormat="1" applyFont="1"/>
    <xf numFmtId="0" fontId="0" fillId="0" borderId="0" xfId="0" applyAlignment="1">
      <alignment horizontal="left" indent="1"/>
    </xf>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9" fontId="0" fillId="0" borderId="0" xfId="3" applyFont="1" applyAlignment="1">
      <alignment horizontal="left" indent="1"/>
    </xf>
    <xf numFmtId="0" fontId="5" fillId="0" borderId="0" xfId="4"/>
    <xf numFmtId="167" fontId="0" fillId="0" borderId="0" xfId="2" applyNumberFormat="1" applyFont="1"/>
    <xf numFmtId="165" fontId="0" fillId="2" borderId="0" xfId="0" applyNumberFormat="1" applyFill="1" applyAlignment="1">
      <alignment horizontal="left" indent="2"/>
    </xf>
    <xf numFmtId="0" fontId="5" fillId="2" borderId="0" xfId="4" applyFill="1" applyAlignment="1">
      <alignment horizontal="left" indent="1"/>
    </xf>
    <xf numFmtId="9" fontId="0" fillId="2" borderId="0" xfId="3" applyFont="1" applyFill="1" applyAlignment="1">
      <alignment horizontal="left" indent="2"/>
    </xf>
    <xf numFmtId="0" fontId="9" fillId="0" borderId="0" xfId="0" applyFont="1"/>
    <xf numFmtId="0" fontId="10" fillId="0" borderId="0" xfId="0" applyFont="1"/>
    <xf numFmtId="0" fontId="0" fillId="0" borderId="0" xfId="0" applyAlignment="1">
      <alignment horizontal="right" indent="1"/>
    </xf>
    <xf numFmtId="165" fontId="11" fillId="0" borderId="0" xfId="3" applyNumberFormat="1" applyFont="1" applyAlignment="1">
      <alignment horizontal="left" indent="1"/>
    </xf>
    <xf numFmtId="165" fontId="11" fillId="0" borderId="0" xfId="0"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0" fontId="5" fillId="0" borderId="0" xfId="4" applyAlignment="1">
      <alignment horizontal="left" indent="1"/>
    </xf>
    <xf numFmtId="0" fontId="0" fillId="2" borderId="0" xfId="0" applyFill="1"/>
  </cellXfs>
  <cellStyles count="5">
    <cellStyle name="Comma" xfId="1" builtinId="3"/>
    <cellStyle name="Currency" xfId="2" builtinId="4"/>
    <cellStyle name="Hyperlink" xfId="4" builtinId="8"/>
    <cellStyle name="Normal" xfId="0" builtinId="0"/>
    <cellStyle name="Percent" xfId="3" builtinId="5"/>
  </cellStyles>
  <dxfs count="32">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alignment horizontal="left" vertical="bottom" textRotation="0" wrapText="0" indent="1" justifyLastLine="0" shrinkToFit="0" readingOrder="0"/>
    </dxf>
    <dxf>
      <font>
        <b/>
      </font>
      <numFmt numFmtId="0" formatCode="General"/>
      <alignment horizontal="left" vertical="bottom" textRotation="0" wrapText="0" indent="1" justifyLastLine="0" shrinkToFit="0" readingOrder="0"/>
    </dxf>
    <dxf>
      <font>
        <i/>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3.5885249999999997</c:v>
                </c:pt>
                <c:pt idx="1">
                  <c:v>6.1676229999999999</c:v>
                </c:pt>
                <c:pt idx="2">
                  <c:v>6.7755199999999993</c:v>
                </c:pt>
                <c:pt idx="3">
                  <c:v>6.8264359999999993</c:v>
                </c:pt>
                <c:pt idx="4">
                  <c:v>7.5690479999999996</c:v>
                </c:pt>
                <c:pt idx="5">
                  <c:v>5.0786069999999999</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1.6491303794000001</c:v>
                </c:pt>
                <c:pt idx="1">
                  <c:v>4.0452612600000002</c:v>
                </c:pt>
                <c:pt idx="2">
                  <c:v>3.1521887799999999</c:v>
                </c:pt>
                <c:pt idx="3">
                  <c:v>3.4193480199999997</c:v>
                </c:pt>
                <c:pt idx="4">
                  <c:v>3.9844452100000005</c:v>
                </c:pt>
                <c:pt idx="5">
                  <c:v>3.4335151000000002</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7</c:v>
                </c:pt>
                <c:pt idx="2">
                  <c:v>5</c:v>
                </c:pt>
                <c:pt idx="3">
                  <c:v>8</c:v>
                </c:pt>
                <c:pt idx="4">
                  <c:v>7</c:v>
                </c:pt>
                <c:pt idx="5">
                  <c:v>5</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c:v>
                </c:pt>
                <c:pt idx="2">
                  <c:v>0</c:v>
                </c:pt>
                <c:pt idx="3">
                  <c:v>0</c:v>
                </c:pt>
                <c:pt idx="4">
                  <c:v>1.392377</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2.0492489999999997</c:v>
                </c:pt>
                <c:pt idx="1">
                  <c:v>3.5772529999999998</c:v>
                </c:pt>
                <c:pt idx="2">
                  <c:v>3.7233490000000002</c:v>
                </c:pt>
                <c:pt idx="3">
                  <c:v>0</c:v>
                </c:pt>
                <c:pt idx="4">
                  <c:v>0.920713</c:v>
                </c:pt>
                <c:pt idx="5">
                  <c:v>0.96705300000000005</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3.0293580000000002</c:v>
                </c:pt>
                <c:pt idx="1">
                  <c:v>2.885332</c:v>
                </c:pt>
                <c:pt idx="2">
                  <c:v>3.1030869999999999</c:v>
                </c:pt>
                <c:pt idx="3">
                  <c:v>6.7755199999999993</c:v>
                </c:pt>
                <c:pt idx="4">
                  <c:v>3.8545329999999995</c:v>
                </c:pt>
                <c:pt idx="5">
                  <c:v>2.6214719999999998</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3.5885249999999997</c:v>
                </c:pt>
                <c:pt idx="1">
                  <c:v>6.1676229999999999</c:v>
                </c:pt>
                <c:pt idx="2">
                  <c:v>6.7755199999999993</c:v>
                </c:pt>
                <c:pt idx="3">
                  <c:v>6.8264359999999993</c:v>
                </c:pt>
                <c:pt idx="4">
                  <c:v>7.5690479999999996</c:v>
                </c:pt>
                <c:pt idx="5">
                  <c:v>5.0786069999999999</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1.6491303794000001</c:v>
                </c:pt>
                <c:pt idx="1">
                  <c:v>4.0452612600000002</c:v>
                </c:pt>
                <c:pt idx="2">
                  <c:v>3.1521887799999999</c:v>
                </c:pt>
                <c:pt idx="3">
                  <c:v>3.4193480199999997</c:v>
                </c:pt>
                <c:pt idx="4">
                  <c:v>3.9844452100000005</c:v>
                </c:pt>
                <c:pt idx="5">
                  <c:v>3.4335151000000002</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7</c:v>
                </c:pt>
                <c:pt idx="2">
                  <c:v>5</c:v>
                </c:pt>
                <c:pt idx="3">
                  <c:v>8</c:v>
                </c:pt>
                <c:pt idx="4">
                  <c:v>7</c:v>
                </c:pt>
                <c:pt idx="5">
                  <c:v>5</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0</c:v>
                </c:pt>
                <c:pt idx="1">
                  <c:v>1.106463</c:v>
                </c:pt>
                <c:pt idx="2">
                  <c:v>0</c:v>
                </c:pt>
                <c:pt idx="3">
                  <c:v>0</c:v>
                </c:pt>
                <c:pt idx="4">
                  <c:v>1.392377</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2.0492489999999997</c:v>
                </c:pt>
                <c:pt idx="1">
                  <c:v>3.5772529999999998</c:v>
                </c:pt>
                <c:pt idx="2">
                  <c:v>3.7233490000000002</c:v>
                </c:pt>
                <c:pt idx="3">
                  <c:v>0</c:v>
                </c:pt>
                <c:pt idx="4">
                  <c:v>0.920713</c:v>
                </c:pt>
                <c:pt idx="5">
                  <c:v>0.96705300000000005</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3.0293580000000002</c:v>
                </c:pt>
                <c:pt idx="1">
                  <c:v>2.885332</c:v>
                </c:pt>
                <c:pt idx="2">
                  <c:v>3.1030869999999999</c:v>
                </c:pt>
                <c:pt idx="3">
                  <c:v>6.7755199999999993</c:v>
                </c:pt>
                <c:pt idx="4">
                  <c:v>3.8545329999999995</c:v>
                </c:pt>
                <c:pt idx="5">
                  <c:v>2.6214719999999998</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663575</xdr:colOff>
      <xdr:row>6</xdr:row>
      <xdr:rowOff>22225</xdr:rowOff>
    </xdr:from>
    <xdr:to>
      <xdr:col>2</xdr:col>
      <xdr:colOff>1501775</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1</xdr:col>
      <xdr:colOff>530225</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174624</xdr:colOff>
          <xdr:row>2</xdr:row>
          <xdr:rowOff>46046</xdr:rowOff>
        </xdr:from>
        <xdr:to>
          <xdr:col>11</xdr:col>
          <xdr:colOff>287601</xdr:colOff>
          <xdr:row>5</xdr:row>
          <xdr:rowOff>53974</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24"/>
                </a:ext>
              </a:extLst>
            </xdr:cNvPicPr>
          </xdr:nvPicPr>
          <xdr:blipFill>
            <a:blip xmlns:r="http://schemas.openxmlformats.org/officeDocument/2006/relationships" r:embed="rId1"/>
            <a:srcRect/>
            <a:stretch>
              <a:fillRect/>
            </a:stretch>
          </xdr:blipFill>
          <xdr:spPr bwMode="auto">
            <a:xfrm>
              <a:off x="4410074" y="503246"/>
              <a:ext cx="10292579" cy="5730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1482725</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6500"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1501775</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1504950</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33</xdr:col>
      <xdr:colOff>0</xdr:colOff>
      <xdr:row>7</xdr:row>
      <xdr:rowOff>0</xdr:rowOff>
    </xdr:from>
    <xdr:to>
      <xdr:col>38</xdr:col>
      <xdr:colOff>606425</xdr:colOff>
      <xdr:row>16</xdr:row>
      <xdr:rowOff>114300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refreshOnLoad="1" connectionId="3" xr16:uid="{5A90C3D6-52B0-4DF4-BC35-405A66772E6B}" autoFormatId="16" applyNumberFormats="0" applyBorderFormats="0" applyFontFormats="0" applyPatternFormats="0" applyAlignmentFormats="0" applyWidthHeightFormats="0">
  <queryTableRefresh nextId="33"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2" xr16:uid="{729422E9-14FA-487D-B5E9-61874EEF7803}" autoFormatId="16" applyNumberFormats="0" applyBorderFormats="0" applyFontFormats="0" applyPatternFormats="0" applyAlignmentFormats="0" applyWidthHeightFormats="0">
  <queryTableRefresh nextId="77" unboundColumnsRight="7">
    <queryTableFields count="19">
      <queryTableField id="2" name="Id" tableColumnId="2"/>
      <queryTableField id="8" name="Title" tableColumnId="8"/>
      <queryTableField id="19" name="Status" tableColumnId="19"/>
      <queryTableField id="21" name="Stage" tableColumnId="21"/>
      <queryTableField id="22" name="Amount" tableColumnId="22"/>
      <queryTableField id="23" name="Probability" tableColumnId="23"/>
      <queryTableField id="45" name="CustomerId" tableColumnId="36"/>
      <queryTableField id="46" name="Close" tableColumnId="37"/>
      <queryTableField id="66" name="NextMilestone" tableColumnId="50"/>
      <queryTableField id="67" name="NextMilestoneDate" tableColumnId="51"/>
      <queryTableField id="71" name="Comment Log" tableColumnId="53"/>
      <queryTableField id="75" name="Customer" tableColumnId="55"/>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C52348F-B359-43D4-B14F-ECC423B71301}" autoFormatId="16" applyNumberFormats="0" applyBorderFormats="0" applyFontFormats="0" applyPatternFormats="0" applyAlignmentFormats="0" applyWidthHeightFormats="0">
  <queryTableRefresh nextId="28" unboundColumnsRight="1">
    <queryTableFields count="12">
      <queryTableField id="1" name="Id" tableColumnId="1"/>
      <queryTableField id="2" name="Title" tableColumnId="2"/>
      <queryTableField id="4" name="PrimaryContact" tableColumnId="4"/>
      <queryTableField id="5" name="PrimaryContactTitle" tableColumnId="5"/>
      <queryTableField id="6" name="AlternateContact" tableColumnId="6"/>
      <queryTableField id="7" name="AlternateContactTitle" tableColumnId="7"/>
      <queryTableField id="8" name="AlternateContact2" tableColumnId="8"/>
      <queryTableField id="9" name="AlternateContact2Title" tableColumnId="9"/>
      <queryTableField id="26" name="Url" tableColumnId="20"/>
      <queryTableField id="10" name="Modified" tableColumnId="10"/>
      <queryTableField id="11" name="Created" tableColumnId="11"/>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3" tableType="queryTable" totalsRowShown="0">
  <autoFilter ref="D7:S43" xr:uid="{B35EA62C-D81E-48BA-B2FB-27C4C61792D5}"/>
  <tableColumns count="16">
    <tableColumn id="13" xr3:uid="{147FBFBE-2CFC-486E-B125-6D8C29F38818}" uniqueName="13" name="S" queryTableFieldId="23" dataDxfId="12">
      <calculatedColumnFormula>_xlfn.XLOOKUP(View[[#This Row],[Id]],Opportunities[Id],Opportunities[status symbol])</calculatedColumnFormula>
    </tableColumn>
    <tableColumn id="4" xr3:uid="{D0C93997-AE18-4F2C-9498-E378F0368CD3}" uniqueName="4" name=" 🔗Opportunity" queryTableFieldId="4" dataDxfId="11" dataCellStyle="Hyperlink">
      <calculatedColumnFormula>HYPERLINK(siteUrl&amp;"Lists/Opportunities/DispForm.aspx?ID="&amp;View[[#This Row],[Id]],_xlfn.XLOOKUP(View[[#This Row],[Id]],Opportunities[Id],Opportunities[Title]))</calculatedColumnFormula>
    </tableColumn>
    <tableColumn id="3" xr3:uid="{3E4A8EA1-FA0C-4196-B6BC-1AD8EC635331}" uniqueName="3" name="🔗Customer " queryTableFieldId="3" dataDxfId="10" dataCellStyle="Hyperlink">
      <calculatedColumnFormula>HYPERLINK(siteUrl&amp;"Lists/Customers/DispForm.aspx?ID="&amp;_xlfn.XLOOKUP(_xlfn.XLOOKUP(View[[#This Row],[Id]],Opportunities[Id],Opportunities[CustomerId]),Customers[Id],Customers[Id]),_xlfn.XLOOKUP(_xlfn.XLOOKUP(View[[#This Row],[Id]],Opportunities[Id],Opportunities[CustomerId]),Customers[Id],Customers[Title]))</calculatedColumnFormula>
    </tableColumn>
    <tableColumn id="5" xr3:uid="{BE8EE8B1-D066-4E99-BDBA-DD40A4432652}" uniqueName="5" name="Stage" queryTableFieldId="5" dataDxfId="9" dataCellStyle="Normal">
      <calculatedColumnFormula>_xlfn.XLOOKUP(View[[#This Row],[Id]],Opportunities[Id],Opportunities[DisplayStage])</calculatedColumnFormula>
    </tableColumn>
    <tableColumn id="7" xr3:uid="{36D3885A-765B-43F4-B223-18E0110E7BAC}" uniqueName="7" name="Opportunity Value" queryTableFieldId="7" dataDxfId="8"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7" dataCellStyle="Percent">
      <calculatedColumnFormula>_xlfn.XLOOKUP(View[[#This Row],[Id]],Opportunities[Id],Opportunities[Probability])</calculatedColumnFormula>
    </tableColumn>
    <tableColumn id="2" xr3:uid="{CEE680CE-7B28-4425-8EF9-E8A1C22CD40F}" uniqueName="2" name="Expected Revenue" queryTableFieldId="31" dataDxfId="6" dataCellStyle="Percent">
      <calculatedColumnFormula>View[[#This Row],[Estmated Revenue]]</calculatedColumnFormula>
    </tableColumn>
    <tableColumn id="10" xr3:uid="{B7055589-582D-4A7C-ACCD-633272C194D8}" uniqueName="10" name="Close Date" queryTableFieldId="10" dataDxfId="5" dataCellStyle="Percent">
      <calculatedColumnFormula>_xlfn.XLOOKUP(View[[#This Row],[Id]],Opportunities[Id],Opportunities[Close])</calculatedColumnFormula>
    </tableColumn>
    <tableColumn id="20" xr3:uid="{59C0ACCC-1D82-45A6-AFAA-3712BAC86C84}" uniqueName="20" name="Last Comment" queryTableFieldId="30" dataDxfId="4"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3" dataCellStyle="Percent">
      <calculatedColumnFormula>_xlfn.XLOOKUP(View[[#This Row],[Id]],Opportunities[Id],Opportunities[NextMilestoneDate])-TODAY()</calculatedColumnFormula>
    </tableColumn>
    <tableColumn id="9" xr3:uid="{52FF3CBA-17BB-47F5-85A3-2DEE8B12587C}" uniqueName="9" name="Close Quarter" queryTableFieldId="9" dataDxfId="2">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calculatedColumnFormula>
    </tableColumn>
    <tableColumn id="14" xr3:uid="{07448A78-D3A9-4A09-89B7-13C1C1A6E61A}" uniqueName="14" name="Estmated Revenue" queryTableFieldId="24" dataDxfId="1" dataCellStyle="Comma">
      <calculatedColumnFormula>_xlfn.XLOOKUP(View[[#This Row],[Id]],Opportunities[Id],Opportunities[Weighted])/1000</calculatedColumnFormula>
    </tableColumn>
    <tableColumn id="15" xr3:uid="{FBDC7969-7E8D-49D4-8066-6E0E6F1203F0}" uniqueName="15" name="Unweighted" queryTableFieldId="25" dataDxfId="0">
      <calculatedColumnFormula>_xlfn.XLOOKUP(View[[#This Row],[Id]],Opportunities[Id],Opportunities[Amount])/1000</calculatedColumnFormula>
    </tableColumn>
    <tableColumn id="16" xr3:uid="{EF89BB7F-252B-45F9-8123-82BF9FB66AF0}" uniqueName="16" name="High Probability" queryTableFieldId="26" dataDxfId="31">
      <calculatedColumnFormula>View[[#This Row],[Win Probability]]&gt;=probabilityThreshold</calculatedColumnFormula>
    </tableColumn>
    <tableColumn id="17" xr3:uid="{4BD52F12-45D4-4BCC-83AA-14BDE7142C90}" uniqueName="17" name="Visible" queryTableFieldId="27" dataDxfId="30">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S37" tableType="queryTable" totalsRowShown="0">
  <autoFilter ref="A1:S37" xr:uid="{8BF0481C-9C4B-466A-BDA0-DD8E3D98821B}"/>
  <tableColumns count="19">
    <tableColumn id="2" xr3:uid="{B70370C5-B6AF-449E-960D-FFB9104BBF2B}" uniqueName="2" name="Id" queryTableFieldId="2"/>
    <tableColumn id="8" xr3:uid="{076C53C6-7FD8-46FB-BFD9-2C36F2D160A2}" uniqueName="8" name="Title" queryTableFieldId="8"/>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6" xr3:uid="{0583AE18-6D27-4C10-8864-89D75A4BDA9E}" uniqueName="36" name="CustomerId" queryTableFieldId="45"/>
    <tableColumn id="37" xr3:uid="{40351C2D-0AFC-4595-94A2-E12F64F8DF77}" uniqueName="37" name="Close" queryTableFieldId="46"/>
    <tableColumn id="50" xr3:uid="{EFBD501E-D90F-48D9-90CB-899ADB70E975}" uniqueName="50" name="NextMilestone" queryTableFieldId="66"/>
    <tableColumn id="51" xr3:uid="{5AD0DDD4-25FB-455E-A609-04B685837BD0}" uniqueName="51" name="NextMilestoneDate" queryTableFieldId="67"/>
    <tableColumn id="53" xr3:uid="{8B6F3023-16EE-4A61-9C62-F78DACC9B311}" uniqueName="53" name="Comment Log" queryTableFieldId="71"/>
    <tableColumn id="55" xr3:uid="{13DB68D3-59AB-4586-971F-D397C4D59580}" uniqueName="55" name="Customer" queryTableFieldId="75"/>
    <tableColumn id="34" xr3:uid="{A794F34A-F2E4-4230-B129-BE7EF53921FE}" uniqueName="34" name="FQ" queryTableFieldId="43" dataDxfId="29">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8">
      <calculatedColumnFormula>"CY"&amp;RIGHT(YEAR(Opportunities[[#This Row],[Close]]),2)&amp;"-Q"&amp;ROUNDUP(MONTH(Opportunities[[#This Row],[Close]])/3, 0)</calculatedColumnFormula>
    </tableColumn>
    <tableColumn id="31" xr3:uid="{AFAB2CEE-41EC-476B-8EF4-F01AEE459A32}" uniqueName="31" name="url" queryTableFieldId="40" dataDxfId="27">
      <calculatedColumnFormula>"https://cleansheet5.sharepoint.com/sites/SalesFunnel/Lists/Opportunities/DispForm.aspx?ID="&amp;Opportunities[[#This Row],[Id]]</calculatedColumnFormula>
    </tableColumn>
    <tableColumn id="40" xr3:uid="{8BD6C9BB-E6FD-4E8E-A509-12D471DAA77F}" uniqueName="40" name="StageNumber" queryTableFieldId="54" dataDxfId="26">
      <calculatedColumnFormula>_xlfn.XLOOKUP(Opportunities[[#This Row],[Stage]],stage[Stage],stage[Index])</calculatedColumnFormula>
    </tableColumn>
    <tableColumn id="41" xr3:uid="{EDB4C612-1CC1-4B3C-B38D-DFE04A906351}" uniqueName="41" name="DisplayStage" queryTableFieldId="55" dataDxfId="25">
      <calculatedColumnFormula>Opportunities[[#This Row],[StageNumber]]&amp;" - "&amp;Opportunities[[#This Row],[Stage]]</calculatedColumnFormula>
    </tableColumn>
    <tableColumn id="52" xr3:uid="{29FD805D-0C67-486B-AABC-E086612B3426}" uniqueName="52" name="Weighted" queryTableFieldId="70" dataDxfId="24">
      <calculatedColumnFormula>Opportunities[[#This Row],[Amount]]*Opportunities[[#This Row],[Probability]]</calculatedColumnFormula>
    </tableColumn>
    <tableColumn id="56" xr3:uid="{9E365C66-70DC-4C5C-893A-3785B1B9D44C}" uniqueName="56" name="status symbol" queryTableFieldId="76" dataDxfId="23">
      <calculatedColumnFormula array="1">_xlfn.SWITCH(Opportunities[[#This Row],[Status]],"At Risk","⚠","Active","✓","⮾")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L31" tableType="queryTable" totalsRowShown="0">
  <autoFilter ref="A1:L31" xr:uid="{AE464801-8CE7-41B6-B2AB-6D69477B150E}"/>
  <tableColumns count="12">
    <tableColumn id="1" xr3:uid="{2305243C-9291-4758-997F-C45BB134350E}" uniqueName="1" name="Id" queryTableFieldId="1"/>
    <tableColumn id="2" xr3:uid="{1D7AD566-FEAA-4988-9FEE-E54A26670368}" uniqueName="2" name="Title" queryTableFieldId="2"/>
    <tableColumn id="4" xr3:uid="{D5F6E9E1-F8CC-49E4-B924-992DE5B56998}" uniqueName="4" name="PrimaryContact" queryTableFieldId="4"/>
    <tableColumn id="5" xr3:uid="{68B74CB2-5092-4B10-B8D3-57A2C72A4094}" uniqueName="5" name="PrimaryContactTitle" queryTableFieldId="5"/>
    <tableColumn id="6" xr3:uid="{F107D99F-26CA-441C-8F5A-07BB782E026A}" uniqueName="6" name="AlternateContact" queryTableFieldId="6"/>
    <tableColumn id="7" xr3:uid="{B94065BD-6902-4598-84B7-78281693D614}" uniqueName="7" name="AlternateContactTitle" queryTableFieldId="7"/>
    <tableColumn id="8" xr3:uid="{52B52703-1BF7-483F-89B1-54C3A8EA17BF}" uniqueName="8" name="AlternateContact2" queryTableFieldId="8"/>
    <tableColumn id="9" xr3:uid="{BDC1B5C1-F98F-420D-808E-2437A0DF4BE8}" uniqueName="9" name="AlternateContact2Title" queryTableFieldId="9"/>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2">
      <calculatedColumnFormula>"https://cleansheet5.sharepoint.com/sites/SalesFunnel/Lists/Customers/DispForm.aspx?ID="&amp;Customers[[#This Row],[Id]]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D18700-0821-42C4-AA3C-DF6BCD8833C5}" name="stage" displayName="stage" ref="A1:B7" totalsRowShown="0">
  <autoFilter ref="A1:B7" xr:uid="{86D18700-0821-42C4-AA3C-DF6BCD8833C5}"/>
  <tableColumns count="2">
    <tableColumn id="1" xr3:uid="{96F73254-7D9C-4405-8E1C-D8492351D039}" name="Stage"/>
    <tableColumn id="2" xr3:uid="{285FCB9F-4661-4705-A72A-C4934ADBD098}" name="Index"/>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hyperlink" Target="https://github.com/pgaljan/funneler/issues" TargetMode="External"/><Relationship Id="rId7" Type="http://schemas.openxmlformats.org/officeDocument/2006/relationships/table" Target="../tables/table1.xml"/><Relationship Id="rId2" Type="http://schemas.openxmlformats.org/officeDocument/2006/relationships/hyperlink" Target="../Lists/Customers/NewForm.aspx?" TargetMode="External"/><Relationship Id="rId1" Type="http://schemas.openxmlformats.org/officeDocument/2006/relationships/hyperlink" Target="../Lists/Opportunities/NewForm.aspx?"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3"/>
  <sheetViews>
    <sheetView showGridLines="0" zoomScale="115" zoomScaleNormal="115" workbookViewId="0">
      <selection activeCell="E7" sqref="E7"/>
    </sheetView>
  </sheetViews>
  <sheetFormatPr defaultRowHeight="15" outlineLevelCol="1" x14ac:dyDescent="0.25"/>
  <cols>
    <col min="1" max="1" width="20.42578125" bestFit="1" customWidth="1"/>
    <col min="2" max="2" width="14.85546875" customWidth="1"/>
    <col min="3" max="3" width="23.7109375" customWidth="1"/>
    <col min="4" max="4" width="4.42578125" bestFit="1" customWidth="1"/>
    <col min="5" max="5" width="26.85546875" bestFit="1" customWidth="1"/>
    <col min="6" max="6" width="33.5703125" bestFit="1" customWidth="1"/>
    <col min="7" max="7" width="21.42578125" bestFit="1" customWidth="1"/>
    <col min="8" max="8" width="19.85546875" bestFit="1" customWidth="1"/>
    <col min="9" max="9" width="17.140625" bestFit="1" customWidth="1"/>
    <col min="10" max="10" width="20.42578125" bestFit="1" customWidth="1"/>
    <col min="11" max="11" width="13.28515625" bestFit="1" customWidth="1"/>
    <col min="12" max="12" width="55" bestFit="1" customWidth="1"/>
    <col min="13" max="13" width="5" hidden="1" customWidth="1" outlineLevel="1"/>
    <col min="14" max="14" width="17.140625" hidden="1" customWidth="1" outlineLevel="1"/>
    <col min="15" max="15" width="16" hidden="1" customWidth="1" outlineLevel="1"/>
    <col min="16" max="16" width="12" hidden="1" customWidth="1" outlineLevel="1"/>
    <col min="17" max="17" width="14" hidden="1" customWidth="1" outlineLevel="1"/>
    <col min="18" max="18" width="17.7109375" hidden="1" customWidth="1" outlineLevel="1"/>
    <col min="19" max="19" width="9.140625" hidden="1" customWidth="1" collapsed="1"/>
  </cols>
  <sheetData>
    <row r="1" spans="1:22" ht="21" x14ac:dyDescent="0.35">
      <c r="A1" s="36" t="s">
        <v>314</v>
      </c>
      <c r="D1" s="11" t="s">
        <v>257</v>
      </c>
      <c r="E1" s="11"/>
      <c r="F1" s="11"/>
      <c r="G1" s="12"/>
      <c r="H1" s="13"/>
      <c r="I1" s="11"/>
      <c r="J1" s="11"/>
      <c r="K1" s="11"/>
      <c r="L1" s="11"/>
      <c r="M1" s="11"/>
      <c r="N1" s="11"/>
      <c r="O1" s="11"/>
      <c r="P1" s="11"/>
      <c r="Q1" s="11"/>
      <c r="R1" s="21"/>
      <c r="V1" s="26"/>
    </row>
    <row r="2" spans="1:22" x14ac:dyDescent="0.25">
      <c r="A2" s="24" t="s">
        <v>244</v>
      </c>
      <c r="B2" s="10" t="s">
        <v>236</v>
      </c>
      <c r="D2" s="14" t="str">
        <f>_xlfn.XLOOKUP(SUBTOTAL(5,View[Close Date]),View[Close Date],View[Close Quarter]) &amp;" to " &amp; _xlfn.XLOOKUP(SUBTOTAL(4,View[Close Date]),View[Close Date],View[Close Quarter])</f>
        <v>FY26-Q1 to FY27-Q2</v>
      </c>
      <c r="E2" s="14"/>
      <c r="F2" s="14"/>
      <c r="G2" s="14"/>
      <c r="H2" s="14"/>
      <c r="I2" s="14"/>
      <c r="J2" s="14"/>
      <c r="K2" s="14"/>
      <c r="L2" s="14"/>
      <c r="M2" s="14"/>
      <c r="N2" s="14"/>
      <c r="O2" s="14"/>
      <c r="P2" s="14"/>
      <c r="Q2" s="14"/>
      <c r="R2" s="21"/>
    </row>
    <row r="3" spans="1:22" x14ac:dyDescent="0.25">
      <c r="A3" s="24" t="s">
        <v>255</v>
      </c>
      <c r="B3" s="10" t="s">
        <v>256</v>
      </c>
      <c r="L3" s="23" t="s">
        <v>261</v>
      </c>
    </row>
    <row r="4" spans="1:22" x14ac:dyDescent="0.25">
      <c r="A4" s="31" t="s">
        <v>306</v>
      </c>
      <c r="L4" s="23" t="s">
        <v>260</v>
      </c>
    </row>
    <row r="5" spans="1:22" x14ac:dyDescent="0.25">
      <c r="A5" s="32" t="s">
        <v>305</v>
      </c>
    </row>
    <row r="7" spans="1:22" x14ac:dyDescent="0.25">
      <c r="D7" s="15" t="s">
        <v>311</v>
      </c>
      <c r="E7" s="16" t="s">
        <v>322</v>
      </c>
      <c r="F7" s="16" t="s">
        <v>264</v>
      </c>
      <c r="G7" s="16" t="s">
        <v>182</v>
      </c>
      <c r="H7" s="16" t="s">
        <v>318</v>
      </c>
      <c r="I7" s="16" t="s">
        <v>319</v>
      </c>
      <c r="J7" s="16" t="s">
        <v>321</v>
      </c>
      <c r="K7" s="16" t="s">
        <v>185</v>
      </c>
      <c r="L7" s="16" t="s">
        <v>312</v>
      </c>
      <c r="M7" s="16" t="s">
        <v>0</v>
      </c>
      <c r="N7" s="16" t="s">
        <v>247</v>
      </c>
      <c r="O7" s="16" t="s">
        <v>235</v>
      </c>
      <c r="P7" s="16" t="s">
        <v>320</v>
      </c>
      <c r="Q7" s="16" t="s">
        <v>256</v>
      </c>
      <c r="R7" s="16" t="s">
        <v>233</v>
      </c>
      <c r="S7" t="s">
        <v>262</v>
      </c>
    </row>
    <row r="8" spans="1:22" x14ac:dyDescent="0.25">
      <c r="D8" s="33" t="str">
        <f>_xlfn.XLOOKUP(View[[#This Row],[Id]],Opportunities[Id],Opportunities[status symbol])</f>
        <v>⚠</v>
      </c>
      <c r="E8" s="39" t="str">
        <f>HYPERLINK(siteUrl&amp;"Lists/Opportunities/DispForm.aspx?ID="&amp;View[[#This Row],[Id]],_xlfn.XLOOKUP(View[[#This Row],[Id]],Opportunities[Id],Opportunities[Title]))</f>
        <v>Industrial Engineering</v>
      </c>
      <c r="F8" s="39" t="str">
        <f>HYPERLINK(siteUrl&amp;"Lists/Customers/DispForm.aspx?ID="&amp;_xlfn.XLOOKUP(_xlfn.XLOOKUP(View[[#This Row],[Id]],Opportunities[Id],Opportunities[CustomerId]),Customers[Id],Customers[Id]),_xlfn.XLOOKUP(_xlfn.XLOOKUP(View[[#This Row],[Id]],Opportunities[Id],Opportunities[CustomerId]),Customers[Id],Customers[Title]))</f>
        <v>SmartFactory Solutions</v>
      </c>
      <c r="G8" s="7" t="str">
        <f>_xlfn.XLOOKUP(View[[#This Row],[Id]],Opportunities[Id],Opportunities[DisplayStage])</f>
        <v>5 - Project Execution</v>
      </c>
      <c r="H8" s="2">
        <f>IF(pipelineType="Unweighted",_xlfn.XLOOKUP(View[[#This Row],[Id]],Opportunities[Id],Opportunities[Amount])/1000,_xlfn.XLOOKUP(View[[#This Row],[Id]],Opportunities[Id],Opportunities[Weighted])/1000)</f>
        <v>967.053</v>
      </c>
      <c r="I8" s="25">
        <f>_xlfn.XLOOKUP(View[[#This Row],[Id]],Opportunities[Id],Opportunities[Probability])</f>
        <v>9.7999999999999997E-3</v>
      </c>
      <c r="J8" s="38">
        <f>View[[#This Row],[Estmated Revenue]]</f>
        <v>9.4771193999999994</v>
      </c>
      <c r="K8" s="4">
        <f>_xlfn.XLOOKUP(View[[#This Row],[Id]],Opportunities[Id],Opportunities[Close])</f>
        <v>45888.291666666664</v>
      </c>
      <c r="L8" s="34" t="str">
        <f>IF(_xlfn.XLOOKUP(View[[#This Row],[Id]],Opportunities[Id],Opportunities[Comment Log])=0,"",_xlfn.XLOOKUP(View[[#This Row],[Id]],Opportunities[Id],Opportunities[Comment Log]))</f>
        <v>This worksheet is read only, backed by two sharepoint lists</v>
      </c>
      <c r="M8">
        <v>22</v>
      </c>
      <c r="N8" s="6">
        <f ca="1">_xlfn.XLOOKUP(View[[#This Row],[Id]],Opportunities[Id],Opportunities[NextMilestoneDate])-TODAY()</f>
        <v>3.2916666666642413</v>
      </c>
      <c r="O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8" s="2">
        <f>_xlfn.XLOOKUP(View[[#This Row],[Id]],Opportunities[Id],Opportunities[Weighted])/1000</f>
        <v>9.4771193999999994</v>
      </c>
      <c r="Q8" s="8">
        <f>_xlfn.XLOOKUP(View[[#This Row],[Id]],Opportunities[Id],Opportunities[Amount])/1000</f>
        <v>967.053</v>
      </c>
      <c r="R8" t="b">
        <f>View[[#This Row],[Win Probability]]&gt;=probabilityThreshold</f>
        <v>0</v>
      </c>
      <c r="S8">
        <f>SUBTOTAL(103, View[[#This Row],[S]])</f>
        <v>1</v>
      </c>
    </row>
    <row r="9" spans="1:22" x14ac:dyDescent="0.25">
      <c r="D9" s="33" t="str">
        <f>_xlfn.XLOOKUP(View[[#This Row],[Id]],Opportunities[Id],Opportunities[status symbol])</f>
        <v>✓</v>
      </c>
      <c r="E9" s="39" t="str">
        <f>HYPERLINK(siteUrl&amp;"Lists/Opportunities/DispForm.aspx?ID="&amp;View[[#This Row],[Id]],_xlfn.XLOOKUP(View[[#This Row],[Id]],Opportunities[Id],Opportunities[Title]))</f>
        <v>Human Factors</v>
      </c>
      <c r="F9" s="39" t="str">
        <f>HYPERLINK(siteUrl&amp;"Lists/Customers/DispForm.aspx?ID="&amp;_xlfn.XLOOKUP(_xlfn.XLOOKUP(View[[#This Row],[Id]],Opportunities[Id],Opportunities[CustomerId]),Customers[Id],Customers[Id]),_xlfn.XLOOKUP(_xlfn.XLOOKUP(View[[#This Row],[Id]],Opportunities[Id],Opportunities[CustomerId]),Customers[Id],Customers[Title]))</f>
        <v>AugmentedReality Labs</v>
      </c>
      <c r="G9" s="7" t="str">
        <f>_xlfn.XLOOKUP(View[[#This Row],[Id]],Opportunities[Id],Opportunities[DisplayStage])</f>
        <v>4 - Negotiation</v>
      </c>
      <c r="H9" s="2">
        <f>IF(pipelineType="Unweighted",_xlfn.XLOOKUP(View[[#This Row],[Id]],Opportunities[Id],Opportunities[Amount])/1000,_xlfn.XLOOKUP(View[[#This Row],[Id]],Opportunities[Id],Opportunities[Weighted])/1000)</f>
        <v>1015.341</v>
      </c>
      <c r="I9" s="25">
        <f>_xlfn.XLOOKUP(View[[#This Row],[Id]],Opportunities[Id],Opportunities[Probability])</f>
        <v>0.89</v>
      </c>
      <c r="J9" s="38">
        <f>View[[#This Row],[Estmated Revenue]]</f>
        <v>903.65349000000003</v>
      </c>
      <c r="K9" s="4">
        <f>_xlfn.XLOOKUP(View[[#This Row],[Id]],Opportunities[Id],Opportunities[Close])</f>
        <v>45899.291666666664</v>
      </c>
      <c r="L9" s="34" t="str">
        <f>IF(_xlfn.XLOOKUP(View[[#This Row],[Id]],Opportunities[Id],Opportunities[Comment Log])=0,"",_xlfn.XLOOKUP(View[[#This Row],[Id]],Opportunities[Id],Opportunities[Comment Log]))</f>
        <v/>
      </c>
      <c r="M9">
        <v>35</v>
      </c>
      <c r="N9" s="6">
        <f ca="1">_xlfn.XLOOKUP(View[[#This Row],[Id]],Opportunities[Id],Opportunities[NextMilestoneDate])-TODAY()</f>
        <v>8.2916666666642413</v>
      </c>
      <c r="O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9" s="2">
        <f>_xlfn.XLOOKUP(View[[#This Row],[Id]],Opportunities[Id],Opportunities[Weighted])/1000</f>
        <v>903.65349000000003</v>
      </c>
      <c r="Q9" s="8">
        <f>_xlfn.XLOOKUP(View[[#This Row],[Id]],Opportunities[Id],Opportunities[Amount])/1000</f>
        <v>1015.341</v>
      </c>
      <c r="R9" t="b">
        <f>View[[#This Row],[Win Probability]]&gt;=probabilityThreshold</f>
        <v>1</v>
      </c>
      <c r="S9">
        <f>SUBTOTAL(103, View[[#This Row],[S]])</f>
        <v>1</v>
      </c>
    </row>
    <row r="10" spans="1:22" x14ac:dyDescent="0.25">
      <c r="D10" s="33" t="str">
        <f>_xlfn.XLOOKUP(View[[#This Row],[Id]],Opportunities[Id],Opportunities[status symbol])</f>
        <v>✓</v>
      </c>
      <c r="E10" s="39" t="str">
        <f>HYPERLINK(siteUrl&amp;"Lists/Opportunities/DispForm.aspx?ID="&amp;View[[#This Row],[Id]],_xlfn.XLOOKUP(View[[#This Row],[Id]],Opportunities[Id],Opportunities[Title]))</f>
        <v>Environmental Simulation</v>
      </c>
      <c r="F10"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10" s="7" t="str">
        <f>_xlfn.XLOOKUP(View[[#This Row],[Id]],Opportunities[Id],Opportunities[DisplayStage])</f>
        <v>5 - Project Execution</v>
      </c>
      <c r="H10" s="2">
        <f>IF(pipelineType="Unweighted",_xlfn.XLOOKUP(View[[#This Row],[Id]],Opportunities[Id],Opportunities[Amount])/1000,_xlfn.XLOOKUP(View[[#This Row],[Id]],Opportunities[Id],Opportunities[Weighted])/1000)</f>
        <v>850.27</v>
      </c>
      <c r="I10" s="25">
        <f>_xlfn.XLOOKUP(View[[#This Row],[Id]],Opportunities[Id],Opportunities[Probability])</f>
        <v>0.27</v>
      </c>
      <c r="J10" s="38">
        <f>View[[#This Row],[Estmated Revenue]]</f>
        <v>229.57290000000003</v>
      </c>
      <c r="K10" s="4">
        <f>_xlfn.XLOOKUP(View[[#This Row],[Id]],Opportunities[Id],Opportunities[Close])</f>
        <v>45906.291666666664</v>
      </c>
      <c r="L10" s="34" t="str">
        <f>IF(_xlfn.XLOOKUP(View[[#This Row],[Id]],Opportunities[Id],Opportunities[Comment Log])=0,"",_xlfn.XLOOKUP(View[[#This Row],[Id]],Opportunities[Id],Opportunities[Comment Log]))</f>
        <v/>
      </c>
      <c r="M10">
        <v>13</v>
      </c>
      <c r="N10" s="6">
        <f ca="1">_xlfn.XLOOKUP(View[[#This Row],[Id]],Opportunities[Id],Opportunities[NextMilestoneDate])-TODAY()</f>
        <v>0.29166666666424135</v>
      </c>
      <c r="O1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10" s="2">
        <f>_xlfn.XLOOKUP(View[[#This Row],[Id]],Opportunities[Id],Opportunities[Weighted])/1000</f>
        <v>229.57290000000003</v>
      </c>
      <c r="Q10" s="8">
        <f>_xlfn.XLOOKUP(View[[#This Row],[Id]],Opportunities[Id],Opportunities[Amount])/1000</f>
        <v>850.27</v>
      </c>
      <c r="R10" t="b">
        <f>View[[#This Row],[Win Probability]]&gt;=probabilityThreshold</f>
        <v>0</v>
      </c>
      <c r="S10">
        <f>SUBTOTAL(103, View[[#This Row],[S]])</f>
        <v>1</v>
      </c>
    </row>
    <row r="11" spans="1:22" x14ac:dyDescent="0.25">
      <c r="D11" s="33" t="str">
        <f>_xlfn.XLOOKUP(View[[#This Row],[Id]],Opportunities[Id],Opportunities[status symbol])</f>
        <v>✓</v>
      </c>
      <c r="E11" s="39" t="str">
        <f>HYPERLINK(siteUrl&amp;"Lists/Opportunities/DispForm.aspx?ID="&amp;View[[#This Row],[Id]],_xlfn.XLOOKUP(View[[#This Row],[Id]],Opportunities[Id],Opportunities[Title]))</f>
        <v>Implantable Electronics</v>
      </c>
      <c r="F11" s="39" t="str">
        <f>HYPERLINK(siteUrl&amp;"Lists/Customers/DispForm.aspx?ID="&amp;_xlfn.XLOOKUP(_xlfn.XLOOKUP(View[[#This Row],[Id]],Opportunities[Id],Opportunities[CustomerId]),Customers[Id],Customers[Id]),_xlfn.XLOOKUP(_xlfn.XLOOKUP(View[[#This Row],[Id]],Opportunities[Id],Opportunities[CustomerId]),Customers[Id],Customers[Title]))</f>
        <v>BioElectronics Systems</v>
      </c>
      <c r="G11" s="7" t="str">
        <f>_xlfn.XLOOKUP(View[[#This Row],[Id]],Opportunities[Id],Opportunities[DisplayStage])</f>
        <v>2 - Nurturing</v>
      </c>
      <c r="H11" s="2">
        <f>IF(pipelineType="Unweighted",_xlfn.XLOOKUP(View[[#This Row],[Id]],Opportunities[Id],Opportunities[Amount])/1000,_xlfn.XLOOKUP(View[[#This Row],[Id]],Opportunities[Id],Opportunities[Weighted])/1000)</f>
        <v>755.86099999999999</v>
      </c>
      <c r="I11" s="25">
        <f>_xlfn.XLOOKUP(View[[#This Row],[Id]],Opportunities[Id],Opportunities[Probability])</f>
        <v>0.67</v>
      </c>
      <c r="J11" s="38">
        <f>View[[#This Row],[Estmated Revenue]]</f>
        <v>506.42687000000006</v>
      </c>
      <c r="K11" s="3">
        <f>_xlfn.XLOOKUP(View[[#This Row],[Id]],Opportunities[Id],Opportunities[Close])</f>
        <v>45928.291666666664</v>
      </c>
      <c r="L11" s="35" t="str">
        <f>IF(_xlfn.XLOOKUP(View[[#This Row],[Id]],Opportunities[Id],Opportunities[Comment Log])=0,"",_xlfn.XLOOKUP(View[[#This Row],[Id]],Opportunities[Id],Opportunities[Comment Log]))</f>
        <v/>
      </c>
      <c r="M11">
        <v>29</v>
      </c>
      <c r="N11" s="5">
        <f ca="1">_xlfn.XLOOKUP(View[[#This Row],[Id]],Opportunities[Id],Opportunities[NextMilestoneDate])-TODAY()</f>
        <v>66.291666666664241</v>
      </c>
      <c r="O1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P11" s="2">
        <f>_xlfn.XLOOKUP(View[[#This Row],[Id]],Opportunities[Id],Opportunities[Weighted])/1000</f>
        <v>506.42687000000006</v>
      </c>
      <c r="Q11" s="8">
        <f>_xlfn.XLOOKUP(View[[#This Row],[Id]],Opportunities[Id],Opportunities[Amount])/1000</f>
        <v>755.86099999999999</v>
      </c>
      <c r="R11" t="b">
        <f>View[[#This Row],[Win Probability]]&gt;=probabilityThreshold</f>
        <v>0</v>
      </c>
      <c r="S11">
        <f>SUBTOTAL(103, View[[#This Row],[S]])</f>
        <v>1</v>
      </c>
    </row>
    <row r="12" spans="1:22" x14ac:dyDescent="0.25">
      <c r="D12" s="33" t="str">
        <f>_xlfn.XLOOKUP(View[[#This Row],[Id]],Opportunities[Id],Opportunities[status symbol])</f>
        <v>✓</v>
      </c>
      <c r="E12" s="39" t="str">
        <f>HYPERLINK(siteUrl&amp;"Lists/Opportunities/DispForm.aspx?ID="&amp;View[[#This Row],[Id]],_xlfn.XLOOKUP(View[[#This Row],[Id]],Opportunities[Id],Opportunities[Title]))</f>
        <v>2D Material Synthesis</v>
      </c>
      <c r="F12" s="39" t="str">
        <f>HYPERLINK(siteUrl&amp;"Lists/Customers/DispForm.aspx?ID="&amp;_xlfn.XLOOKUP(_xlfn.XLOOKUP(View[[#This Row],[Id]],Opportunities[Id],Opportunities[CustomerId]),Customers[Id],Customers[Id]),_xlfn.XLOOKUP(_xlfn.XLOOKUP(View[[#This Row],[Id]],Opportunities[Id],Opportunities[CustomerId]),Customers[Id],Customers[Title]))</f>
        <v>SmartFactory Solutions</v>
      </c>
      <c r="G12" s="7" t="str">
        <f>_xlfn.XLOOKUP(View[[#This Row],[Id]],Opportunities[Id],Opportunities[DisplayStage])</f>
        <v>3 - Proposal</v>
      </c>
      <c r="H12" s="2">
        <f>IF(pipelineType="Unweighted",_xlfn.XLOOKUP(View[[#This Row],[Id]],Opportunities[Id],Opportunities[Amount])/1000,_xlfn.XLOOKUP(View[[#This Row],[Id]],Opportunities[Id],Opportunities[Weighted])/1000)</f>
        <v>523</v>
      </c>
      <c r="I12" s="25">
        <f>_xlfn.XLOOKUP(View[[#This Row],[Id]],Opportunities[Id],Opportunities[Probability])</f>
        <v>0.67</v>
      </c>
      <c r="J12" s="38">
        <f>View[[#This Row],[Estmated Revenue]]</f>
        <v>350.41</v>
      </c>
      <c r="K12" s="4">
        <f>_xlfn.XLOOKUP(View[[#This Row],[Id]],Opportunities[Id],Opportunities[Close])</f>
        <v>45947.291666666664</v>
      </c>
      <c r="L12" s="34" t="str">
        <f>IF(_xlfn.XLOOKUP(View[[#This Row],[Id]],Opportunities[Id],Opportunities[Comment Log])=0,"",_xlfn.XLOOKUP(View[[#This Row],[Id]],Opportunities[Id],Opportunities[Comment Log]))</f>
        <v/>
      </c>
      <c r="M12">
        <v>21</v>
      </c>
      <c r="N12" s="6">
        <f ca="1">_xlfn.XLOOKUP(View[[#This Row],[Id]],Opportunities[Id],Opportunities[NextMilestoneDate])-TODAY()</f>
        <v>-45878</v>
      </c>
      <c r="O1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2" s="2">
        <f>_xlfn.XLOOKUP(View[[#This Row],[Id]],Opportunities[Id],Opportunities[Weighted])/1000</f>
        <v>350.41</v>
      </c>
      <c r="Q12" s="8">
        <f>_xlfn.XLOOKUP(View[[#This Row],[Id]],Opportunities[Id],Opportunities[Amount])/1000</f>
        <v>523</v>
      </c>
      <c r="R12" t="b">
        <f>View[[#This Row],[Win Probability]]&gt;=probabilityThreshold</f>
        <v>0</v>
      </c>
      <c r="S12">
        <f>SUBTOTAL(103, View[[#This Row],[S]])</f>
        <v>1</v>
      </c>
    </row>
    <row r="13" spans="1:22" x14ac:dyDescent="0.25">
      <c r="D13" s="33" t="str">
        <f>_xlfn.XLOOKUP(View[[#This Row],[Id]],Opportunities[Id],Opportunities[status symbol])</f>
        <v>⚠</v>
      </c>
      <c r="E13" s="39" t="str">
        <f>HYPERLINK(siteUrl&amp;"Lists/Opportunities/DispForm.aspx?ID="&amp;View[[#This Row],[Id]],_xlfn.XLOOKUP(View[[#This Row],[Id]],Opportunities[Id],Opportunities[Title]))</f>
        <v>Optical Biosensing</v>
      </c>
      <c r="F13"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13" s="7" t="str">
        <f>_xlfn.XLOOKUP(View[[#This Row],[Id]],Opportunities[Id],Opportunities[DisplayStage])</f>
        <v>5 - Project Execution</v>
      </c>
      <c r="H13" s="2">
        <f>IF(pipelineType="Unweighted",_xlfn.XLOOKUP(View[[#This Row],[Id]],Opportunities[Id],Opportunities[Amount])/1000,_xlfn.XLOOKUP(View[[#This Row],[Id]],Opportunities[Id],Opportunities[Weighted])/1000)</f>
        <v>920.71299999999997</v>
      </c>
      <c r="I13" s="25">
        <f>_xlfn.XLOOKUP(View[[#This Row],[Id]],Opportunities[Id],Opportunities[Probability])</f>
        <v>0.92</v>
      </c>
      <c r="J13" s="38">
        <f>View[[#This Row],[Estmated Revenue]]</f>
        <v>847.05596000000003</v>
      </c>
      <c r="K13" s="4">
        <f>_xlfn.XLOOKUP(View[[#This Row],[Id]],Opportunities[Id],Opportunities[Close])</f>
        <v>45965.333333333336</v>
      </c>
      <c r="L13" s="34" t="str">
        <f>IF(_xlfn.XLOOKUP(View[[#This Row],[Id]],Opportunities[Id],Opportunities[Comment Log])=0,"",_xlfn.XLOOKUP(View[[#This Row],[Id]],Opportunities[Id],Opportunities[Comment Log]))</f>
        <v/>
      </c>
      <c r="M13">
        <v>14</v>
      </c>
      <c r="N13" s="6">
        <f ca="1">_xlfn.XLOOKUP(View[[#This Row],[Id]],Opportunities[Id],Opportunities[NextMilestoneDate])-TODAY()</f>
        <v>2.2916666666642413</v>
      </c>
      <c r="O1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3" s="2">
        <f>_xlfn.XLOOKUP(View[[#This Row],[Id]],Opportunities[Id],Opportunities[Weighted])/1000</f>
        <v>847.05596000000003</v>
      </c>
      <c r="Q13" s="8">
        <f>_xlfn.XLOOKUP(View[[#This Row],[Id]],Opportunities[Id],Opportunities[Amount])/1000</f>
        <v>920.71299999999997</v>
      </c>
      <c r="R13" t="b">
        <f>View[[#This Row],[Win Probability]]&gt;=probabilityThreshold</f>
        <v>1</v>
      </c>
      <c r="S13">
        <f>SUBTOTAL(103, View[[#This Row],[S]])</f>
        <v>1</v>
      </c>
    </row>
    <row r="14" spans="1:22" x14ac:dyDescent="0.25">
      <c r="D14" s="33" t="str">
        <f>_xlfn.XLOOKUP(View[[#This Row],[Id]],Opportunities[Id],Opportunities[status symbol])</f>
        <v>✓</v>
      </c>
      <c r="E14" s="39" t="str">
        <f>HYPERLINK(siteUrl&amp;"Lists/Opportunities/DispForm.aspx?ID="&amp;View[[#This Row],[Id]],_xlfn.XLOOKUP(View[[#This Row],[Id]],Opportunities[Id],Opportunities[Title]))</f>
        <v>Micro-Scale Process Engineering</v>
      </c>
      <c r="F14" s="39" t="str">
        <f>HYPERLINK(siteUrl&amp;"Lists/Customers/DispForm.aspx?ID="&amp;_xlfn.XLOOKUP(_xlfn.XLOOKUP(View[[#This Row],[Id]],Opportunities[Id],Opportunities[CustomerId]),Customers[Id],Customers[Id]),_xlfn.XLOOKUP(_xlfn.XLOOKUP(View[[#This Row],[Id]],Opportunities[Id],Opportunities[CustomerId]),Customers[Id],Customers[Title]))</f>
        <v>MicroAssembly Systems</v>
      </c>
      <c r="G14" s="7" t="str">
        <f>_xlfn.XLOOKUP(View[[#This Row],[Id]],Opportunities[Id],Opportunities[DisplayStage])</f>
        <v>5 - Project Execution</v>
      </c>
      <c r="H14" s="2">
        <f>IF(pipelineType="Unweighted",_xlfn.XLOOKUP(View[[#This Row],[Id]],Opportunities[Id],Opportunities[Amount])/1000,_xlfn.XLOOKUP(View[[#This Row],[Id]],Opportunities[Id],Opportunities[Weighted])/1000)</f>
        <v>1149.9469999999999</v>
      </c>
      <c r="I14" s="25">
        <f>_xlfn.XLOOKUP(View[[#This Row],[Id]],Opportunities[Id],Opportunities[Probability])</f>
        <v>0.32</v>
      </c>
      <c r="J14" s="38">
        <f>View[[#This Row],[Estmated Revenue]]</f>
        <v>367.98303999999996</v>
      </c>
      <c r="K14" s="4">
        <f>_xlfn.XLOOKUP(View[[#This Row],[Id]],Opportunities[Id],Opportunities[Close])</f>
        <v>45977.333333333336</v>
      </c>
      <c r="L14" s="34" t="str">
        <f>IF(_xlfn.XLOOKUP(View[[#This Row],[Id]],Opportunities[Id],Opportunities[Comment Log])=0,"",_xlfn.XLOOKUP(View[[#This Row],[Id]],Opportunities[Id],Opportunities[Comment Log]))</f>
        <v/>
      </c>
      <c r="M14">
        <v>5</v>
      </c>
      <c r="N14" s="6">
        <f ca="1">_xlfn.XLOOKUP(View[[#This Row],[Id]],Opportunities[Id],Opportunities[NextMilestoneDate])-TODAY()</f>
        <v>60.291666666664241</v>
      </c>
      <c r="O1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4" s="2">
        <f>_xlfn.XLOOKUP(View[[#This Row],[Id]],Opportunities[Id],Opportunities[Weighted])/1000</f>
        <v>367.98303999999996</v>
      </c>
      <c r="Q14" s="8">
        <f>_xlfn.XLOOKUP(View[[#This Row],[Id]],Opportunities[Id],Opportunities[Amount])/1000</f>
        <v>1149.9469999999999</v>
      </c>
      <c r="R14" t="b">
        <f>View[[#This Row],[Win Probability]]&gt;=probabilityThreshold</f>
        <v>0</v>
      </c>
      <c r="S14">
        <f>SUBTOTAL(103, View[[#This Row],[S]])</f>
        <v>1</v>
      </c>
    </row>
    <row r="15" spans="1:22" x14ac:dyDescent="0.25">
      <c r="D15" s="33" t="str">
        <f>_xlfn.XLOOKUP(View[[#This Row],[Id]],Opportunities[Id],Opportunities[status symbol])</f>
        <v>✓</v>
      </c>
      <c r="E15" s="39" t="str">
        <f>HYPERLINK(siteUrl&amp;"Lists/Opportunities/DispForm.aspx?ID="&amp;View[[#This Row],[Id]],_xlfn.XLOOKUP(View[[#This Row],[Id]],Opportunities[Id],Opportunities[Title]))</f>
        <v>Perception Algorithms</v>
      </c>
      <c r="F15" s="39" t="str">
        <f>HYPERLINK(siteUrl&amp;"Lists/Customers/DispForm.aspx?ID="&amp;_xlfn.XLOOKUP(_xlfn.XLOOKUP(View[[#This Row],[Id]],Opportunities[Id],Opportunities[CustomerId]),Customers[Id],Customers[Id]),_xlfn.XLOOKUP(_xlfn.XLOOKUP(View[[#This Row],[Id]],Opportunities[Id],Opportunities[CustomerId]),Customers[Id],Customers[Title]))</f>
        <v>AugmentedReality Labs</v>
      </c>
      <c r="G15" s="7" t="str">
        <f>_xlfn.XLOOKUP(View[[#This Row],[Id]],Opportunities[Id],Opportunities[DisplayStage])</f>
        <v>1 - Lead Qualification</v>
      </c>
      <c r="H15" s="2">
        <f>IF(pipelineType="Unweighted",_xlfn.XLOOKUP(View[[#This Row],[Id]],Opportunities[Id],Opportunities[Amount])/1000,_xlfn.XLOOKUP(View[[#This Row],[Id]],Opportunities[Id],Opportunities[Weighted])/1000)</f>
        <v>945.90300000000002</v>
      </c>
      <c r="I15" s="25">
        <f>_xlfn.XLOOKUP(View[[#This Row],[Id]],Opportunities[Id],Opportunities[Probability])</f>
        <v>0.62</v>
      </c>
      <c r="J15" s="38">
        <f>View[[#This Row],[Estmated Revenue]]</f>
        <v>586.45985999999994</v>
      </c>
      <c r="K15" s="4">
        <f>_xlfn.XLOOKUP(View[[#This Row],[Id]],Opportunities[Id],Opportunities[Close])</f>
        <v>45985.333333333336</v>
      </c>
      <c r="L15" s="34" t="str">
        <f>IF(_xlfn.XLOOKUP(View[[#This Row],[Id]],Opportunities[Id],Opportunities[Comment Log])=0,"",_xlfn.XLOOKUP(View[[#This Row],[Id]],Opportunities[Id],Opportunities[Comment Log]))</f>
        <v/>
      </c>
      <c r="M15">
        <v>36</v>
      </c>
      <c r="N15" s="6">
        <f ca="1">_xlfn.XLOOKUP(View[[#This Row],[Id]],Opportunities[Id],Opportunities[NextMilestoneDate])-TODAY()</f>
        <v>76.291666666664241</v>
      </c>
      <c r="O1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5" s="2">
        <f>_xlfn.XLOOKUP(View[[#This Row],[Id]],Opportunities[Id],Opportunities[Weighted])/1000</f>
        <v>586.45985999999994</v>
      </c>
      <c r="Q15" s="8">
        <f>_xlfn.XLOOKUP(View[[#This Row],[Id]],Opportunities[Id],Opportunities[Amount])/1000</f>
        <v>945.90300000000002</v>
      </c>
      <c r="R15" t="b">
        <f>View[[#This Row],[Win Probability]]&gt;=probabilityThreshold</f>
        <v>0</v>
      </c>
      <c r="S15">
        <f>SUBTOTAL(103, View[[#This Row],[S]])</f>
        <v>1</v>
      </c>
    </row>
    <row r="16" spans="1:22" x14ac:dyDescent="0.25">
      <c r="D16" s="33" t="str">
        <f>_xlfn.XLOOKUP(View[[#This Row],[Id]],Opportunities[Id],Opportunities[status symbol])</f>
        <v>✓</v>
      </c>
      <c r="E16" s="39" t="str">
        <f>HYPERLINK(siteUrl&amp;"Lists/Opportunities/DispForm.aspx?ID="&amp;View[[#This Row],[Id]],_xlfn.XLOOKUP(View[[#This Row],[Id]],Opportunities[Id],Opportunities[Title]))</f>
        <v>Mathematical Modeling</v>
      </c>
      <c r="F16" s="39" t="str">
        <f>HYPERLINK(siteUrl&amp;"Lists/Customers/DispForm.aspx?ID="&amp;_xlfn.XLOOKUP(_xlfn.XLOOKUP(View[[#This Row],[Id]],Opportunities[Id],Opportunities[CustomerId]),Customers[Id],Customers[Id]),_xlfn.XLOOKUP(_xlfn.XLOOKUP(View[[#This Row],[Id]],Opportunities[Id],Opportunities[CustomerId]),Customers[Id],Customers[Title]))</f>
        <v>FinanceML Solutions</v>
      </c>
      <c r="G16" s="7" t="str">
        <f>_xlfn.XLOOKUP(View[[#This Row],[Id]],Opportunities[Id],Opportunities[DisplayStage])</f>
        <v>2 - Nurturing</v>
      </c>
      <c r="H16" s="2">
        <f>IF(pipelineType="Unweighted",_xlfn.XLOOKUP(View[[#This Row],[Id]],Opportunities[Id],Opportunities[Amount])/1000,_xlfn.XLOOKUP(View[[#This Row],[Id]],Opportunities[Id],Opportunities[Weighted])/1000)</f>
        <v>433.89400000000001</v>
      </c>
      <c r="I16" s="25">
        <f>_xlfn.XLOOKUP(View[[#This Row],[Id]],Opportunities[Id],Opportunities[Probability])</f>
        <v>0.82</v>
      </c>
      <c r="J16" s="38">
        <f>View[[#This Row],[Estmated Revenue]]</f>
        <v>355.79307999999997</v>
      </c>
      <c r="K16" s="4">
        <f>_xlfn.XLOOKUP(View[[#This Row],[Id]],Opportunities[Id],Opportunities[Close])</f>
        <v>45987.333333333336</v>
      </c>
      <c r="L16" s="34" t="str">
        <f>IF(_xlfn.XLOOKUP(View[[#This Row],[Id]],Opportunities[Id],Opportunities[Comment Log])=0,"",_xlfn.XLOOKUP(View[[#This Row],[Id]],Opportunities[Id],Opportunities[Comment Log]))</f>
        <v/>
      </c>
      <c r="M16">
        <v>23</v>
      </c>
      <c r="N16" s="6">
        <f ca="1">_xlfn.XLOOKUP(View[[#This Row],[Id]],Opportunities[Id],Opportunities[NextMilestoneDate])-TODAY()</f>
        <v>14.291666666664241</v>
      </c>
      <c r="O1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6" s="2">
        <f>_xlfn.XLOOKUP(View[[#This Row],[Id]],Opportunities[Id],Opportunities[Weighted])/1000</f>
        <v>355.79307999999997</v>
      </c>
      <c r="Q16" s="8">
        <f>_xlfn.XLOOKUP(View[[#This Row],[Id]],Opportunities[Id],Opportunities[Amount])/1000</f>
        <v>433.89400000000001</v>
      </c>
      <c r="R16" t="b">
        <f>View[[#This Row],[Win Probability]]&gt;=probabilityThreshold</f>
        <v>1</v>
      </c>
      <c r="S16">
        <f>SUBTOTAL(103, View[[#This Row],[S]])</f>
        <v>1</v>
      </c>
    </row>
    <row r="17" spans="4:19" x14ac:dyDescent="0.25">
      <c r="D17" s="33" t="str">
        <f>_xlfn.XLOOKUP(View[[#This Row],[Id]],Opportunities[Id],Opportunities[status symbol])</f>
        <v>✓</v>
      </c>
      <c r="E17" s="39" t="str">
        <f>HYPERLINK(siteUrl&amp;"Lists/Opportunities/DispForm.aspx?ID="&amp;View[[#This Row],[Id]],_xlfn.XLOOKUP(View[[#This Row],[Id]],Opportunities[Id],Opportunities[Title]))</f>
        <v>Computational Linguistics</v>
      </c>
      <c r="F17" s="39" t="str">
        <f>HYPERLINK(siteUrl&amp;"Lists/Customers/DispForm.aspx?ID="&amp;_xlfn.XLOOKUP(_xlfn.XLOOKUP(View[[#This Row],[Id]],Opportunities[Id],Opportunities[CustomerId]),Customers[Id],Customers[Id]),_xlfn.XLOOKUP(_xlfn.XLOOKUP(View[[#This Row],[Id]],Opportunities[Id],Opportunities[CustomerId]),Customers[Id],Customers[Title]))</f>
        <v>LanguageTech Corp</v>
      </c>
      <c r="G17" s="7" t="str">
        <f>_xlfn.XLOOKUP(View[[#This Row],[Id]],Opportunities[Id],Opportunities[DisplayStage])</f>
        <v>3 - Proposal</v>
      </c>
      <c r="H17" s="2">
        <f>IF(pipelineType="Unweighted",_xlfn.XLOOKUP(View[[#This Row],[Id]],Opportunities[Id],Opportunities[Amount])/1000,_xlfn.XLOOKUP(View[[#This Row],[Id]],Opportunities[Id],Opportunities[Weighted])/1000)</f>
        <v>801.78899999999999</v>
      </c>
      <c r="I17" s="25">
        <f>_xlfn.XLOOKUP(View[[#This Row],[Id]],Opportunities[Id],Opportunities[Probability])</f>
        <v>0.32</v>
      </c>
      <c r="J17" s="38">
        <f>View[[#This Row],[Estmated Revenue]]</f>
        <v>256.57247999999998</v>
      </c>
      <c r="K17" s="4">
        <f>_xlfn.XLOOKUP(View[[#This Row],[Id]],Opportunities[Id],Opportunities[Close])</f>
        <v>45995.333333333336</v>
      </c>
      <c r="L17" s="34" t="str">
        <f>IF(_xlfn.XLOOKUP(View[[#This Row],[Id]],Opportunities[Id],Opportunities[Comment Log])=0,"",_xlfn.XLOOKUP(View[[#This Row],[Id]],Opportunities[Id],Opportunities[Comment Log]))</f>
        <v/>
      </c>
      <c r="M17">
        <v>6</v>
      </c>
      <c r="N17" s="6">
        <f ca="1">_xlfn.XLOOKUP(View[[#This Row],[Id]],Opportunities[Id],Opportunities[NextMilestoneDate])-TODAY()</f>
        <v>70.291666666664241</v>
      </c>
      <c r="O1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7" s="2">
        <f>_xlfn.XLOOKUP(View[[#This Row],[Id]],Opportunities[Id],Opportunities[Weighted])/1000</f>
        <v>256.57247999999998</v>
      </c>
      <c r="Q17" s="8">
        <f>_xlfn.XLOOKUP(View[[#This Row],[Id]],Opportunities[Id],Opportunities[Amount])/1000</f>
        <v>801.78899999999999</v>
      </c>
      <c r="R17" t="b">
        <f>View[[#This Row],[Win Probability]]&gt;=probabilityThreshold</f>
        <v>0</v>
      </c>
      <c r="S17">
        <f>SUBTOTAL(103, View[[#This Row],[S]])</f>
        <v>1</v>
      </c>
    </row>
    <row r="18" spans="4:19" x14ac:dyDescent="0.25">
      <c r="D18" s="33" t="str">
        <f>_xlfn.XLOOKUP(View[[#This Row],[Id]],Opportunities[Id],Opportunities[status symbol])</f>
        <v>⮾</v>
      </c>
      <c r="E18" s="39" t="str">
        <f>HYPERLINK(siteUrl&amp;"Lists/Opportunities/DispForm.aspx?ID="&amp;View[[#This Row],[Id]],_xlfn.XLOOKUP(View[[#This Row],[Id]],Opportunities[Id],Opportunities[Title]))</f>
        <v>Electrochemistry</v>
      </c>
      <c r="F18" s="39" t="str">
        <f>HYPERLINK(siteUrl&amp;"Lists/Customers/DispForm.aspx?ID="&amp;_xlfn.XLOOKUP(_xlfn.XLOOKUP(View[[#This Row],[Id]],Opportunities[Id],Opportunities[CustomerId]),Customers[Id],Customers[Id]),_xlfn.XLOOKUP(_xlfn.XLOOKUP(View[[#This Row],[Id]],Opportunities[Id],Opportunities[CustomerId]),Customers[Id],Customers[Title]))</f>
        <v>HydrogenFuel Systems</v>
      </c>
      <c r="G18" s="7" t="str">
        <f>_xlfn.XLOOKUP(View[[#This Row],[Id]],Opportunities[Id],Opportunities[DisplayStage])</f>
        <v>5 - Project Execution</v>
      </c>
      <c r="H18" s="2">
        <f>IF(pipelineType="Unweighted",_xlfn.XLOOKUP(View[[#This Row],[Id]],Opportunities[Id],Opportunities[Amount])/1000,_xlfn.XLOOKUP(View[[#This Row],[Id]],Opportunities[Id],Opportunities[Weighted])/1000)</f>
        <v>1392.377</v>
      </c>
      <c r="I18" s="25">
        <f>_xlfn.XLOOKUP(View[[#This Row],[Id]],Opportunities[Id],Opportunities[Probability])</f>
        <v>0.92</v>
      </c>
      <c r="J18" s="38">
        <f>View[[#This Row],[Estmated Revenue]]</f>
        <v>1280.98684</v>
      </c>
      <c r="K18" s="4">
        <f>_xlfn.XLOOKUP(View[[#This Row],[Id]],Opportunities[Id],Opportunities[Close])</f>
        <v>46009.333333333336</v>
      </c>
      <c r="L18" s="34" t="str">
        <f>IF(_xlfn.XLOOKUP(View[[#This Row],[Id]],Opportunities[Id],Opportunities[Comment Log])=0,"",_xlfn.XLOOKUP(View[[#This Row],[Id]],Opportunities[Id],Opportunities[Comment Log]))</f>
        <v/>
      </c>
      <c r="M18">
        <v>32</v>
      </c>
      <c r="N18" s="6">
        <f ca="1">_xlfn.XLOOKUP(View[[#This Row],[Id]],Opportunities[Id],Opportunities[NextMilestoneDate])-TODAY()</f>
        <v>34.291666666664241</v>
      </c>
      <c r="O1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P18" s="2">
        <f>_xlfn.XLOOKUP(View[[#This Row],[Id]],Opportunities[Id],Opportunities[Weighted])/1000</f>
        <v>1280.98684</v>
      </c>
      <c r="Q18" s="8">
        <f>_xlfn.XLOOKUP(View[[#This Row],[Id]],Opportunities[Id],Opportunities[Amount])/1000</f>
        <v>1392.377</v>
      </c>
      <c r="R18" t="b">
        <f>View[[#This Row],[Win Probability]]&gt;=probabilityThreshold</f>
        <v>1</v>
      </c>
      <c r="S18">
        <f>SUBTOTAL(103, View[[#This Row],[S]])</f>
        <v>1</v>
      </c>
    </row>
    <row r="19" spans="4:19" x14ac:dyDescent="0.25">
      <c r="D19" s="33" t="str">
        <f>_xlfn.XLOOKUP(View[[#This Row],[Id]],Opportunities[Id],Opportunities[status symbol])</f>
        <v>✓</v>
      </c>
      <c r="E19" s="39" t="str">
        <f>HYPERLINK(siteUrl&amp;"Lists/Opportunities/DispForm.aspx?ID="&amp;View[[#This Row],[Id]],_xlfn.XLOOKUP(View[[#This Row],[Id]],Opportunities[Id],Opportunities[Title]))</f>
        <v>Medical Informatics</v>
      </c>
      <c r="F19" s="39" t="str">
        <f>HYPERLINK(siteUrl&amp;"Lists/Customers/DispForm.aspx?ID="&amp;_xlfn.XLOOKUP(_xlfn.XLOOKUP(View[[#This Row],[Id]],Opportunities[Id],Opportunities[CustomerId]),Customers[Id],Customers[Id]),_xlfn.XLOOKUP(_xlfn.XLOOKUP(View[[#This Row],[Id]],Opportunities[Id],Opportunities[CustomerId]),Customers[Id],Customers[Title]))</f>
        <v>PredictiveHealth AI</v>
      </c>
      <c r="G19" s="7" t="str">
        <f>_xlfn.XLOOKUP(View[[#This Row],[Id]],Opportunities[Id],Opportunities[DisplayStage])</f>
        <v>4 - Negotiation</v>
      </c>
      <c r="H19" s="2">
        <f>IF(pipelineType="Unweighted",_xlfn.XLOOKUP(View[[#This Row],[Id]],Opportunities[Id],Opportunities[Amount])/1000,_xlfn.XLOOKUP(View[[#This Row],[Id]],Opportunities[Id],Opportunities[Weighted])/1000)</f>
        <v>1221.0940000000001</v>
      </c>
      <c r="I19" s="25">
        <f>_xlfn.XLOOKUP(View[[#This Row],[Id]],Opportunities[Id],Opportunities[Probability])</f>
        <v>0.84</v>
      </c>
      <c r="J19" s="38">
        <f>View[[#This Row],[Estmated Revenue]]</f>
        <v>1025.7189599999999</v>
      </c>
      <c r="K19" s="4">
        <f>_xlfn.XLOOKUP(View[[#This Row],[Id]],Opportunities[Id],Opportunities[Close])</f>
        <v>46047.333333333336</v>
      </c>
      <c r="L19" s="34" t="str">
        <f>IF(_xlfn.XLOOKUP(View[[#This Row],[Id]],Opportunities[Id],Opportunities[Comment Log])=0,"",_xlfn.XLOOKUP(View[[#This Row],[Id]],Opportunities[Id],Opportunities[Comment Log]))</f>
        <v/>
      </c>
      <c r="M19">
        <v>9</v>
      </c>
      <c r="N19" s="6">
        <f ca="1">_xlfn.XLOOKUP(View[[#This Row],[Id]],Opportunities[Id],Opportunities[NextMilestoneDate])-TODAY()</f>
        <v>43.291666666664241</v>
      </c>
      <c r="O1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19" s="2">
        <f>_xlfn.XLOOKUP(View[[#This Row],[Id]],Opportunities[Id],Opportunities[Weighted])/1000</f>
        <v>1025.7189599999999</v>
      </c>
      <c r="Q19" s="8">
        <f>_xlfn.XLOOKUP(View[[#This Row],[Id]],Opportunities[Id],Opportunities[Amount])/1000</f>
        <v>1221.0940000000001</v>
      </c>
      <c r="R19" t="b">
        <f>View[[#This Row],[Win Probability]]&gt;=probabilityThreshold</f>
        <v>1</v>
      </c>
      <c r="S19">
        <f>SUBTOTAL(103, View[[#This Row],[S]])</f>
        <v>1</v>
      </c>
    </row>
    <row r="20" spans="4:19" x14ac:dyDescent="0.25">
      <c r="D20" s="33" t="str">
        <f>_xlfn.XLOOKUP(View[[#This Row],[Id]],Opportunities[Id],Opportunities[status symbol])</f>
        <v>✓</v>
      </c>
      <c r="E20" s="39" t="str">
        <f>HYPERLINK(siteUrl&amp;"Lists/Opportunities/DispForm.aspx?ID="&amp;View[[#This Row],[Id]],_xlfn.XLOOKUP(View[[#This Row],[Id]],Opportunities[Id],Opportunities[Title]))</f>
        <v>Space Materials</v>
      </c>
      <c r="F20" s="39" t="str">
        <f>HYPERLINK(siteUrl&amp;"Lists/Customers/DispForm.aspx?ID="&amp;_xlfn.XLOOKUP(_xlfn.XLOOKUP(View[[#This Row],[Id]],Opportunities[Id],Opportunities[CustomerId]),Customers[Id],Customers[Id]),_xlfn.XLOOKUP(_xlfn.XLOOKUP(View[[#This Row],[Id]],Opportunities[Id],Opportunities[CustomerId]),Customers[Id],Customers[Title]))</f>
        <v>SpaceTech Dynamics</v>
      </c>
      <c r="G20" s="7" t="str">
        <f>_xlfn.XLOOKUP(View[[#This Row],[Id]],Opportunities[Id],Opportunities[DisplayStage])</f>
        <v>2 - Nurturing</v>
      </c>
      <c r="H20" s="2">
        <f>IF(pipelineType="Unweighted",_xlfn.XLOOKUP(View[[#This Row],[Id]],Opportunities[Id],Opportunities[Amount])/1000,_xlfn.XLOOKUP(View[[#This Row],[Id]],Opportunities[Id],Opportunities[Weighted])/1000)</f>
        <v>1765.4079999999999</v>
      </c>
      <c r="I20" s="25">
        <f>_xlfn.XLOOKUP(View[[#This Row],[Id]],Opportunities[Id],Opportunities[Probability])</f>
        <v>0.72</v>
      </c>
      <c r="J20" s="38">
        <f>View[[#This Row],[Estmated Revenue]]</f>
        <v>1271.09376</v>
      </c>
      <c r="K20" s="4">
        <f>_xlfn.XLOOKUP(View[[#This Row],[Id]],Opportunities[Id],Opportunities[Close])</f>
        <v>46052.333333333336</v>
      </c>
      <c r="L20" s="34" t="str">
        <f>IF(_xlfn.XLOOKUP(View[[#This Row],[Id]],Opportunities[Id],Opportunities[Comment Log])=0,"",_xlfn.XLOOKUP(View[[#This Row],[Id]],Opportunities[Id],Opportunities[Comment Log]))</f>
        <v/>
      </c>
      <c r="M20">
        <v>15</v>
      </c>
      <c r="N20" s="6">
        <f ca="1">_xlfn.XLOOKUP(View[[#This Row],[Id]],Opportunities[Id],Opportunities[NextMilestoneDate])-TODAY()</f>
        <v>1.2916666666642413</v>
      </c>
      <c r="O2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0" s="2">
        <f>_xlfn.XLOOKUP(View[[#This Row],[Id]],Opportunities[Id],Opportunities[Weighted])/1000</f>
        <v>1271.09376</v>
      </c>
      <c r="Q20" s="8">
        <f>_xlfn.XLOOKUP(View[[#This Row],[Id]],Opportunities[Id],Opportunities[Amount])/1000</f>
        <v>1765.4079999999999</v>
      </c>
      <c r="R20" t="b">
        <f>View[[#This Row],[Win Probability]]&gt;=probabilityThreshold</f>
        <v>0</v>
      </c>
      <c r="S20">
        <f>SUBTOTAL(103, View[[#This Row],[S]])</f>
        <v>1</v>
      </c>
    </row>
    <row r="21" spans="4:19" x14ac:dyDescent="0.25">
      <c r="D21" s="33" t="str">
        <f>_xlfn.XLOOKUP(View[[#This Row],[Id]],Opportunities[Id],Opportunities[status symbol])</f>
        <v>✓</v>
      </c>
      <c r="E21" s="39" t="str">
        <f>HYPERLINK(siteUrl&amp;"Lists/Opportunities/DispForm.aspx?ID="&amp;View[[#This Row],[Id]],_xlfn.XLOOKUP(View[[#This Row],[Id]],Opportunities[Id],Opportunities[Title]))</f>
        <v>Novel Cryoprotectants</v>
      </c>
      <c r="F21"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21" s="7" t="str">
        <f>_xlfn.XLOOKUP(View[[#This Row],[Id]],Opportunities[Id],Opportunities[DisplayStage])</f>
        <v>1 - Lead Qualification</v>
      </c>
      <c r="H21" s="2">
        <f>IF(pipelineType="Unweighted",_xlfn.XLOOKUP(View[[#This Row],[Id]],Opportunities[Id],Opportunities[Amount])/1000,_xlfn.XLOOKUP(View[[#This Row],[Id]],Opportunities[Id],Opportunities[Weighted])/1000)</f>
        <v>1378.251</v>
      </c>
      <c r="I21" s="25">
        <f>_xlfn.XLOOKUP(View[[#This Row],[Id]],Opportunities[Id],Opportunities[Probability])</f>
        <v>0.18</v>
      </c>
      <c r="J21" s="38">
        <f>View[[#This Row],[Estmated Revenue]]</f>
        <v>248.08517999999998</v>
      </c>
      <c r="K21" s="4">
        <f>_xlfn.XLOOKUP(View[[#This Row],[Id]],Opportunities[Id],Opportunities[Close])</f>
        <v>46088.333333333336</v>
      </c>
      <c r="L21" s="34" t="str">
        <f>IF(_xlfn.XLOOKUP(View[[#This Row],[Id]],Opportunities[Id],Opportunities[Comment Log])=0,"",_xlfn.XLOOKUP(View[[#This Row],[Id]],Opportunities[Id],Opportunities[Comment Log]))</f>
        <v/>
      </c>
      <c r="M21">
        <v>2</v>
      </c>
      <c r="N21" s="6">
        <f ca="1">_xlfn.XLOOKUP(View[[#This Row],[Id]],Opportunities[Id],Opportunities[NextMilestoneDate])-TODAY()</f>
        <v>14.291666666664241</v>
      </c>
      <c r="O2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1" s="2">
        <f>_xlfn.XLOOKUP(View[[#This Row],[Id]],Opportunities[Id],Opportunities[Weighted])/1000</f>
        <v>248.08517999999998</v>
      </c>
      <c r="Q21" s="2">
        <f>_xlfn.XLOOKUP(View[[#This Row],[Id]],Opportunities[Id],Opportunities[Amount])/1000</f>
        <v>1378.251</v>
      </c>
      <c r="R21" t="b">
        <f>View[[#This Row],[Win Probability]]&gt;=probabilityThreshold</f>
        <v>0</v>
      </c>
      <c r="S21">
        <f>SUBTOTAL(103, View[[#This Row],[S]])</f>
        <v>1</v>
      </c>
    </row>
    <row r="22" spans="4:19" x14ac:dyDescent="0.25">
      <c r="D22" s="33" t="str">
        <f>_xlfn.XLOOKUP(View[[#This Row],[Id]],Opportunities[Id],Opportunities[status symbol])</f>
        <v>✓</v>
      </c>
      <c r="E22" s="39" t="str">
        <f>HYPERLINK(siteUrl&amp;"Lists/Opportunities/DispForm.aspx?ID="&amp;View[[#This Row],[Id]],_xlfn.XLOOKUP(View[[#This Row],[Id]],Opportunities[Id],Opportunities[Title]))</f>
        <v>Biomedical Engineering</v>
      </c>
      <c r="F22" s="39" t="str">
        <f>HYPERLINK(siteUrl&amp;"Lists/Customers/DispForm.aspx?ID="&amp;_xlfn.XLOOKUP(_xlfn.XLOOKUP(View[[#This Row],[Id]],Opportunities[Id],Opportunities[CustomerId]),Customers[Id],Customers[Id]),_xlfn.XLOOKUP(_xlfn.XLOOKUP(View[[#This Row],[Id]],Opportunities[Id],Opportunities[CustomerId]),Customers[Id],Customers[Title]))</f>
        <v>NeuroInterface Technologies</v>
      </c>
      <c r="G22" s="7" t="str">
        <f>_xlfn.XLOOKUP(View[[#This Row],[Id]],Opportunities[Id],Opportunities[DisplayStage])</f>
        <v>1 - Lead Qualification</v>
      </c>
      <c r="H22" s="2">
        <f>IF(pipelineType="Unweighted",_xlfn.XLOOKUP(View[[#This Row],[Id]],Opportunities[Id],Opportunities[Amount])/1000,_xlfn.XLOOKUP(View[[#This Row],[Id]],Opportunities[Id],Opportunities[Weighted])/1000)</f>
        <v>1492.366</v>
      </c>
      <c r="I22" s="25">
        <f>_xlfn.XLOOKUP(View[[#This Row],[Id]],Opportunities[Id],Opportunities[Probability])</f>
        <v>0.05</v>
      </c>
      <c r="J22" s="38">
        <f>View[[#This Row],[Estmated Revenue]]</f>
        <v>74.618300000000005</v>
      </c>
      <c r="K22" s="4">
        <f>_xlfn.XLOOKUP(View[[#This Row],[Id]],Opportunities[Id],Opportunities[Close])</f>
        <v>46089.333333333336</v>
      </c>
      <c r="L22" s="34" t="str">
        <f>IF(_xlfn.XLOOKUP(View[[#This Row],[Id]],Opportunities[Id],Opportunities[Comment Log])=0,"",_xlfn.XLOOKUP(View[[#This Row],[Id]],Opportunities[Id],Opportunities[Comment Log]))</f>
        <v/>
      </c>
      <c r="M22">
        <v>19</v>
      </c>
      <c r="N22" s="6">
        <f ca="1">_xlfn.XLOOKUP(View[[#This Row],[Id]],Opportunities[Id],Opportunities[NextMilestoneDate])-TODAY()</f>
        <v>4.2916666666642413</v>
      </c>
      <c r="O2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2" s="2">
        <f>_xlfn.XLOOKUP(View[[#This Row],[Id]],Opportunities[Id],Opportunities[Weighted])/1000</f>
        <v>74.618300000000005</v>
      </c>
      <c r="Q22" s="8">
        <f>_xlfn.XLOOKUP(View[[#This Row],[Id]],Opportunities[Id],Opportunities[Amount])/1000</f>
        <v>1492.366</v>
      </c>
      <c r="R22" t="b">
        <f>View[[#This Row],[Win Probability]]&gt;=probabilityThreshold</f>
        <v>0</v>
      </c>
      <c r="S22">
        <f>SUBTOTAL(103, View[[#This Row],[S]])</f>
        <v>1</v>
      </c>
    </row>
    <row r="23" spans="4:19" x14ac:dyDescent="0.25">
      <c r="D23" s="33" t="str">
        <f>_xlfn.XLOOKUP(View[[#This Row],[Id]],Opportunities[Id],Opportunities[status symbol])</f>
        <v>✓</v>
      </c>
      <c r="E23" s="39" t="str">
        <f>HYPERLINK(siteUrl&amp;"Lists/Opportunities/DispForm.aspx?ID="&amp;View[[#This Row],[Id]],_xlfn.XLOOKUP(View[[#This Row],[Id]],Opportunities[Id],Opportunities[Title]))</f>
        <v>Fluid Dynamics</v>
      </c>
      <c r="F23" s="39" t="str">
        <f>HYPERLINK(siteUrl&amp;"Lists/Customers/DispForm.aspx?ID="&amp;_xlfn.XLOOKUP(_xlfn.XLOOKUP(View[[#This Row],[Id]],Opportunities[Id],Opportunities[CustomerId]),Customers[Id],Customers[Id]),_xlfn.XLOOKUP(_xlfn.XLOOKUP(View[[#This Row],[Id]],Opportunities[Id],Opportunities[CustomerId]),Customers[Id],Customers[Title]))</f>
        <v>WindFlow Dynamics</v>
      </c>
      <c r="G23" s="7" t="str">
        <f>_xlfn.XLOOKUP(View[[#This Row],[Id]],Opportunities[Id],Opportunities[DisplayStage])</f>
        <v>2 - Nurturing</v>
      </c>
      <c r="H23" s="2">
        <f>IF(pipelineType="Unweighted",_xlfn.XLOOKUP(View[[#This Row],[Id]],Opportunities[Id],Opportunities[Amount])/1000,_xlfn.XLOOKUP(View[[#This Row],[Id]],Opportunities[Id],Opportunities[Weighted])/1000)</f>
        <v>918.40099999999995</v>
      </c>
      <c r="I23" s="25">
        <f>_xlfn.XLOOKUP(View[[#This Row],[Id]],Opportunities[Id],Opportunities[Probability])</f>
        <v>0.57999999999999996</v>
      </c>
      <c r="J23" s="38">
        <f>View[[#This Row],[Estmated Revenue]]</f>
        <v>532.67257999999993</v>
      </c>
      <c r="K23" s="4">
        <f>_xlfn.XLOOKUP(View[[#This Row],[Id]],Opportunities[Id],Opportunities[Close])</f>
        <v>46096.291666666664</v>
      </c>
      <c r="L23" s="34" t="str">
        <f>IF(_xlfn.XLOOKUP(View[[#This Row],[Id]],Opportunities[Id],Opportunities[Comment Log])=0,"",_xlfn.XLOOKUP(View[[#This Row],[Id]],Opportunities[Id],Opportunities[Comment Log]))</f>
        <v/>
      </c>
      <c r="M23">
        <v>17</v>
      </c>
      <c r="N23" s="6">
        <f ca="1">_xlfn.XLOOKUP(View[[#This Row],[Id]],Opportunities[Id],Opportunities[NextMilestoneDate])-TODAY()</f>
        <v>15.291666666664241</v>
      </c>
      <c r="O2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FY26-Q3</v>
      </c>
      <c r="P23" s="2">
        <f>_xlfn.XLOOKUP(View[[#This Row],[Id]],Opportunities[Id],Opportunities[Weighted])/1000</f>
        <v>532.67257999999993</v>
      </c>
      <c r="Q23" s="8">
        <f>_xlfn.XLOOKUP(View[[#This Row],[Id]],Opportunities[Id],Opportunities[Amount])/1000</f>
        <v>918.40099999999995</v>
      </c>
      <c r="R23" t="b">
        <f>View[[#This Row],[Win Probability]]&gt;=probabilityThreshold</f>
        <v>0</v>
      </c>
      <c r="S23">
        <f>SUBTOTAL(103, View[[#This Row],[S]])</f>
        <v>1</v>
      </c>
    </row>
    <row r="24" spans="4:19" x14ac:dyDescent="0.25">
      <c r="D24" s="33" t="str">
        <f>_xlfn.XLOOKUP(View[[#This Row],[Id]],Opportunities[Id],Opportunities[status symbol])</f>
        <v>✓</v>
      </c>
      <c r="E24" s="39" t="str">
        <f>HYPERLINK(siteUrl&amp;"Lists/Opportunities/DispForm.aspx?ID="&amp;View[[#This Row],[Id]],_xlfn.XLOOKUP(View[[#This Row],[Id]],Opportunities[Id],Opportunities[Title]))</f>
        <v>ML Threat Detection</v>
      </c>
      <c r="F24" s="39" t="str">
        <f>HYPERLINK(siteUrl&amp;"Lists/Customers/DispForm.aspx?ID="&amp;_xlfn.XLOOKUP(_xlfn.XLOOKUP(View[[#This Row],[Id]],Opportunities[Id],Opportunities[CustomerId]),Customers[Id],Customers[Id]),_xlfn.XLOOKUP(_xlfn.XLOOKUP(View[[#This Row],[Id]],Opportunities[Id],Opportunities[CustomerId]),Customers[Id],Customers[Title]))</f>
        <v>CyberSecure Systems</v>
      </c>
      <c r="G24" s="7" t="str">
        <f>_xlfn.XLOOKUP(View[[#This Row],[Id]],Opportunities[Id],Opportunities[DisplayStage])</f>
        <v>1 - Lead Qualification</v>
      </c>
      <c r="H24" s="2">
        <f>IF(pipelineType="Unweighted",_xlfn.XLOOKUP(View[[#This Row],[Id]],Opportunities[Id],Opportunities[Amount])/1000,_xlfn.XLOOKUP(View[[#This Row],[Id]],Opportunities[Id],Opportunities[Weighted])/1000)</f>
        <v>1169.952</v>
      </c>
      <c r="I24" s="25">
        <f>_xlfn.XLOOKUP(View[[#This Row],[Id]],Opportunities[Id],Opportunities[Probability])</f>
        <v>0.63</v>
      </c>
      <c r="J24" s="38">
        <f>View[[#This Row],[Estmated Revenue]]</f>
        <v>737.06975999999997</v>
      </c>
      <c r="K24" s="4">
        <f>_xlfn.XLOOKUP(View[[#This Row],[Id]],Opportunities[Id],Opportunities[Close])</f>
        <v>46130.291666666664</v>
      </c>
      <c r="L24" s="34" t="str">
        <f>IF(_xlfn.XLOOKUP(View[[#This Row],[Id]],Opportunities[Id],Opportunities[Comment Log])=0,"",_xlfn.XLOOKUP(View[[#This Row],[Id]],Opportunities[Id],Opportunities[Comment Log]))</f>
        <v/>
      </c>
      <c r="M24">
        <v>7</v>
      </c>
      <c r="N24" s="6">
        <f ca="1">_xlfn.XLOOKUP(View[[#This Row],[Id]],Opportunities[Id],Opportunities[NextMilestoneDate])-TODAY()</f>
        <v>73.291666666664241</v>
      </c>
      <c r="O2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4" s="2">
        <f>_xlfn.XLOOKUP(View[[#This Row],[Id]],Opportunities[Id],Opportunities[Weighted])/1000</f>
        <v>737.06975999999997</v>
      </c>
      <c r="Q24" s="8">
        <f>_xlfn.XLOOKUP(View[[#This Row],[Id]],Opportunities[Id],Opportunities[Amount])/1000</f>
        <v>1169.952</v>
      </c>
      <c r="R24" t="b">
        <f>View[[#This Row],[Win Probability]]&gt;=probabilityThreshold</f>
        <v>0</v>
      </c>
      <c r="S24">
        <f>SUBTOTAL(103, View[[#This Row],[S]])</f>
        <v>1</v>
      </c>
    </row>
    <row r="25" spans="4:19" x14ac:dyDescent="0.25">
      <c r="D25" s="33" t="str">
        <f>_xlfn.XLOOKUP(View[[#This Row],[Id]],Opportunities[Id],Opportunities[status symbol])</f>
        <v>⚠</v>
      </c>
      <c r="E25" s="39" t="str">
        <f>HYPERLINK(siteUrl&amp;"Lists/Opportunities/DispForm.aspx?ID="&amp;View[[#This Row],[Id]],_xlfn.XLOOKUP(View[[#This Row],[Id]],Opportunities[Id],Opportunities[Title]))</f>
        <v>Plasma Physics</v>
      </c>
      <c r="F25" s="39" t="str">
        <f>HYPERLINK(siteUrl&amp;"Lists/Customers/DispForm.aspx?ID="&amp;_xlfn.XLOOKUP(_xlfn.XLOOKUP(View[[#This Row],[Id]],Opportunities[Id],Opportunities[CustomerId]),Customers[Id],Customers[Id]),_xlfn.XLOOKUP(_xlfn.XLOOKUP(View[[#This Row],[Id]],Opportunities[Id],Opportunities[CustomerId]),Customers[Id],Customers[Title]))</f>
        <v>FusionTech Energy</v>
      </c>
      <c r="G25" s="7" t="str">
        <f>_xlfn.XLOOKUP(View[[#This Row],[Id]],Opportunities[Id],Opportunities[DisplayStage])</f>
        <v>1 - Lead Qualification</v>
      </c>
      <c r="H25" s="2">
        <f>IF(pipelineType="Unweighted",_xlfn.XLOOKUP(View[[#This Row],[Id]],Opportunities[Id],Opportunities[Amount])/1000,_xlfn.XLOOKUP(View[[#This Row],[Id]],Opportunities[Id],Opportunities[Weighted])/1000)</f>
        <v>864.89700000000005</v>
      </c>
      <c r="I25" s="25">
        <f>_xlfn.XLOOKUP(View[[#This Row],[Id]],Opportunities[Id],Opportunities[Probability])</f>
        <v>0.42</v>
      </c>
      <c r="J25" s="38">
        <f>View[[#This Row],[Estmated Revenue]]</f>
        <v>363.25673999999998</v>
      </c>
      <c r="K25" s="4">
        <f>_xlfn.XLOOKUP(View[[#This Row],[Id]],Opportunities[Id],Opportunities[Close])</f>
        <v>46135.291666666664</v>
      </c>
      <c r="L25" s="34" t="str">
        <f>IF(_xlfn.XLOOKUP(View[[#This Row],[Id]],Opportunities[Id],Opportunities[Comment Log])=0,"",_xlfn.XLOOKUP(View[[#This Row],[Id]],Opportunities[Id],Opportunities[Comment Log]))</f>
        <v/>
      </c>
      <c r="M25">
        <v>24</v>
      </c>
      <c r="N25" s="6">
        <f ca="1">_xlfn.XLOOKUP(View[[#This Row],[Id]],Opportunities[Id],Opportunities[NextMilestoneDate])-TODAY()</f>
        <v>72.291666666664241</v>
      </c>
      <c r="O2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5" s="2">
        <f>_xlfn.XLOOKUP(View[[#This Row],[Id]],Opportunities[Id],Opportunities[Weighted])/1000</f>
        <v>363.25673999999998</v>
      </c>
      <c r="Q25" s="8">
        <f>_xlfn.XLOOKUP(View[[#This Row],[Id]],Opportunities[Id],Opportunities[Amount])/1000</f>
        <v>864.89700000000005</v>
      </c>
      <c r="R25" t="b">
        <f>View[[#This Row],[Win Probability]]&gt;=probabilityThreshold</f>
        <v>0</v>
      </c>
      <c r="S25">
        <f>SUBTOTAL(103, View[[#This Row],[S]])</f>
        <v>1</v>
      </c>
    </row>
    <row r="26" spans="4:19" x14ac:dyDescent="0.25">
      <c r="D26" s="33" t="str">
        <f>_xlfn.XLOOKUP(View[[#This Row],[Id]],Opportunities[Id],Opportunities[status symbol])</f>
        <v>⚠</v>
      </c>
      <c r="E26" s="39" t="str">
        <f>HYPERLINK(siteUrl&amp;"Lists/Opportunities/DispForm.aspx?ID="&amp;View[[#This Row],[Id]],_xlfn.XLOOKUP(View[[#This Row],[Id]],Opportunities[Id],Opportunities[Title]))</f>
        <v>Laser-Material Interface</v>
      </c>
      <c r="F26" s="39" t="str">
        <f>HYPERLINK(siteUrl&amp;"Lists/Customers/DispForm.aspx?ID="&amp;_xlfn.XLOOKUP(_xlfn.XLOOKUP(View[[#This Row],[Id]],Opportunities[Id],Opportunities[CustomerId]),Customers[Id],Customers[Id]),_xlfn.XLOOKUP(_xlfn.XLOOKUP(View[[#This Row],[Id]],Opportunities[Id],Opportunities[CustomerId]),Customers[Id],Customers[Title]))</f>
        <v>EcoMaterials Corp</v>
      </c>
      <c r="G26" s="7" t="str">
        <f>_xlfn.XLOOKUP(View[[#This Row],[Id]],Opportunities[Id],Opportunities[DisplayStage])</f>
        <v>2 - Nurturing</v>
      </c>
      <c r="H26" s="2">
        <f>IF(pipelineType="Unweighted",_xlfn.XLOOKUP(View[[#This Row],[Id]],Opportunities[Id],Opportunities[Amount])/1000,_xlfn.XLOOKUP(View[[#This Row],[Id]],Opportunities[Id],Opportunities[Weighted])/1000)</f>
        <v>1458.569</v>
      </c>
      <c r="I26" s="25">
        <f>_xlfn.XLOOKUP(View[[#This Row],[Id]],Opportunities[Id],Opportunities[Probability])</f>
        <v>0.57999999999999996</v>
      </c>
      <c r="J26" s="38">
        <f>View[[#This Row],[Estmated Revenue]]</f>
        <v>845.97001999999986</v>
      </c>
      <c r="K26" s="4">
        <f>_xlfn.XLOOKUP(View[[#This Row],[Id]],Opportunities[Id],Opportunities[Close])</f>
        <v>46148.291666666664</v>
      </c>
      <c r="L26" s="34" t="str">
        <f>IF(_xlfn.XLOOKUP(View[[#This Row],[Id]],Opportunities[Id],Opportunities[Comment Log])=0,"",_xlfn.XLOOKUP(View[[#This Row],[Id]],Opportunities[Id],Opportunities[Comment Log]))</f>
        <v/>
      </c>
      <c r="M26">
        <v>25</v>
      </c>
      <c r="N26" s="6">
        <f ca="1">_xlfn.XLOOKUP(View[[#This Row],[Id]],Opportunities[Id],Opportunities[NextMilestoneDate])-TODAY()</f>
        <v>30.291666666664241</v>
      </c>
      <c r="O2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6" s="2">
        <f>_xlfn.XLOOKUP(View[[#This Row],[Id]],Opportunities[Id],Opportunities[Weighted])/1000</f>
        <v>845.97001999999986</v>
      </c>
      <c r="Q26" s="8">
        <f>_xlfn.XLOOKUP(View[[#This Row],[Id]],Opportunities[Id],Opportunities[Amount])/1000</f>
        <v>1458.569</v>
      </c>
      <c r="R26" t="b">
        <f>View[[#This Row],[Win Probability]]&gt;=probabilityThreshold</f>
        <v>0</v>
      </c>
      <c r="S26">
        <f>SUBTOTAL(103, View[[#This Row],[S]])</f>
        <v>1</v>
      </c>
    </row>
    <row r="27" spans="4:19" x14ac:dyDescent="0.25">
      <c r="D27" s="33" t="str">
        <f>_xlfn.XLOOKUP(View[[#This Row],[Id]],Opportunities[Id],Opportunities[status symbol])</f>
        <v>✓</v>
      </c>
      <c r="E27" s="39" t="str">
        <f>HYPERLINK(siteUrl&amp;"Lists/Opportunities/DispForm.aspx?ID="&amp;View[[#This Row],[Id]],_xlfn.XLOOKUP(View[[#This Row],[Id]],Opportunities[Id],Opportunities[Title]))</f>
        <v>Computer Vision</v>
      </c>
      <c r="F27" s="39" t="str">
        <f>HYPERLINK(siteUrl&amp;"Lists/Customers/DispForm.aspx?ID="&amp;_xlfn.XLOOKUP(_xlfn.XLOOKUP(View[[#This Row],[Id]],Opportunities[Id],Opportunities[CustomerId]),Customers[Id],Customers[Id]),_xlfn.XLOOKUP(_xlfn.XLOOKUP(View[[#This Row],[Id]],Opportunities[Id],Opportunities[CustomerId]),Customers[Id],Customers[Title]))</f>
        <v>RoboVision Technologies</v>
      </c>
      <c r="G27" s="7" t="str">
        <f>_xlfn.XLOOKUP(View[[#This Row],[Id]],Opportunities[Id],Opportunities[DisplayStage])</f>
        <v>6 - Closeout</v>
      </c>
      <c r="H27" s="2">
        <f>IF(pipelineType="Unweighted",_xlfn.XLOOKUP(View[[#This Row],[Id]],Opportunities[Id],Opportunities[Amount])/1000,_xlfn.XLOOKUP(View[[#This Row],[Id]],Opportunities[Id],Opportunities[Weighted])/1000)</f>
        <v>803.96500000000003</v>
      </c>
      <c r="I27" s="25">
        <f>_xlfn.XLOOKUP(View[[#This Row],[Id]],Opportunities[Id],Opportunities[Probability])</f>
        <v>0.99</v>
      </c>
      <c r="J27" s="38">
        <f>View[[#This Row],[Estmated Revenue]]</f>
        <v>795.92534999999998</v>
      </c>
      <c r="K27" s="4">
        <f>_xlfn.XLOOKUP(View[[#This Row],[Id]],Opportunities[Id],Opportunities[Close])</f>
        <v>46159.291666666664</v>
      </c>
      <c r="L27" s="34" t="str">
        <f>IF(_xlfn.XLOOKUP(View[[#This Row],[Id]],Opportunities[Id],Opportunities[Comment Log])=0,"",_xlfn.XLOOKUP(View[[#This Row],[Id]],Opportunities[Id],Opportunities[Comment Log]))</f>
        <v/>
      </c>
      <c r="M27">
        <v>20</v>
      </c>
      <c r="N27" s="6">
        <f ca="1">_xlfn.XLOOKUP(View[[#This Row],[Id]],Opportunities[Id],Opportunities[NextMilestoneDate])-TODAY()</f>
        <v>12.291666666664241</v>
      </c>
      <c r="O2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7" s="2">
        <f>_xlfn.XLOOKUP(View[[#This Row],[Id]],Opportunities[Id],Opportunities[Weighted])/1000</f>
        <v>795.92534999999998</v>
      </c>
      <c r="Q27" s="8">
        <f>_xlfn.XLOOKUP(View[[#This Row],[Id]],Opportunities[Id],Opportunities[Amount])/1000</f>
        <v>803.96500000000003</v>
      </c>
      <c r="R27" t="b">
        <f>View[[#This Row],[Win Probability]]&gt;=probabilityThreshold</f>
        <v>1</v>
      </c>
      <c r="S27">
        <f>SUBTOTAL(103, View[[#This Row],[S]])</f>
        <v>1</v>
      </c>
    </row>
    <row r="28" spans="4:19" x14ac:dyDescent="0.25">
      <c r="D28" s="33" t="str">
        <f>_xlfn.XLOOKUP(View[[#This Row],[Id]],Opportunities[Id],Opportunities[status symbol])</f>
        <v>✓</v>
      </c>
      <c r="E28" s="39" t="str">
        <f>HYPERLINK(siteUrl&amp;"Lists/Opportunities/DispForm.aspx?ID="&amp;View[[#This Row],[Id]],_xlfn.XLOOKUP(View[[#This Row],[Id]],Opportunities[Id],Opportunities[Title]))</f>
        <v>Perovskite Solar Cell Research</v>
      </c>
      <c r="F28" s="39" t="str">
        <f>HYPERLINK(siteUrl&amp;"Lists/Customers/DispForm.aspx?ID="&amp;_xlfn.XLOOKUP(_xlfn.XLOOKUP(View[[#This Row],[Id]],Opportunities[Id],Opportunities[CustomerId]),Customers[Id],Customers[Id]),_xlfn.XLOOKUP(_xlfn.XLOOKUP(View[[#This Row],[Id]],Opportunities[Id],Opportunities[CustomerId]),Customers[Id],Customers[Title]))</f>
        <v>SolarMax Innovations</v>
      </c>
      <c r="G28" s="7" t="str">
        <f>_xlfn.XLOOKUP(View[[#This Row],[Id]],Opportunities[Id],Opportunities[DisplayStage])</f>
        <v>1 - Lead Qualification</v>
      </c>
      <c r="H28" s="2">
        <f>IF(pipelineType="Unweighted",_xlfn.XLOOKUP(View[[#This Row],[Id]],Opportunities[Id],Opportunities[Amount])/1000,_xlfn.XLOOKUP(View[[#This Row],[Id]],Opportunities[Id],Opportunities[Weighted])/1000)</f>
        <v>845.875</v>
      </c>
      <c r="I28" s="25">
        <f>_xlfn.XLOOKUP(View[[#This Row],[Id]],Opportunities[Id],Opportunities[Probability])</f>
        <v>0.15</v>
      </c>
      <c r="J28" s="38">
        <f>View[[#This Row],[Estmated Revenue]]</f>
        <v>126.88124999999999</v>
      </c>
      <c r="K28" s="4">
        <f>_xlfn.XLOOKUP(View[[#This Row],[Id]],Opportunities[Id],Opportunities[Close])</f>
        <v>46173.291666666664</v>
      </c>
      <c r="L28" s="34" t="str">
        <f>IF(_xlfn.XLOOKUP(View[[#This Row],[Id]],Opportunities[Id],Opportunities[Comment Log])=0,"",_xlfn.XLOOKUP(View[[#This Row],[Id]],Opportunities[Id],Opportunities[Comment Log]))</f>
        <v/>
      </c>
      <c r="M28">
        <v>4</v>
      </c>
      <c r="N28" s="6">
        <f ca="1">_xlfn.XLOOKUP(View[[#This Row],[Id]],Opportunities[Id],Opportunities[NextMilestoneDate])-TODAY()</f>
        <v>60.291666666664241</v>
      </c>
      <c r="O2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8" s="2">
        <f>_xlfn.XLOOKUP(View[[#This Row],[Id]],Opportunities[Id],Opportunities[Weighted])/1000</f>
        <v>126.88124999999999</v>
      </c>
      <c r="Q28" s="8">
        <f>_xlfn.XLOOKUP(View[[#This Row],[Id]],Opportunities[Id],Opportunities[Amount])/1000</f>
        <v>845.875</v>
      </c>
      <c r="R28" t="b">
        <f>View[[#This Row],[Win Probability]]&gt;=probabilityThreshold</f>
        <v>0</v>
      </c>
      <c r="S28">
        <f>SUBTOTAL(103, View[[#This Row],[S]])</f>
        <v>1</v>
      </c>
    </row>
    <row r="29" spans="4:19" x14ac:dyDescent="0.25">
      <c r="D29" s="33" t="str">
        <f>_xlfn.XLOOKUP(View[[#This Row],[Id]],Opportunities[Id],Opportunities[status symbol])</f>
        <v>✓</v>
      </c>
      <c r="E29" s="39" t="str">
        <f>HYPERLINK(siteUrl&amp;"Lists/Opportunities/DispForm.aspx?ID="&amp;View[[#This Row],[Id]],_xlfn.XLOOKUP(View[[#This Row],[Id]],Opportunities[Id],Opportunities[Title]))</f>
        <v>Population Genomics</v>
      </c>
      <c r="F29"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29" s="7" t="str">
        <f>_xlfn.XLOOKUP(View[[#This Row],[Id]],Opportunities[Id],Opportunities[DisplayStage])</f>
        <v>1 - Lead Qualification</v>
      </c>
      <c r="H29" s="2">
        <f>IF(pipelineType="Unweighted",_xlfn.XLOOKUP(View[[#This Row],[Id]],Opportunities[Id],Opportunities[Amount])/1000,_xlfn.XLOOKUP(View[[#This Row],[Id]],Opportunities[Id],Opportunities[Weighted])/1000)</f>
        <v>283.29500000000002</v>
      </c>
      <c r="I29" s="25">
        <f>_xlfn.XLOOKUP(View[[#This Row],[Id]],Opportunities[Id],Opportunities[Probability])</f>
        <v>0.11</v>
      </c>
      <c r="J29" s="38">
        <f>View[[#This Row],[Estmated Revenue]]</f>
        <v>31.16245</v>
      </c>
      <c r="K29" s="4">
        <f>_xlfn.XLOOKUP(View[[#This Row],[Id]],Opportunities[Id],Opportunities[Close])</f>
        <v>46176.291666666664</v>
      </c>
      <c r="L29" s="34" t="str">
        <f>IF(_xlfn.XLOOKUP(View[[#This Row],[Id]],Opportunities[Id],Opportunities[Comment Log])=0,"",_xlfn.XLOOKUP(View[[#This Row],[Id]],Opportunities[Id],Opportunities[Comment Log]))</f>
        <v/>
      </c>
      <c r="M29">
        <v>3</v>
      </c>
      <c r="N29" s="6">
        <f ca="1">_xlfn.XLOOKUP(View[[#This Row],[Id]],Opportunities[Id],Opportunities[NextMilestoneDate])-TODAY()</f>
        <v>85.291666666664241</v>
      </c>
      <c r="O2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29" s="2">
        <f>_xlfn.XLOOKUP(View[[#This Row],[Id]],Opportunities[Id],Opportunities[Weighted])/1000</f>
        <v>31.16245</v>
      </c>
      <c r="Q29" s="8">
        <f>_xlfn.XLOOKUP(View[[#This Row],[Id]],Opportunities[Id],Opportunities[Amount])/1000</f>
        <v>283.29500000000002</v>
      </c>
      <c r="R29" t="b">
        <f>View[[#This Row],[Win Probability]]&gt;=probabilityThreshold</f>
        <v>0</v>
      </c>
      <c r="S29">
        <f>SUBTOTAL(103, View[[#This Row],[S]])</f>
        <v>1</v>
      </c>
    </row>
    <row r="30" spans="4:19" x14ac:dyDescent="0.25">
      <c r="D30" s="33" t="str">
        <f>_xlfn.XLOOKUP(View[[#This Row],[Id]],Opportunities[Id],Opportunities[status symbol])</f>
        <v>⚠</v>
      </c>
      <c r="E30" s="39" t="str">
        <f>HYPERLINK(siteUrl&amp;"Lists/Opportunities/DispForm.aspx?ID="&amp;View[[#This Row],[Id]],_xlfn.XLOOKUP(View[[#This Row],[Id]],Opportunities[Id],Opportunities[Title]))</f>
        <v>AI Protein Folding</v>
      </c>
      <c r="F30" s="39" t="str">
        <f>HYPERLINK(siteUrl&amp;"Lists/Customers/DispForm.aspx?ID="&amp;_xlfn.XLOOKUP(_xlfn.XLOOKUP(View[[#This Row],[Id]],Opportunities[Id],Opportunities[CustomerId]),Customers[Id],Customers[Id]),_xlfn.XLOOKUP(_xlfn.XLOOKUP(View[[#This Row],[Id]],Opportunities[Id],Opportunities[CustomerId]),Customers[Id],Customers[Title]))</f>
        <v>NeuralPath Therapeutics</v>
      </c>
      <c r="G30" s="7" t="str">
        <f>_xlfn.XLOOKUP(View[[#This Row],[Id]],Opportunities[Id],Opportunities[DisplayStage])</f>
        <v>3 - Proposal</v>
      </c>
      <c r="H30" s="2">
        <f>IF(pipelineType="Unweighted",_xlfn.XLOOKUP(View[[#This Row],[Id]],Opportunities[Id],Opportunities[Amount])/1000,_xlfn.XLOOKUP(View[[#This Row],[Id]],Opportunities[Id],Opportunities[Weighted])/1000)</f>
        <v>469.30799999999999</v>
      </c>
      <c r="I30" s="25">
        <f>_xlfn.XLOOKUP(View[[#This Row],[Id]],Opportunities[Id],Opportunities[Probability])</f>
        <v>0.65</v>
      </c>
      <c r="J30" s="38">
        <f>View[[#This Row],[Estmated Revenue]]</f>
        <v>305.05020000000002</v>
      </c>
      <c r="K30" s="4">
        <f>_xlfn.XLOOKUP(View[[#This Row],[Id]],Opportunities[Id],Opportunities[Close])</f>
        <v>46187.291666666664</v>
      </c>
      <c r="L30" s="34" t="str">
        <f>IF(_xlfn.XLOOKUP(View[[#This Row],[Id]],Opportunities[Id],Opportunities[Comment Log])=0,"",_xlfn.XLOOKUP(View[[#This Row],[Id]],Opportunities[Id],Opportunities[Comment Log]))</f>
        <v/>
      </c>
      <c r="M30">
        <v>16</v>
      </c>
      <c r="N30" s="6">
        <f ca="1">_xlfn.XLOOKUP(View[[#This Row],[Id]],Opportunities[Id],Opportunities[NextMilestoneDate])-TODAY()</f>
        <v>1.2916666666642413</v>
      </c>
      <c r="O3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30" s="2">
        <f>_xlfn.XLOOKUP(View[[#This Row],[Id]],Opportunities[Id],Opportunities[Weighted])/1000</f>
        <v>305.05020000000002</v>
      </c>
      <c r="Q30" s="8">
        <f>_xlfn.XLOOKUP(View[[#This Row],[Id]],Opportunities[Id],Opportunities[Amount])/1000</f>
        <v>469.30799999999999</v>
      </c>
      <c r="R30" t="b">
        <f>View[[#This Row],[Win Probability]]&gt;=probabilityThreshold</f>
        <v>0</v>
      </c>
      <c r="S30">
        <f>SUBTOTAL(103, View[[#This Row],[S]])</f>
        <v>1</v>
      </c>
    </row>
    <row r="31" spans="4:19" x14ac:dyDescent="0.25">
      <c r="D31" s="33" t="str">
        <f>_xlfn.XLOOKUP(View[[#This Row],[Id]],Opportunities[Id],Opportunities[status symbol])</f>
        <v>⚠</v>
      </c>
      <c r="E31" s="39" t="str">
        <f>HYPERLINK(siteUrl&amp;"Lists/Opportunities/DispForm.aspx?ID="&amp;View[[#This Row],[Id]],_xlfn.XLOOKUP(View[[#This Row],[Id]],Opportunities[Id],Opportunities[Title]))</f>
        <v>Polymer Chemistry</v>
      </c>
      <c r="F31" s="39" t="str">
        <f>HYPERLINK(siteUrl&amp;"Lists/Customers/DispForm.aspx?ID="&amp;_xlfn.XLOOKUP(_xlfn.XLOOKUP(View[[#This Row],[Id]],Opportunities[Id],Opportunities[CustomerId]),Customers[Id],Customers[Id]),_xlfn.XLOOKUP(_xlfn.XLOOKUP(View[[#This Row],[Id]],Opportunities[Id],Opportunities[CustomerId]),Customers[Id],Customers[Title]))</f>
        <v>EcoMaterials Corp</v>
      </c>
      <c r="G31" s="7" t="str">
        <f>_xlfn.XLOOKUP(View[[#This Row],[Id]],Opportunities[Id],Opportunities[DisplayStage])</f>
        <v>1 - Lead Qualification</v>
      </c>
      <c r="H31" s="2">
        <f>IF(pipelineType="Unweighted",_xlfn.XLOOKUP(View[[#This Row],[Id]],Opportunities[Id],Opportunities[Amount])/1000,_xlfn.XLOOKUP(View[[#This Row],[Id]],Opportunities[Id],Opportunities[Weighted])/1000)</f>
        <v>930.57500000000005</v>
      </c>
      <c r="I31" s="25">
        <f>_xlfn.XLOOKUP(View[[#This Row],[Id]],Opportunities[Id],Opportunities[Probability])</f>
        <v>0.23</v>
      </c>
      <c r="J31" s="38">
        <f>View[[#This Row],[Estmated Revenue]]</f>
        <v>214.03225</v>
      </c>
      <c r="K31" s="4">
        <f>_xlfn.XLOOKUP(View[[#This Row],[Id]],Opportunities[Id],Opportunities[Close])</f>
        <v>46203.291666666664</v>
      </c>
      <c r="L31" s="34" t="str">
        <f>IF(_xlfn.XLOOKUP(View[[#This Row],[Id]],Opportunities[Id],Opportunities[Comment Log])=0,"",_xlfn.XLOOKUP(View[[#This Row],[Id]],Opportunities[Id],Opportunities[Comment Log]))</f>
        <v/>
      </c>
      <c r="M31">
        <v>26</v>
      </c>
      <c r="N31" s="6">
        <f ca="1">_xlfn.XLOOKUP(View[[#This Row],[Id]],Opportunities[Id],Opportunities[NextMilestoneDate])-TODAY()</f>
        <v>27.291666666664241</v>
      </c>
      <c r="O3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FY26-Q4</v>
      </c>
      <c r="P31" s="2">
        <f>_xlfn.XLOOKUP(View[[#This Row],[Id]],Opportunities[Id],Opportunities[Weighted])/1000</f>
        <v>214.03225</v>
      </c>
      <c r="Q31" s="8">
        <f>_xlfn.XLOOKUP(View[[#This Row],[Id]],Opportunities[Id],Opportunities[Amount])/1000</f>
        <v>930.57500000000005</v>
      </c>
      <c r="R31" t="b">
        <f>View[[#This Row],[Win Probability]]&gt;=probabilityThreshold</f>
        <v>0</v>
      </c>
      <c r="S31">
        <f>SUBTOTAL(103, View[[#This Row],[S]])</f>
        <v>1</v>
      </c>
    </row>
    <row r="32" spans="4:19" x14ac:dyDescent="0.25">
      <c r="D32" s="33" t="str">
        <f>_xlfn.XLOOKUP(View[[#This Row],[Id]],Opportunities[Id],Opportunities[status symbol])</f>
        <v>✓</v>
      </c>
      <c r="E32" s="39" t="str">
        <f>HYPERLINK(siteUrl&amp;"Lists/Opportunities/DispForm.aspx?ID="&amp;View[[#This Row],[Id]],_xlfn.XLOOKUP(View[[#This Row],[Id]],Opportunities[Id],Opportunities[Title]))</f>
        <v>Nanomaterial Characterization</v>
      </c>
      <c r="F32" s="39" t="str">
        <f>HYPERLINK(siteUrl&amp;"Lists/Customers/DispForm.aspx?ID="&amp;_xlfn.XLOOKUP(_xlfn.XLOOKUP(View[[#This Row],[Id]],Opportunities[Id],Opportunities[CustomerId]),Customers[Id],Customers[Id]),_xlfn.XLOOKUP(_xlfn.XLOOKUP(View[[#This Row],[Id]],Opportunities[Id],Opportunities[CustomerId]),Customers[Id],Customers[Title]))</f>
        <v>NanoMaterials Unlimited</v>
      </c>
      <c r="G32" s="7" t="str">
        <f>_xlfn.XLOOKUP(View[[#This Row],[Id]],Opportunities[Id],Opportunities[DisplayStage])</f>
        <v>1 - Lead Qualification</v>
      </c>
      <c r="H32" s="2">
        <f>IF(pipelineType="Unweighted",_xlfn.XLOOKUP(View[[#This Row],[Id]],Opportunities[Id],Opportunities[Amount])/1000,_xlfn.XLOOKUP(View[[#This Row],[Id]],Opportunities[Id],Opportunities[Weighted])/1000)</f>
        <v>800.88800000000003</v>
      </c>
      <c r="I32" s="25">
        <f>_xlfn.XLOOKUP(View[[#This Row],[Id]],Opportunities[Id],Opportunities[Probability])</f>
        <v>0.1</v>
      </c>
      <c r="J32" s="38">
        <f>View[[#This Row],[Estmated Revenue]]</f>
        <v>80.088800000000006</v>
      </c>
      <c r="K32" s="4">
        <f>_xlfn.XLOOKUP(View[[#This Row],[Id]],Opportunities[Id],Opportunities[Close])</f>
        <v>46242.291666666664</v>
      </c>
      <c r="L32" s="34" t="str">
        <f>IF(_xlfn.XLOOKUP(View[[#This Row],[Id]],Opportunities[Id],Opportunities[Comment Log])=0,"",_xlfn.XLOOKUP(View[[#This Row],[Id]],Opportunities[Id],Opportunities[Comment Log]))</f>
        <v/>
      </c>
      <c r="M32">
        <v>11</v>
      </c>
      <c r="N32" s="6">
        <f ca="1">_xlfn.XLOOKUP(View[[#This Row],[Id]],Opportunities[Id],Opportunities[NextMilestoneDate])-TODAY()</f>
        <v>56.291666666664241</v>
      </c>
      <c r="O3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2" s="2">
        <f>_xlfn.XLOOKUP(View[[#This Row],[Id]],Opportunities[Id],Opportunities[Weighted])/1000</f>
        <v>80.088800000000006</v>
      </c>
      <c r="Q32" s="8">
        <f>_xlfn.XLOOKUP(View[[#This Row],[Id]],Opportunities[Id],Opportunities[Amount])/1000</f>
        <v>800.88800000000003</v>
      </c>
      <c r="R32" t="b">
        <f>View[[#This Row],[Win Probability]]&gt;=probabilityThreshold</f>
        <v>0</v>
      </c>
      <c r="S32">
        <f>SUBTOTAL(103, View[[#This Row],[S]])</f>
        <v>1</v>
      </c>
    </row>
    <row r="33" spans="4:19" x14ac:dyDescent="0.25">
      <c r="D33" s="33" t="str">
        <f>_xlfn.XLOOKUP(View[[#This Row],[Id]],Opportunities[Id],Opportunities[status symbol])</f>
        <v>✓</v>
      </c>
      <c r="E33" s="39" t="str">
        <f>HYPERLINK(siteUrl&amp;"Lists/Opportunities/DispForm.aspx?ID="&amp;View[[#This Row],[Id]],_xlfn.XLOOKUP(View[[#This Row],[Id]],Opportunities[Id],Opportunities[Title]))</f>
        <v>Bioengineering</v>
      </c>
      <c r="F33" s="39" t="str">
        <f>HYPERLINK(siteUrl&amp;"Lists/Customers/DispForm.aspx?ID="&amp;_xlfn.XLOOKUP(_xlfn.XLOOKUP(View[[#This Row],[Id]],Opportunities[Id],Opportunities[CustomerId]),Customers[Id],Customers[Id]),_xlfn.XLOOKUP(_xlfn.XLOOKUP(View[[#This Row],[Id]],Opportunities[Id],Opportunities[CustomerId]),Customers[Id],Customers[Title]))</f>
        <v>BioSynth Dynamics</v>
      </c>
      <c r="G33" s="7" t="str">
        <f>_xlfn.XLOOKUP(View[[#This Row],[Id]],Opportunities[Id],Opportunities[DisplayStage])</f>
        <v>3 - Proposal</v>
      </c>
      <c r="H33" s="2">
        <f>IF(pipelineType="Unweighted",_xlfn.XLOOKUP(View[[#This Row],[Id]],Opportunities[Id],Opportunities[Amount])/1000,_xlfn.XLOOKUP(View[[#This Row],[Id]],Opportunities[Id],Opportunities[Weighted])/1000)</f>
        <v>1203.0650000000001</v>
      </c>
      <c r="I33" s="25">
        <f>_xlfn.XLOOKUP(View[[#This Row],[Id]],Opportunities[Id],Opportunities[Probability])</f>
        <v>0.9</v>
      </c>
      <c r="J33" s="38">
        <f>View[[#This Row],[Estmated Revenue]]</f>
        <v>1082.7584999999999</v>
      </c>
      <c r="K33" s="4">
        <f>_xlfn.XLOOKUP(View[[#This Row],[Id]],Opportunities[Id],Opportunities[Close])</f>
        <v>46245.291666666664</v>
      </c>
      <c r="L33" s="34" t="str">
        <f>IF(_xlfn.XLOOKUP(View[[#This Row],[Id]],Opportunities[Id],Opportunities[Comment Log])=0,"",_xlfn.XLOOKUP(View[[#This Row],[Id]],Opportunities[Id],Opportunities[Comment Log]))</f>
        <v/>
      </c>
      <c r="M33">
        <v>28</v>
      </c>
      <c r="N33" s="6">
        <f ca="1">_xlfn.XLOOKUP(View[[#This Row],[Id]],Opportunities[Id],Opportunities[NextMilestoneDate])-TODAY()</f>
        <v>46.291666666664241</v>
      </c>
      <c r="O3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3" s="2">
        <f>_xlfn.XLOOKUP(View[[#This Row],[Id]],Opportunities[Id],Opportunities[Weighted])/1000</f>
        <v>1082.7584999999999</v>
      </c>
      <c r="Q33" s="8">
        <f>_xlfn.XLOOKUP(View[[#This Row],[Id]],Opportunities[Id],Opportunities[Amount])/1000</f>
        <v>1203.0650000000001</v>
      </c>
      <c r="R33" t="b">
        <f>View[[#This Row],[Win Probability]]&gt;=probabilityThreshold</f>
        <v>1</v>
      </c>
      <c r="S33">
        <f>SUBTOTAL(103, View[[#This Row],[S]])</f>
        <v>1</v>
      </c>
    </row>
    <row r="34" spans="4:19" x14ac:dyDescent="0.25">
      <c r="D34" s="33" t="str">
        <f>_xlfn.XLOOKUP(View[[#This Row],[Id]],Opportunities[Id],Opportunities[status symbol])</f>
        <v>⚠</v>
      </c>
      <c r="E34" s="39" t="str">
        <f>HYPERLINK(siteUrl&amp;"Lists/Opportunities/DispForm.aspx?ID="&amp;View[[#This Row],[Id]],_xlfn.XLOOKUP(View[[#This Row],[Id]],Opportunities[Id],Opportunities[Title]))</f>
        <v>Deep Learning Project</v>
      </c>
      <c r="F34" s="39" t="str">
        <f>HYPERLINK(siteUrl&amp;"Lists/Customers/DispForm.aspx?ID="&amp;_xlfn.XLOOKUP(_xlfn.XLOOKUP(View[[#This Row],[Id]],Opportunities[Id],Opportunities[CustomerId]),Customers[Id],Customers[Id]),_xlfn.XLOOKUP(_xlfn.XLOOKUP(View[[#This Row],[Id]],Opportunities[Id],Opportunities[CustomerId]),Customers[Id],Customers[Title]))</f>
        <v>NeuralNet Dynamics</v>
      </c>
      <c r="G34" s="7" t="str">
        <f>_xlfn.XLOOKUP(View[[#This Row],[Id]],Opportunities[Id],Opportunities[DisplayStage])</f>
        <v>5 - Project Execution</v>
      </c>
      <c r="H34" s="2">
        <f>IF(pipelineType="Unweighted",_xlfn.XLOOKUP(View[[#This Row],[Id]],Opportunities[Id],Opportunities[Amount])/1000,_xlfn.XLOOKUP(View[[#This Row],[Id]],Opportunities[Id],Opportunities[Weighted])/1000)</f>
        <v>1069.8430000000001</v>
      </c>
      <c r="I34" s="25">
        <f>_xlfn.XLOOKUP(View[[#This Row],[Id]],Opportunities[Id],Opportunities[Probability])</f>
        <v>0.85</v>
      </c>
      <c r="J34" s="38">
        <f>View[[#This Row],[Estmated Revenue]]</f>
        <v>909.36654999999996</v>
      </c>
      <c r="K34" s="4">
        <f>_xlfn.XLOOKUP(View[[#This Row],[Id]],Opportunities[Id],Opportunities[Close])</f>
        <v>46275.291666666664</v>
      </c>
      <c r="L34" s="34" t="str">
        <f>IF(_xlfn.XLOOKUP(View[[#This Row],[Id]],Opportunities[Id],Opportunities[Comment Log])=0,"",_xlfn.XLOOKUP(View[[#This Row],[Id]],Opportunities[Id],Opportunities[Comment Log]))</f>
        <v/>
      </c>
      <c r="M34">
        <v>27</v>
      </c>
      <c r="N34" s="6">
        <f ca="1">_xlfn.XLOOKUP(View[[#This Row],[Id]],Opportunities[Id],Opportunities[NextMilestoneDate])-TODAY()</f>
        <v>35.291666666664241</v>
      </c>
      <c r="O34"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4" s="2">
        <f>_xlfn.XLOOKUP(View[[#This Row],[Id]],Opportunities[Id],Opportunities[Weighted])/1000</f>
        <v>909.36654999999996</v>
      </c>
      <c r="Q34" s="8">
        <f>_xlfn.XLOOKUP(View[[#This Row],[Id]],Opportunities[Id],Opportunities[Amount])/1000</f>
        <v>1069.8430000000001</v>
      </c>
      <c r="R34" t="b">
        <f>View[[#This Row],[Win Probability]]&gt;=probabilityThreshold</f>
        <v>1</v>
      </c>
      <c r="S34">
        <f>SUBTOTAL(103, View[[#This Row],[S]])</f>
        <v>1</v>
      </c>
    </row>
    <row r="35" spans="4:19" x14ac:dyDescent="0.25">
      <c r="D35" s="33" t="str">
        <f>_xlfn.XLOOKUP(View[[#This Row],[Id]],Opportunities[Id],Opportunities[status symbol])</f>
        <v>✓</v>
      </c>
      <c r="E35" s="39" t="str">
        <f>HYPERLINK(siteUrl&amp;"Lists/Opportunities/DispForm.aspx?ID="&amp;View[[#This Row],[Id]],_xlfn.XLOOKUP(View[[#This Row],[Id]],Opportunities[Id],Opportunities[Title]))</f>
        <v>CO2 Conversion Process</v>
      </c>
      <c r="F35" s="39" t="str">
        <f>HYPERLINK(siteUrl&amp;"Lists/Customers/DispForm.aspx?ID="&amp;_xlfn.XLOOKUP(_xlfn.XLOOKUP(View[[#This Row],[Id]],Opportunities[Id],Opportunities[CustomerId]),Customers[Id],Customers[Id]),_xlfn.XLOOKUP(_xlfn.XLOOKUP(View[[#This Row],[Id]],Opportunities[Id],Opportunities[CustomerId]),Customers[Id],Customers[Title]))</f>
        <v>CarbonCapture Solutions</v>
      </c>
      <c r="G35" s="7" t="str">
        <f>_xlfn.XLOOKUP(View[[#This Row],[Id]],Opportunities[Id],Opportunities[DisplayStage])</f>
        <v>1 - Lead Qualification</v>
      </c>
      <c r="H35" s="2">
        <f>IF(pipelineType="Unweighted",_xlfn.XLOOKUP(View[[#This Row],[Id]],Opportunities[Id],Opportunities[Amount])/1000,_xlfn.XLOOKUP(View[[#This Row],[Id]],Opportunities[Id],Opportunities[Weighted])/1000)</f>
        <v>881.37900000000002</v>
      </c>
      <c r="I35" s="25">
        <f>_xlfn.XLOOKUP(View[[#This Row],[Id]],Opportunities[Id],Opportunities[Probability])</f>
        <v>0.41</v>
      </c>
      <c r="J35" s="38">
        <f>View[[#This Row],[Estmated Revenue]]</f>
        <v>361.36538999999993</v>
      </c>
      <c r="K35" s="4">
        <f>_xlfn.XLOOKUP(View[[#This Row],[Id]],Opportunities[Id],Opportunities[Close])</f>
        <v>46285.291666666664</v>
      </c>
      <c r="L35" s="34" t="str">
        <f>IF(_xlfn.XLOOKUP(View[[#This Row],[Id]],Opportunities[Id],Opportunities[Comment Log])=0,"",_xlfn.XLOOKUP(View[[#This Row],[Id]],Opportunities[Id],Opportunities[Comment Log]))</f>
        <v/>
      </c>
      <c r="M35">
        <v>12</v>
      </c>
      <c r="N35" s="6">
        <f ca="1">_xlfn.XLOOKUP(View[[#This Row],[Id]],Opportunities[Id],Opportunities[NextMilestoneDate])-TODAY()</f>
        <v>70.291666666664241</v>
      </c>
      <c r="O35"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5" s="2">
        <f>_xlfn.XLOOKUP(View[[#This Row],[Id]],Opportunities[Id],Opportunities[Weighted])/1000</f>
        <v>361.36538999999993</v>
      </c>
      <c r="Q35" s="8">
        <f>_xlfn.XLOOKUP(View[[#This Row],[Id]],Opportunities[Id],Opportunities[Amount])/1000</f>
        <v>881.37900000000002</v>
      </c>
      <c r="R35" t="b">
        <f>View[[#This Row],[Win Probability]]&gt;=probabilityThreshold</f>
        <v>0</v>
      </c>
      <c r="S35">
        <f>SUBTOTAL(103, View[[#This Row],[S]])</f>
        <v>1</v>
      </c>
    </row>
    <row r="36" spans="4:19" x14ac:dyDescent="0.25">
      <c r="D36" s="33" t="str">
        <f>_xlfn.XLOOKUP(View[[#This Row],[Id]],Opportunities[Id],Opportunities[status symbol])</f>
        <v>⚠</v>
      </c>
      <c r="E36" s="39" t="str">
        <f>HYPERLINK(siteUrl&amp;"Lists/Opportunities/DispForm.aspx?ID="&amp;View[[#This Row],[Id]],_xlfn.XLOOKUP(View[[#This Row],[Id]],Opportunities[Id],Opportunities[Title]))</f>
        <v>3D Print Optimization</v>
      </c>
      <c r="F36" s="39" t="str">
        <f>HYPERLINK(siteUrl&amp;"Lists/Customers/DispForm.aspx?ID="&amp;_xlfn.XLOOKUP(_xlfn.XLOOKUP(View[[#This Row],[Id]],Opportunities[Id],Opportunities[CustomerId]),Customers[Id],Customers[Id]),_xlfn.XLOOKUP(_xlfn.XLOOKUP(View[[#This Row],[Id]],Opportunities[Id],Opportunities[CustomerId]),Customers[Id],Customers[Title]))</f>
        <v>Precision3D Technologies</v>
      </c>
      <c r="G36" s="7" t="str">
        <f>_xlfn.XLOOKUP(View[[#This Row],[Id]],Opportunities[Id],Opportunities[DisplayStage])</f>
        <v>2 - Nurturing</v>
      </c>
      <c r="H36" s="2">
        <f>IF(pipelineType="Unweighted",_xlfn.XLOOKUP(View[[#This Row],[Id]],Opportunities[Id],Opportunities[Amount])/1000,_xlfn.XLOOKUP(View[[#This Row],[Id]],Opportunities[Id],Opportunities[Weighted])/1000)</f>
        <v>1244.2329999999999</v>
      </c>
      <c r="I36" s="25">
        <f>_xlfn.XLOOKUP(View[[#This Row],[Id]],Opportunities[Id],Opportunities[Probability])</f>
        <v>0.16</v>
      </c>
      <c r="J36" s="38">
        <f>View[[#This Row],[Estmated Revenue]]</f>
        <v>199.07728</v>
      </c>
      <c r="K36" s="4">
        <f>_xlfn.XLOOKUP(View[[#This Row],[Id]],Opportunities[Id],Opportunities[Close])</f>
        <v>46291.291666666664</v>
      </c>
      <c r="L36" s="34" t="str">
        <f>IF(_xlfn.XLOOKUP(View[[#This Row],[Id]],Opportunities[Id],Opportunities[Comment Log])=0,"",_xlfn.XLOOKUP(View[[#This Row],[Id]],Opportunities[Id],Opportunities[Comment Log]))</f>
        <v/>
      </c>
      <c r="M36">
        <v>8</v>
      </c>
      <c r="N36" s="6">
        <f ca="1">_xlfn.XLOOKUP(View[[#This Row],[Id]],Opportunities[Id],Opportunities[NextMilestoneDate])-TODAY()</f>
        <v>60.291666666664241</v>
      </c>
      <c r="O36"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6" s="2">
        <f>_xlfn.XLOOKUP(View[[#This Row],[Id]],Opportunities[Id],Opportunities[Weighted])/1000</f>
        <v>199.07728</v>
      </c>
      <c r="Q36" s="8">
        <f>_xlfn.XLOOKUP(View[[#This Row],[Id]],Opportunities[Id],Opportunities[Amount])/1000</f>
        <v>1244.2329999999999</v>
      </c>
      <c r="R36" t="b">
        <f>View[[#This Row],[Win Probability]]&gt;=probabilityThreshold</f>
        <v>0</v>
      </c>
      <c r="S36">
        <f>SUBTOTAL(103, View[[#This Row],[S]])</f>
        <v>1</v>
      </c>
    </row>
    <row r="37" spans="4:19" x14ac:dyDescent="0.25">
      <c r="D37" s="33" t="str">
        <f>_xlfn.XLOOKUP(View[[#This Row],[Id]],Opportunities[Id],Opportunities[status symbol])</f>
        <v>⚠</v>
      </c>
      <c r="E37" s="39" t="str">
        <f>HYPERLINK(siteUrl&amp;"Lists/Opportunities/DispForm.aspx?ID="&amp;View[[#This Row],[Id]],_xlfn.XLOOKUP(View[[#This Row],[Id]],Opportunities[Id],Opportunities[Title]))</f>
        <v>Biomaterial Research</v>
      </c>
      <c r="F37" s="39" t="str">
        <f>HYPERLINK(siteUrl&amp;"Lists/Customers/DispForm.aspx?ID="&amp;_xlfn.XLOOKUP(_xlfn.XLOOKUP(View[[#This Row],[Id]],Opportunities[Id],Opportunities[CustomerId]),Customers[Id],Customers[Id]),_xlfn.XLOOKUP(_xlfn.XLOOKUP(View[[#This Row],[Id]],Opportunities[Id],Opportunities[CustomerId]),Customers[Id],Customers[Title]))</f>
        <v>CryoCell Solutions</v>
      </c>
      <c r="G37" s="7" t="str">
        <f>_xlfn.XLOOKUP(View[[#This Row],[Id]],Opportunities[Id],Opportunities[DisplayStage])</f>
        <v>4 - Negotiation</v>
      </c>
      <c r="H37" s="2">
        <f>IF(pipelineType="Unweighted",_xlfn.XLOOKUP(View[[#This Row],[Id]],Opportunities[Id],Opportunities[Amount])/1000,_xlfn.XLOOKUP(View[[#This Row],[Id]],Opportunities[Id],Opportunities[Weighted])/1000)</f>
        <v>1263.1769999999999</v>
      </c>
      <c r="I37" s="25">
        <f>_xlfn.XLOOKUP(View[[#This Row],[Id]],Opportunities[Id],Opportunities[Probability])</f>
        <v>0.93</v>
      </c>
      <c r="J37" s="38">
        <f>View[[#This Row],[Estmated Revenue]]</f>
        <v>1174.7546100000002</v>
      </c>
      <c r="K37" s="4">
        <f>_xlfn.XLOOKUP(View[[#This Row],[Id]],Opportunities[Id],Opportunities[Close])</f>
        <v>46292.291666666664</v>
      </c>
      <c r="L37" s="34" t="str">
        <f>IF(_xlfn.XLOOKUP(View[[#This Row],[Id]],Opportunities[Id],Opportunities[Comment Log])=0,"",_xlfn.XLOOKUP(View[[#This Row],[Id]],Opportunities[Id],Opportunities[Comment Log]))</f>
        <v/>
      </c>
      <c r="M37">
        <v>1</v>
      </c>
      <c r="N37" s="6">
        <f ca="1">_xlfn.XLOOKUP(View[[#This Row],[Id]],Opportunities[Id],Opportunities[NextMilestoneDate])-TODAY()</f>
        <v>56.291666666664241</v>
      </c>
      <c r="O37"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7" s="2">
        <f>_xlfn.XLOOKUP(View[[#This Row],[Id]],Opportunities[Id],Opportunities[Weighted])/1000</f>
        <v>1174.7546100000002</v>
      </c>
      <c r="Q37" s="8">
        <f>_xlfn.XLOOKUP(View[[#This Row],[Id]],Opportunities[Id],Opportunities[Amount])/1000</f>
        <v>1263.1769999999999</v>
      </c>
      <c r="R37" t="b">
        <f>View[[#This Row],[Win Probability]]&gt;=probabilityThreshold</f>
        <v>1</v>
      </c>
      <c r="S37">
        <f>SUBTOTAL(103, View[[#This Row],[S]])</f>
        <v>1</v>
      </c>
    </row>
    <row r="38" spans="4:19" x14ac:dyDescent="0.25">
      <c r="D38" s="33" t="str">
        <f>_xlfn.XLOOKUP(View[[#This Row],[Id]],Opportunities[Id],Opportunities[status symbol])</f>
        <v>⮾</v>
      </c>
      <c r="E38" s="39" t="str">
        <f>HYPERLINK(siteUrl&amp;"Lists/Opportunities/DispForm.aspx?ID="&amp;View[[#This Row],[Id]],_xlfn.XLOOKUP(View[[#This Row],[Id]],Opportunities[Id],Opportunities[Title]))</f>
        <v>Quantum Mechanics</v>
      </c>
      <c r="F38" s="39" t="str">
        <f>HYPERLINK(siteUrl&amp;"Lists/Customers/DispForm.aspx?ID="&amp;_xlfn.XLOOKUP(_xlfn.XLOOKUP(View[[#This Row],[Id]],Opportunities[Id],Opportunities[CustomerId]),Customers[Id],Customers[Id]),_xlfn.XLOOKUP(_xlfn.XLOOKUP(View[[#This Row],[Id]],Opportunities[Id],Opportunities[CustomerId]),Customers[Id],Customers[Title]))</f>
        <v>Quantum Dynamics Labs</v>
      </c>
      <c r="G38" s="7" t="str">
        <f>_xlfn.XLOOKUP(View[[#This Row],[Id]],Opportunities[Id],Opportunities[DisplayStage])</f>
        <v>3 - Proposal</v>
      </c>
      <c r="H38" s="2">
        <f>IF(pipelineType="Unweighted",_xlfn.XLOOKUP(View[[#This Row],[Id]],Opportunities[Id],Opportunities[Amount])/1000,_xlfn.XLOOKUP(View[[#This Row],[Id]],Opportunities[Id],Opportunities[Weighted])/1000)</f>
        <v>1106.463</v>
      </c>
      <c r="I38" s="25">
        <f>_xlfn.XLOOKUP(View[[#This Row],[Id]],Opportunities[Id],Opportunities[Probability])</f>
        <v>0.16</v>
      </c>
      <c r="J38" s="38">
        <f>View[[#This Row],[Estmated Revenue]]</f>
        <v>177.03408000000002</v>
      </c>
      <c r="K38" s="4">
        <f>_xlfn.XLOOKUP(View[[#This Row],[Id]],Opportunities[Id],Opportunities[Close])</f>
        <v>46294.291666666664</v>
      </c>
      <c r="L38" s="34" t="str">
        <f>IF(_xlfn.XLOOKUP(View[[#This Row],[Id]],Opportunities[Id],Opportunities[Comment Log])=0,"",_xlfn.XLOOKUP(View[[#This Row],[Id]],Opportunities[Id],Opportunities[Comment Log]))</f>
        <v/>
      </c>
      <c r="M38">
        <v>31</v>
      </c>
      <c r="N38" s="6">
        <f ca="1">_xlfn.XLOOKUP(View[[#This Row],[Id]],Opportunities[Id],Opportunities[NextMilestoneDate])-TODAY()</f>
        <v>80.291666666664241</v>
      </c>
      <c r="O38"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FY27-Q1</v>
      </c>
      <c r="P38" s="2">
        <f>_xlfn.XLOOKUP(View[[#This Row],[Id]],Opportunities[Id],Opportunities[Weighted])/1000</f>
        <v>177.03408000000002</v>
      </c>
      <c r="Q38" s="8">
        <f>_xlfn.XLOOKUP(View[[#This Row],[Id]],Opportunities[Id],Opportunities[Amount])/1000</f>
        <v>1106.463</v>
      </c>
      <c r="R38" t="b">
        <f>View[[#This Row],[Win Probability]]&gt;=probabilityThreshold</f>
        <v>0</v>
      </c>
      <c r="S38">
        <f>SUBTOTAL(103, View[[#This Row],[S]])</f>
        <v>1</v>
      </c>
    </row>
    <row r="39" spans="4:19" x14ac:dyDescent="0.25">
      <c r="D39" s="33" t="str">
        <f>_xlfn.XLOOKUP(View[[#This Row],[Id]],Opportunities[Id],Opportunities[status symbol])</f>
        <v>✓</v>
      </c>
      <c r="E39" s="39" t="str">
        <f>HYPERLINK(siteUrl&amp;"Lists/Opportunities/DispForm.aspx?ID="&amp;View[[#This Row],[Id]],_xlfn.XLOOKUP(View[[#This Row],[Id]],Opportunities[Id],Opportunities[Title]))</f>
        <v>Engineered Microorganisms</v>
      </c>
      <c r="F39" s="39" t="str">
        <f>HYPERLINK(siteUrl&amp;"Lists/Customers/DispForm.aspx?ID="&amp;_xlfn.XLOOKUP(_xlfn.XLOOKUP(View[[#This Row],[Id]],Opportunities[Id],Opportunities[CustomerId]),Customers[Id],Customers[Id]),_xlfn.XLOOKUP(_xlfn.XLOOKUP(View[[#This Row],[Id]],Opportunities[Id],Opportunities[CustomerId]),Customers[Id],Customers[Title]))</f>
        <v>BioSynth Dynamics</v>
      </c>
      <c r="G39" s="7" t="str">
        <f>_xlfn.XLOOKUP(View[[#This Row],[Id]],Opportunities[Id],Opportunities[DisplayStage])</f>
        <v>2 - Nurturing</v>
      </c>
      <c r="H39" s="2">
        <f>IF(pipelineType="Unweighted",_xlfn.XLOOKUP(View[[#This Row],[Id]],Opportunities[Id],Opportunities[Amount])/1000,_xlfn.XLOOKUP(View[[#This Row],[Id]],Opportunities[Id],Opportunities[Weighted])/1000)</f>
        <v>939.29300000000001</v>
      </c>
      <c r="I39" s="25">
        <f>_xlfn.XLOOKUP(View[[#This Row],[Id]],Opportunities[Id],Opportunities[Probability])</f>
        <v>0.86</v>
      </c>
      <c r="J39" s="38">
        <f>View[[#This Row],[Estmated Revenue]]</f>
        <v>807.79197999999997</v>
      </c>
      <c r="K39" s="4">
        <f>_xlfn.XLOOKUP(View[[#This Row],[Id]],Opportunities[Id],Opportunities[Close])</f>
        <v>46309.291666666664</v>
      </c>
      <c r="L39" s="34" t="str">
        <f>IF(_xlfn.XLOOKUP(View[[#This Row],[Id]],Opportunities[Id],Opportunities[Comment Log])=0,"",_xlfn.XLOOKUP(View[[#This Row],[Id]],Opportunities[Id],Opportunities[Comment Log]))</f>
        <v/>
      </c>
      <c r="M39">
        <v>30</v>
      </c>
      <c r="N39" s="6">
        <f ca="1">_xlfn.XLOOKUP(View[[#This Row],[Id]],Opportunities[Id],Opportunities[NextMilestoneDate])-TODAY()</f>
        <v>48.291666666664241</v>
      </c>
      <c r="O39"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39" s="2">
        <f>_xlfn.XLOOKUP(View[[#This Row],[Id]],Opportunities[Id],Opportunities[Weighted])/1000</f>
        <v>807.79197999999997</v>
      </c>
      <c r="Q39" s="8">
        <f>_xlfn.XLOOKUP(View[[#This Row],[Id]],Opportunities[Id],Opportunities[Amount])/1000</f>
        <v>939.29300000000001</v>
      </c>
      <c r="R39" t="b">
        <f>View[[#This Row],[Win Probability]]&gt;=probabilityThreshold</f>
        <v>1</v>
      </c>
      <c r="S39">
        <f>SUBTOTAL(103, View[[#This Row],[S]])</f>
        <v>1</v>
      </c>
    </row>
    <row r="40" spans="4:19" x14ac:dyDescent="0.25">
      <c r="D40" s="33" t="str">
        <f>_xlfn.XLOOKUP(View[[#This Row],[Id]],Opportunities[Id],Opportunities[status symbol])</f>
        <v>⚠</v>
      </c>
      <c r="E40" s="39" t="str">
        <f>HYPERLINK(siteUrl&amp;"Lists/Opportunities/DispForm.aspx?ID="&amp;View[[#This Row],[Id]],_xlfn.XLOOKUP(View[[#This Row],[Id]],Opportunities[Id],Opportunities[Title]))</f>
        <v>Distributed Computing</v>
      </c>
      <c r="F40" s="39" t="str">
        <f>HYPERLINK(siteUrl&amp;"Lists/Customers/DispForm.aspx?ID="&amp;_xlfn.XLOOKUP(_xlfn.XLOOKUP(View[[#This Row],[Id]],Opportunities[Id],Opportunities[CustomerId]),Customers[Id],Customers[Id]),_xlfn.XLOOKUP(_xlfn.XLOOKUP(View[[#This Row],[Id]],Opportunities[Id],Opportunities[CustomerId]),Customers[Id],Customers[Title]))</f>
        <v>DataFlow Analytics</v>
      </c>
      <c r="G40" s="7" t="str">
        <f>_xlfn.XLOOKUP(View[[#This Row],[Id]],Opportunities[Id],Opportunities[DisplayStage])</f>
        <v>3 - Proposal</v>
      </c>
      <c r="H40" s="2">
        <f>IF(pipelineType="Unweighted",_xlfn.XLOOKUP(View[[#This Row],[Id]],Opportunities[Id],Opportunities[Amount])/1000,_xlfn.XLOOKUP(View[[#This Row],[Id]],Opportunities[Id],Opportunities[Weighted])/1000)</f>
        <v>1203.259</v>
      </c>
      <c r="I40" s="25">
        <f>_xlfn.XLOOKUP(View[[#This Row],[Id]],Opportunities[Id],Opportunities[Probability])</f>
        <v>0.28000000000000003</v>
      </c>
      <c r="J40" s="38">
        <f>View[[#This Row],[Estmated Revenue]]</f>
        <v>336.91252000000003</v>
      </c>
      <c r="K40" s="4">
        <f>_xlfn.XLOOKUP(View[[#This Row],[Id]],Opportunities[Id],Opportunities[Close])</f>
        <v>46318.291666666664</v>
      </c>
      <c r="L40" s="34" t="str">
        <f>IF(_xlfn.XLOOKUP(View[[#This Row],[Id]],Opportunities[Id],Opportunities[Comment Log])=0,"",_xlfn.XLOOKUP(View[[#This Row],[Id]],Opportunities[Id],Opportunities[Comment Log]))</f>
        <v/>
      </c>
      <c r="M40">
        <v>33</v>
      </c>
      <c r="N40" s="6">
        <f ca="1">_xlfn.XLOOKUP(View[[#This Row],[Id]],Opportunities[Id],Opportunities[NextMilestoneDate])-TODAY()</f>
        <v>2.2916666666642413</v>
      </c>
      <c r="O40"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0" s="2">
        <f>_xlfn.XLOOKUP(View[[#This Row],[Id]],Opportunities[Id],Opportunities[Weighted])/1000</f>
        <v>336.91252000000003</v>
      </c>
      <c r="Q40" s="8">
        <f>_xlfn.XLOOKUP(View[[#This Row],[Id]],Opportunities[Id],Opportunities[Amount])/1000</f>
        <v>1203.259</v>
      </c>
      <c r="R40" t="b">
        <f>View[[#This Row],[Win Probability]]&gt;=probabilityThreshold</f>
        <v>0</v>
      </c>
      <c r="S40">
        <f>SUBTOTAL(103, View[[#This Row],[S]])</f>
        <v>1</v>
      </c>
    </row>
    <row r="41" spans="4:19" x14ac:dyDescent="0.25">
      <c r="D41" s="33" t="str">
        <f>_xlfn.XLOOKUP(View[[#This Row],[Id]],Opportunities[Id],Opportunities[status symbol])</f>
        <v>⚠</v>
      </c>
      <c r="E41" s="39" t="str">
        <f>HYPERLINK(siteUrl&amp;"Lists/Opportunities/DispForm.aspx?ID="&amp;View[[#This Row],[Id]],_xlfn.XLOOKUP(View[[#This Row],[Id]],Opportunities[Id],Opportunities[Title]))</f>
        <v>Smart Materials</v>
      </c>
      <c r="F41" s="39" t="str">
        <f>HYPERLINK(siteUrl&amp;"Lists/Customers/DispForm.aspx?ID="&amp;_xlfn.XLOOKUP(_xlfn.XLOOKUP(View[[#This Row],[Id]],Opportunities[Id],Opportunities[CustomerId]),Customers[Id],Customers[Id]),_xlfn.XLOOKUP(_xlfn.XLOOKUP(View[[#This Row],[Id]],Opportunities[Id],Opportunities[CustomerId]),Customers[Id],Customers[Title]))</f>
        <v>FlexMaterials Inc</v>
      </c>
      <c r="G41" s="7" t="str">
        <f>_xlfn.XLOOKUP(View[[#This Row],[Id]],Opportunities[Id],Opportunities[DisplayStage])</f>
        <v>2 - Nurturing</v>
      </c>
      <c r="H41" s="2">
        <f>IF(pipelineType="Unweighted",_xlfn.XLOOKUP(View[[#This Row],[Id]],Opportunities[Id],Opportunities[Amount])/1000,_xlfn.XLOOKUP(View[[#This Row],[Id]],Opportunities[Id],Opportunities[Weighted])/1000)</f>
        <v>845.99</v>
      </c>
      <c r="I41" s="25">
        <f>_xlfn.XLOOKUP(View[[#This Row],[Id]],Opportunities[Id],Opportunities[Probability])</f>
        <v>0.38</v>
      </c>
      <c r="J41" s="38">
        <f>View[[#This Row],[Estmated Revenue]]</f>
        <v>321.47620000000001</v>
      </c>
      <c r="K41" s="4">
        <f>_xlfn.XLOOKUP(View[[#This Row],[Id]],Opportunities[Id],Opportunities[Close])</f>
        <v>46320.291666666664</v>
      </c>
      <c r="L41" s="34" t="str">
        <f>IF(_xlfn.XLOOKUP(View[[#This Row],[Id]],Opportunities[Id],Opportunities[Comment Log])=0,"",_xlfn.XLOOKUP(View[[#This Row],[Id]],Opportunities[Id],Opportunities[Comment Log]))</f>
        <v/>
      </c>
      <c r="M41">
        <v>18</v>
      </c>
      <c r="N41" s="6">
        <f ca="1">_xlfn.XLOOKUP(View[[#This Row],[Id]],Opportunities[Id],Opportunities[NextMilestoneDate])-TODAY()</f>
        <v>85.291666666664241</v>
      </c>
      <c r="O41"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1" s="2">
        <f>_xlfn.XLOOKUP(View[[#This Row],[Id]],Opportunities[Id],Opportunities[Weighted])/1000</f>
        <v>321.47620000000001</v>
      </c>
      <c r="Q41" s="8">
        <f>_xlfn.XLOOKUP(View[[#This Row],[Id]],Opportunities[Id],Opportunities[Amount])/1000</f>
        <v>845.99</v>
      </c>
      <c r="R41" t="b">
        <f>View[[#This Row],[Win Probability]]&gt;=probabilityThreshold</f>
        <v>0</v>
      </c>
      <c r="S41">
        <f>SUBTOTAL(103, View[[#This Row],[S]])</f>
        <v>1</v>
      </c>
    </row>
    <row r="42" spans="4:19" x14ac:dyDescent="0.25">
      <c r="D42" s="33" t="str">
        <f>_xlfn.XLOOKUP(View[[#This Row],[Id]],Opportunities[Id],Opportunities[status symbol])</f>
        <v>✓</v>
      </c>
      <c r="E42" s="39" t="str">
        <f>HYPERLINK(siteUrl&amp;"Lists/Opportunities/DispForm.aspx?ID="&amp;View[[#This Row],[Id]],_xlfn.XLOOKUP(View[[#This Row],[Id]],Opportunities[Id],Opportunities[Title]))</f>
        <v>Physics</v>
      </c>
      <c r="F42" s="39" t="str">
        <f>HYPERLINK(siteUrl&amp;"Lists/Customers/DispForm.aspx?ID="&amp;_xlfn.XLOOKUP(_xlfn.XLOOKUP(View[[#This Row],[Id]],Opportunities[Id],Opportunities[CustomerId]),Customers[Id],Customers[Id]),_xlfn.XLOOKUP(_xlfn.XLOOKUP(View[[#This Row],[Id]],Opportunities[Id],Opportunities[CustomerId]),Customers[Id],Customers[Title]))</f>
        <v>QuantumSensors Inc</v>
      </c>
      <c r="G42" s="7" t="str">
        <f>_xlfn.XLOOKUP(View[[#This Row],[Id]],Opportunities[Id],Opportunities[DisplayStage])</f>
        <v>6 - Closeout</v>
      </c>
      <c r="H42" s="2">
        <f>IF(pipelineType="Unweighted",_xlfn.XLOOKUP(View[[#This Row],[Id]],Opportunities[Id],Opportunities[Amount])/1000,_xlfn.XLOOKUP(View[[#This Row],[Id]],Opportunities[Id],Opportunities[Weighted])/1000)</f>
        <v>1280.7719999999999</v>
      </c>
      <c r="I42" s="25">
        <f>_xlfn.XLOOKUP(View[[#This Row],[Id]],Opportunities[Id],Opportunities[Probability])</f>
        <v>0.98</v>
      </c>
      <c r="J42" s="38">
        <f>View[[#This Row],[Estmated Revenue]]</f>
        <v>1255.1565600000001</v>
      </c>
      <c r="K42" s="4">
        <f>_xlfn.XLOOKUP(View[[#This Row],[Id]],Opportunities[Id],Opportunities[Close])</f>
        <v>46337.333333333336</v>
      </c>
      <c r="L42" s="34" t="str">
        <f>IF(_xlfn.XLOOKUP(View[[#This Row],[Id]],Opportunities[Id],Opportunities[Comment Log])=0,"",_xlfn.XLOOKUP(View[[#This Row],[Id]],Opportunities[Id],Opportunities[Comment Log]))</f>
        <v/>
      </c>
      <c r="M42">
        <v>10</v>
      </c>
      <c r="N42" s="6">
        <f ca="1">_xlfn.XLOOKUP(View[[#This Row],[Id]],Opportunities[Id],Opportunities[NextMilestoneDate])-TODAY()</f>
        <v>2.2916666666642413</v>
      </c>
      <c r="O42"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2" s="2">
        <f>_xlfn.XLOOKUP(View[[#This Row],[Id]],Opportunities[Id],Opportunities[Weighted])/1000</f>
        <v>1255.1565600000001</v>
      </c>
      <c r="Q42" s="8">
        <f>_xlfn.XLOOKUP(View[[#This Row],[Id]],Opportunities[Id],Opportunities[Amount])/1000</f>
        <v>1280.7719999999999</v>
      </c>
      <c r="R42" t="b">
        <f>View[[#This Row],[Win Probability]]&gt;=probabilityThreshold</f>
        <v>1</v>
      </c>
      <c r="S42">
        <f>SUBTOTAL(103, View[[#This Row],[S]])</f>
        <v>1</v>
      </c>
    </row>
    <row r="43" spans="4:19" x14ac:dyDescent="0.25">
      <c r="D43" s="33" t="str">
        <f>_xlfn.XLOOKUP(View[[#This Row],[Id]],Opportunities[Id],Opportunities[status symbol])</f>
        <v>✓</v>
      </c>
      <c r="E43" s="39" t="str">
        <f>HYPERLINK(siteUrl&amp;"Lists/Opportunities/DispForm.aspx?ID="&amp;View[[#This Row],[Id]],_xlfn.XLOOKUP(View[[#This Row],[Id]],Opportunities[Id],Opportunities[Title]))</f>
        <v>Machine Learning Algorithms</v>
      </c>
      <c r="F43" s="39" t="str">
        <f>HYPERLINK(siteUrl&amp;"Lists/Customers/DispForm.aspx?ID="&amp;_xlfn.XLOOKUP(_xlfn.XLOOKUP(View[[#This Row],[Id]],Opportunities[Id],Opportunities[CustomerId]),Customers[Id],Customers[Id]),_xlfn.XLOOKUP(_xlfn.XLOOKUP(View[[#This Row],[Id]],Opportunities[Id],Opportunities[CustomerId]),Customers[Id],Customers[Title]))</f>
        <v>DataFlow Analytics</v>
      </c>
      <c r="G43" s="7" t="str">
        <f>_xlfn.XLOOKUP(View[[#This Row],[Id]],Opportunities[Id],Opportunities[DisplayStage])</f>
        <v>4 - Negotiation</v>
      </c>
      <c r="H43" s="2">
        <f>IF(pipelineType="Unweighted",_xlfn.XLOOKUP(View[[#This Row],[Id]],Opportunities[Id],Opportunities[Amount])/1000,_xlfn.XLOOKUP(View[[#This Row],[Id]],Opportunities[Id],Opportunities[Weighted])/1000)</f>
        <v>809.29300000000001</v>
      </c>
      <c r="I43" s="25">
        <f>_xlfn.XLOOKUP(View[[#This Row],[Id]],Opportunities[Id],Opportunities[Probability])</f>
        <v>0.88</v>
      </c>
      <c r="J43" s="38">
        <f>View[[#This Row],[Estmated Revenue]]</f>
        <v>712.17783999999995</v>
      </c>
      <c r="K43" s="4">
        <f>_xlfn.XLOOKUP(View[[#This Row],[Id]],Opportunities[Id],Opportunities[Close])</f>
        <v>46355.333333333336</v>
      </c>
      <c r="L43" s="34" t="str">
        <f>IF(_xlfn.XLOOKUP(View[[#This Row],[Id]],Opportunities[Id],Opportunities[Comment Log])=0,"",_xlfn.XLOOKUP(View[[#This Row],[Id]],Opportunities[Id],Opportunities[Comment Log]))</f>
        <v/>
      </c>
      <c r="M43">
        <v>34</v>
      </c>
      <c r="N43" s="6">
        <f ca="1">_xlfn.XLOOKUP(View[[#This Row],[Id]],Opportunities[Id],Opportunities[NextMilestoneDate])-TODAY()</f>
        <v>33.291666666664241</v>
      </c>
      <c r="O43" s="7"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FY27-Q2</v>
      </c>
      <c r="P43" s="2">
        <f>_xlfn.XLOOKUP(View[[#This Row],[Id]],Opportunities[Id],Opportunities[Weighted])/1000</f>
        <v>712.17783999999995</v>
      </c>
      <c r="Q43" s="8">
        <f>_xlfn.XLOOKUP(View[[#This Row],[Id]],Opportunities[Id],Opportunities[Amount])/1000</f>
        <v>809.29300000000001</v>
      </c>
      <c r="R43" t="b">
        <f>View[[#This Row],[Win Probability]]&gt;=probabilityThreshold</f>
        <v>1</v>
      </c>
      <c r="S43">
        <f>SUBTOTAL(103, View[[#This Row],[S]])</f>
        <v>1</v>
      </c>
    </row>
  </sheetData>
  <phoneticPr fontId="4" type="noConversion"/>
  <conditionalFormatting sqref="D8:E43">
    <cfRule type="expression" dxfId="21" priority="19">
      <formula>D8="⚠"</formula>
    </cfRule>
    <cfRule type="expression" dxfId="20" priority="20">
      <formula>D8="⮾"</formula>
    </cfRule>
    <cfRule type="expression" dxfId="19" priority="21">
      <formula>D8="✓"</formula>
    </cfRule>
  </conditionalFormatting>
  <conditionalFormatting sqref="G8:G43">
    <cfRule type="expression" dxfId="18" priority="6">
      <formula>G8="3 - Proposal"</formula>
    </cfRule>
    <cfRule type="expression" dxfId="17" priority="7">
      <formula>G8="4 - Negotiation"</formula>
    </cfRule>
    <cfRule type="expression" dxfId="16" priority="8">
      <formula>G8="5 - Project Execution"</formula>
    </cfRule>
    <cfRule type="expression" dxfId="15" priority="9">
      <formula>G8="6 - Closeout"</formula>
    </cfRule>
    <cfRule type="expression" dxfId="14" priority="10">
      <formula>G8="1 - Lead Qualification"</formula>
    </cfRule>
    <cfRule type="expression" dxfId="13" priority="11">
      <formula>G8="2 - Nurturing"</formula>
    </cfRule>
  </conditionalFormatting>
  <conditionalFormatting sqref="I8:I43">
    <cfRule type="iconSet" priority="17">
      <iconSet iconSet="4Rating">
        <cfvo type="percent" val="0"/>
        <cfvo type="percent" val="25"/>
        <cfvo type="percent" val="50"/>
        <cfvo type="percent" val="75"/>
      </iconSet>
    </cfRule>
  </conditionalFormatting>
  <conditionalFormatting sqref="N8:N43">
    <cfRule type="colorScale" priority="1">
      <colorScale>
        <cfvo type="min"/>
        <cfvo type="max"/>
        <color rgb="FF63BE7B"/>
        <color rgb="FFFCFCFF"/>
      </colorScale>
    </cfRule>
  </conditionalFormatting>
  <conditionalFormatting sqref="P8:P43">
    <cfRule type="dataBar" priority="5">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4">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3">
    <cfRule type="dataBar" priority="3">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L4" r:id="rId1" xr:uid="{505F7F41-DF4A-4ED1-8C30-4FF98F4B2434}"/>
    <hyperlink ref="L3" r:id="rId2" xr:uid="{46FB1CD6-595A-4DA2-96BE-2C4B6FD12F9E}"/>
    <hyperlink ref="A1" r:id="rId3" display="Comment (github)" xr:uid="{C0560A94-7E29-4541-B867-8CC43FEB9D15}"/>
  </hyperlinks>
  <pageMargins left="0.7" right="0.7" top="0.75" bottom="0.75" header="0.3" footer="0.3"/>
  <pageSetup orientation="portrait" r:id="rId4"/>
  <drawing r:id="rId5"/>
  <legacyDrawing r:id="rId6"/>
  <tableParts count="1">
    <tablePart r:id="rId7"/>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P8:P43</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Q8:Q43</xm:sqref>
        </x14:conditionalFormatting>
      </x14:conditionalFormattings>
    </ex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E3"/>
  <sheetViews>
    <sheetView showGridLines="0" tabSelected="1" workbookViewId="0">
      <selection activeCell="E2" sqref="E2:E3"/>
    </sheetView>
  </sheetViews>
  <sheetFormatPr defaultRowHeight="15" x14ac:dyDescent="0.25"/>
  <cols>
    <col min="1" max="1" width="20.7109375" customWidth="1"/>
    <col min="2" max="2" width="13.5703125" bestFit="1" customWidth="1"/>
    <col min="4" max="4" width="14.7109375" customWidth="1"/>
    <col min="5" max="5" width="70.42578125" bestFit="1" customWidth="1"/>
  </cols>
  <sheetData>
    <row r="1" spans="1:5" x14ac:dyDescent="0.25">
      <c r="A1" s="24" t="s">
        <v>265</v>
      </c>
      <c r="B1" s="28">
        <v>45839</v>
      </c>
      <c r="D1" s="24" t="s">
        <v>267</v>
      </c>
      <c r="E1" s="29" t="s">
        <v>268</v>
      </c>
    </row>
    <row r="2" spans="1:5" x14ac:dyDescent="0.25">
      <c r="A2" s="24" t="s">
        <v>259</v>
      </c>
      <c r="B2" s="30">
        <v>0.75</v>
      </c>
      <c r="D2" s="24" t="s">
        <v>241</v>
      </c>
      <c r="E2" s="40" t="s">
        <v>324</v>
      </c>
    </row>
    <row r="3" spans="1:5" x14ac:dyDescent="0.25">
      <c r="D3" s="24" t="s">
        <v>323</v>
      </c>
      <c r="E3" s="40" t="s">
        <v>325</v>
      </c>
    </row>
  </sheetData>
  <hyperlinks>
    <hyperlink ref="E1" r:id="rId1" xr:uid="{5E8860C9-D945-4D2C-8E62-DBDFC70167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M16"/>
  <sheetViews>
    <sheetView showGridLines="0" topLeftCell="Q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11.42578125" bestFit="1" customWidth="1"/>
    <col min="10" max="13" width="12.42578125" bestFit="1" customWidth="1"/>
    <col min="14" max="14" width="10.28515625" bestFit="1" customWidth="1"/>
    <col min="17" max="17" width="20" bestFit="1" customWidth="1"/>
  </cols>
  <sheetData>
    <row r="1" spans="1:39" x14ac:dyDescent="0.25">
      <c r="I1" t="str" cm="1">
        <f t="array" ref="I1:N1">TRANSPOSE(_xlfn.UNIQUE(_xlfn._xlws.FILTER(_xlfn.SORTBY(View[Close Quarter],View[Close Date],1),View[Visible]=1)))</f>
        <v>FY26-Q1</v>
      </c>
      <c r="J1" t="str">
        <v>FY26-Q2</v>
      </c>
      <c r="K1" t="str">
        <v>FY26-Q3</v>
      </c>
      <c r="L1" t="str">
        <v>FY26-Q4</v>
      </c>
      <c r="M1" t="str">
        <v>FY27-Q1</v>
      </c>
      <c r="N1" t="str">
        <v>FY27-Q2</v>
      </c>
      <c r="R1" t="str" cm="1">
        <f t="array" ref="R1:W1">TRANSPOSE(_xlfn.UNIQUE(_xlfn._xlws.FILTER(_xlfn.SORTBY(View[Close Quarter],View[Close Date],-1),View[Visible]=1)))</f>
        <v>FY27-Q2</v>
      </c>
      <c r="S1" t="str">
        <v>FY27-Q1</v>
      </c>
      <c r="T1" t="str">
        <v>FY26-Q4</v>
      </c>
      <c r="U1" t="str">
        <v>FY26-Q3</v>
      </c>
      <c r="V1" t="str">
        <v>FY26-Q2</v>
      </c>
      <c r="W1" t="str">
        <v>FY26-Q1</v>
      </c>
      <c r="AH1" t="str" cm="1">
        <f t="array" ref="AH1:AM1">TRANSPOSE(_xlfn.UNIQUE(_xlfn.SORTBY(View[Close Quarter],(View[Close Date]),-1)))</f>
        <v>FY27-Q2</v>
      </c>
      <c r="AI1" t="str">
        <v>FY27-Q1</v>
      </c>
      <c r="AJ1" t="str">
        <v>FY26-Q4</v>
      </c>
      <c r="AK1" t="str">
        <v>FY26-Q3</v>
      </c>
      <c r="AL1" t="str">
        <v>FY26-Q2</v>
      </c>
      <c r="AM1" t="str">
        <v>FY26-Q1</v>
      </c>
    </row>
    <row r="2" spans="1:39" x14ac:dyDescent="0.25">
      <c r="B2" s="18">
        <f>SUBTOTAL(9, View[Unweighted])/1000</f>
        <v>36.005758999999998</v>
      </c>
      <c r="C2" s="19">
        <f>SUBTOTAL(3,View[[🔗Customer ]])</f>
        <v>36</v>
      </c>
      <c r="D2" s="20">
        <f>(B2-(SUBTOTAL(9,View[Estmated Revenue])/1000))/B2</f>
        <v>0.45331276728814401</v>
      </c>
      <c r="E2" s="22">
        <f>SUMIFS(View[Unweighted],View[High Probability],TRUE,View[Visible],1)/1000</f>
        <v>12.352827</v>
      </c>
      <c r="H2" t="s">
        <v>266</v>
      </c>
      <c r="I2">
        <f>IF(I1="","",COUNTIFS(View[Visible],1,View[Close Quarter],graphics!I1))</f>
        <v>4</v>
      </c>
      <c r="J2">
        <f>IF(J1="","",COUNTIFS(View[Visible],1,View[Close Quarter],graphics!J1))</f>
        <v>7</v>
      </c>
      <c r="K2">
        <f>IF(K1="","",COUNTIFS(View[Visible],1,View[Close Quarter],graphics!K1))</f>
        <v>5</v>
      </c>
      <c r="L2">
        <f>IF(L1="","",COUNTIFS(View[Visible],1,View[Close Quarter],graphics!L1))</f>
        <v>8</v>
      </c>
      <c r="M2">
        <f>IF(M1="","",COUNTIFS(View[Visible],1,View[Close Quarter],graphics!M1))</f>
        <v>7</v>
      </c>
      <c r="N2">
        <f>IF(N1="","",COUNTIFS(View[Visible],1,View[Close Quarter],graphics!N1))</f>
        <v>5</v>
      </c>
      <c r="Q2" t="e" cm="1">
        <f t="array" ref="Q2">(_xlfn._xlws.SORT(_xlfn.UNIQUE(#REF!)))</f>
        <v>#REF!</v>
      </c>
      <c r="R2" t="e">
        <f>IF(R$1="","",SUMIFS(View[Unweighted],View[Close Quarter],R$1,#REF!,$Q2,View[Visible],1)/1000)</f>
        <v>#REF!</v>
      </c>
      <c r="S2" t="e">
        <f>IF(S$1="","",SUMIFS(View[Unweighted],View[Close Quarter],S$1,#REF!,$Q2,View[Visible],1)/1000)</f>
        <v>#REF!</v>
      </c>
      <c r="T2" t="e">
        <f>IF(T$1="","",SUMIFS(View[Unweighted],View[Close Quarter],T$1,#REF!,$Q2,View[Visible],1)/1000)</f>
        <v>#REF!</v>
      </c>
      <c r="U2" t="e">
        <f>IF(U$1="","",SUMIFS(View[Unweighted],View[Close Quarter],U$1,#REF!,$Q2,View[Visible],1)/1000)</f>
        <v>#REF!</v>
      </c>
      <c r="V2" t="e">
        <f>IF(V$1="","",SUMIFS(View[Unweighted],View[Close Quarter],V$1,#REF!,$Q2,View[Visible],1)/1000)</f>
        <v>#REF!</v>
      </c>
      <c r="W2" t="e">
        <f>IF(W$1="","",SUMIFS(View[Unweighted],View[Close Quarter],W$1,#REF!,$Q2,View[Visible],1)/1000)</f>
        <v>#REF!</v>
      </c>
      <c r="AF2" t="s">
        <v>315</v>
      </c>
      <c r="AG2" t="s">
        <v>225</v>
      </c>
      <c r="AH2" s="37">
        <f>IF(AH$1="","",SUMIFS(View[Unweighted],View[Close Quarter],AH$1,View[S],$AF2,View[Visible],1)/1000)</f>
        <v>0</v>
      </c>
      <c r="AI2" s="37">
        <f>IF(AI$1="","",SUMIFS(View[Unweighted],View[Close Quarter],AI$1,View[S],$AF2,View[Visible],1)/1000)</f>
        <v>1.106463</v>
      </c>
      <c r="AJ2" s="37">
        <f>IF(AJ$1="","",SUMIFS(View[Unweighted],View[Close Quarter],AJ$1,View[S],$AF2,View[Visible],1)/1000)</f>
        <v>0</v>
      </c>
      <c r="AK2" s="37">
        <f>IF(AK$1="","",SUMIFS(View[Unweighted],View[Close Quarter],AK$1,View[S],$AF2,View[Visible],1)/1000)</f>
        <v>0</v>
      </c>
      <c r="AL2" s="37">
        <f>IF(AL$1="","",SUMIFS(View[Unweighted],View[Close Quarter],AL$1,View[S],$AF2,View[Visible],1)/1000)</f>
        <v>1.392377</v>
      </c>
      <c r="AM2" s="37">
        <f>IF(AM$1="","",SUMIFS(View[Unweighted],View[Close Quarter],AM$1,View[S],$AF2,View[Visible],1)/1000)</f>
        <v>0</v>
      </c>
    </row>
    <row r="3" spans="1:39" x14ac:dyDescent="0.25">
      <c r="B3" s="17" t="s">
        <v>231</v>
      </c>
      <c r="C3" s="17" t="s">
        <v>258</v>
      </c>
      <c r="D3" s="17" t="s">
        <v>232</v>
      </c>
      <c r="E3" s="9" t="s">
        <v>233</v>
      </c>
      <c r="H3" t="s">
        <v>256</v>
      </c>
      <c r="I3" s="8">
        <f>IF(I1="","",SUMIFS(View[Unweighted],View[Visible],1,View[Close Quarter],graphics!I$1)/1000)</f>
        <v>3.5885249999999997</v>
      </c>
      <c r="J3" s="8">
        <f>IF(J1="","",SUMIFS(View[Unweighted],View[Visible],1,View[Close Quarter],graphics!J$1)/1000)</f>
        <v>6.1676229999999999</v>
      </c>
      <c r="K3" s="8">
        <f>IF(K1="","",SUMIFS(View[Unweighted],View[Visible],1,View[Close Quarter],graphics!K$1)/1000)</f>
        <v>6.7755199999999993</v>
      </c>
      <c r="L3" s="8">
        <f>IF(L1="","",SUMIFS(View[Unweighted],View[Visible],1,View[Close Quarter],graphics!L$1)/1000)</f>
        <v>6.8264359999999993</v>
      </c>
      <c r="M3" s="8">
        <f>IF(M1="","",SUMIFS(View[Unweighted],View[Visible],1,View[Close Quarter],graphics!M$1)/1000)</f>
        <v>7.5690479999999996</v>
      </c>
      <c r="N3" s="8">
        <f>IF(N1="","",SUMIFS(View[Unweighted],View[Visible],1,View[Close Quarter],graphics!N$1)/1000)</f>
        <v>5.0786069999999999</v>
      </c>
      <c r="R3" t="e">
        <f>IF(R$1="","",SUMIFS(View[Unweighted],View[Close Quarter],R$1,#REF!,$Q3,View[Visible],1)/1000)</f>
        <v>#REF!</v>
      </c>
      <c r="S3" t="e">
        <f>IF(S$1="","",SUMIFS(View[Unweighted],View[Close Quarter],S$1,#REF!,$Q3,View[Visible],1)/1000)</f>
        <v>#REF!</v>
      </c>
      <c r="T3" t="e">
        <f>IF(T$1="","",SUMIFS(View[Unweighted],View[Close Quarter],T$1,#REF!,$Q3,View[Visible],1)/1000)</f>
        <v>#REF!</v>
      </c>
      <c r="U3" t="e">
        <f>IF(U$1="","",SUMIFS(View[Unweighted],View[Close Quarter],U$1,#REF!,$Q3,View[Visible],1)/1000)</f>
        <v>#REF!</v>
      </c>
      <c r="V3" t="e">
        <f>IF(V$1="","",SUMIFS(View[Unweighted],View[Close Quarter],V$1,#REF!,$Q3,View[Visible],1)/1000)</f>
        <v>#REF!</v>
      </c>
      <c r="W3" t="e">
        <f>IF(W$1="","",SUMIFS(View[Unweighted],View[Close Quarter],W$1,#REF!,$Q3,View[Visible],1)/1000)</f>
        <v>#REF!</v>
      </c>
      <c r="AF3" t="s">
        <v>316</v>
      </c>
      <c r="AG3" t="s">
        <v>187</v>
      </c>
      <c r="AH3" s="37">
        <f>IF(AH$1="","",SUMIFS(View[Unweighted],View[Close Quarter],AH$1,View[S],$AF3,View[Visible],1)/1000)</f>
        <v>2.0492489999999997</v>
      </c>
      <c r="AI3" s="37">
        <f>IF(AI$1="","",SUMIFS(View[Unweighted],View[Close Quarter],AI$1,View[S],$AF3,View[Visible],1)/1000)</f>
        <v>3.5772529999999998</v>
      </c>
      <c r="AJ3" s="37">
        <f>IF(AJ$1="","",SUMIFS(View[Unweighted],View[Close Quarter],AJ$1,View[S],$AF3,View[Visible],1)/1000)</f>
        <v>3.7233490000000002</v>
      </c>
      <c r="AK3" s="37">
        <f>IF(AK$1="","",SUMIFS(View[Unweighted],View[Close Quarter],AK$1,View[S],$AF3,View[Visible],1)/1000)</f>
        <v>0</v>
      </c>
      <c r="AL3" s="37">
        <f>IF(AL$1="","",SUMIFS(View[Unweighted],View[Close Quarter],AL$1,View[S],$AF3,View[Visible],1)/1000)</f>
        <v>0.920713</v>
      </c>
      <c r="AM3" s="37">
        <f>IF(AM$1="","",SUMIFS(View[Unweighted],View[Close Quarter],AM$1,View[S],$AF3,View[Visible],1)/1000)</f>
        <v>0.96705300000000005</v>
      </c>
    </row>
    <row r="4" spans="1:39" x14ac:dyDescent="0.25">
      <c r="H4" t="s">
        <v>254</v>
      </c>
      <c r="I4" s="8">
        <f>IF(I1="","",SUMIFS(View[Estmated Revenue],View[Visible],1,View[Close Quarter],graphics!I$1)/1000)</f>
        <v>1.6491303794000001</v>
      </c>
      <c r="J4" s="8">
        <f>IF(J1="","",SUMIFS(View[Estmated Revenue],View[Visible],1,View[Close Quarter],graphics!J$1)/1000)</f>
        <v>4.0452612600000002</v>
      </c>
      <c r="K4" s="8">
        <f>IF(K1="","",SUMIFS(View[Estmated Revenue],View[Visible],1,View[Close Quarter],graphics!K$1)/1000)</f>
        <v>3.1521887799999999</v>
      </c>
      <c r="L4" s="8">
        <f>IF(L1="","",SUMIFS(View[Estmated Revenue],View[Visible],1,View[Close Quarter],graphics!L$1)/1000)</f>
        <v>3.4193480199999997</v>
      </c>
      <c r="M4" s="8">
        <f>IF(M1="","",SUMIFS(View[Estmated Revenue],View[Visible],1,View[Close Quarter],graphics!M$1)/1000)</f>
        <v>3.9844452100000005</v>
      </c>
      <c r="N4" s="8">
        <f>IF(N1="","",SUMIFS(View[Estmated Revenue],View[Visible],1,View[Close Quarter],graphics!N$1)/1000)</f>
        <v>3.4335151000000002</v>
      </c>
      <c r="R4" t="e">
        <f>IF(R$1="","",SUMIFS(View[Unweighted],View[Close Quarter],R$1,#REF!,$Q4,View[Visible],1)/1000)</f>
        <v>#REF!</v>
      </c>
      <c r="S4" t="e">
        <f>IF(S$1="","",SUMIFS(View[Unweighted],View[Close Quarter],S$1,#REF!,$Q4,View[Visible],1)/1000)</f>
        <v>#REF!</v>
      </c>
      <c r="T4" t="e">
        <f>IF(T$1="","",SUMIFS(View[Unweighted],View[Close Quarter],T$1,#REF!,$Q4,View[Visible],1)/1000)</f>
        <v>#REF!</v>
      </c>
      <c r="U4" t="e">
        <f>IF(U$1="","",SUMIFS(View[Unweighted],View[Close Quarter],U$1,#REF!,$Q4,View[Visible],1)/1000)</f>
        <v>#REF!</v>
      </c>
      <c r="V4" t="e">
        <f>IF(V$1="","",SUMIFS(View[Unweighted],View[Close Quarter],V$1,#REF!,$Q4,View[Visible],1)/1000)</f>
        <v>#REF!</v>
      </c>
      <c r="W4" t="e">
        <f>IF(W$1="","",SUMIFS(View[Unweighted],View[Close Quarter],W$1,#REF!,$Q4,View[Visible],1)/1000)</f>
        <v>#REF!</v>
      </c>
      <c r="AF4" t="s">
        <v>317</v>
      </c>
      <c r="AG4" t="s">
        <v>190</v>
      </c>
      <c r="AH4" s="37">
        <f>IF(AH$1="","",SUMIFS(View[Unweighted],View[Close Quarter],AH$1,View[S],$AF4,View[Visible],1)/1000)</f>
        <v>3.0293580000000002</v>
      </c>
      <c r="AI4" s="37">
        <f>IF(AI$1="","",SUMIFS(View[Unweighted],View[Close Quarter],AI$1,View[S],$AF4,View[Visible],1)/1000)</f>
        <v>2.885332</v>
      </c>
      <c r="AJ4" s="37">
        <f>IF(AJ$1="","",SUMIFS(View[Unweighted],View[Close Quarter],AJ$1,View[S],$AF4,View[Visible],1)/1000)</f>
        <v>3.1030869999999999</v>
      </c>
      <c r="AK4" s="37">
        <f>IF(AK$1="","",SUMIFS(View[Unweighted],View[Close Quarter],AK$1,View[S],$AF4,View[Visible],1)/1000)</f>
        <v>6.7755199999999993</v>
      </c>
      <c r="AL4" s="37">
        <f>IF(AL$1="","",SUMIFS(View[Unweighted],View[Close Quarter],AL$1,View[S],$AF4,View[Visible],1)/1000)</f>
        <v>3.8545329999999995</v>
      </c>
      <c r="AM4" s="37">
        <f>IF(AM$1="","",SUMIFS(View[Unweighted],View[Close Quarter],AM$1,View[S],$AF4,View[Visible],1)/1000)</f>
        <v>2.6214719999999998</v>
      </c>
    </row>
    <row r="5" spans="1:39" x14ac:dyDescent="0.25">
      <c r="R5" t="e">
        <f>IF(R$1="","",SUMIFS(View[Unweighted],View[Close Quarter],R$1,#REF!,$Q5,View[Visible],1)/1000)</f>
        <v>#REF!</v>
      </c>
      <c r="S5" t="e">
        <f>IF(S$1="","",SUMIFS(View[Unweighted],View[Close Quarter],S$1,#REF!,$Q5,View[Visible],1)/1000)</f>
        <v>#REF!</v>
      </c>
      <c r="T5" t="e">
        <f>IF(T$1="","",SUMIFS(View[Unweighted],View[Close Quarter],T$1,#REF!,$Q5,View[Visible],1)/1000)</f>
        <v>#REF!</v>
      </c>
      <c r="U5" t="e">
        <f>IF(U$1="","",SUMIFS(View[Unweighted],View[Close Quarter],U$1,#REF!,$Q5,View[Visible],1)/1000)</f>
        <v>#REF!</v>
      </c>
      <c r="V5" t="e">
        <f>IF(V$1="","",SUMIFS(View[Unweighted],View[Close Quarter],V$1,#REF!,$Q5,View[Visible],1)/1000)</f>
        <v>#REF!</v>
      </c>
      <c r="W5" t="e">
        <f>IF(W$1="","",SUMIFS(View[Unweighted],View[Close Quarter],W$1,#REF!,$Q5,View[Visible],1)/1000)</f>
        <v>#REF!</v>
      </c>
    </row>
    <row r="6" spans="1:39" x14ac:dyDescent="0.25">
      <c r="R6" t="e">
        <f>IF(R$1="","",SUMIFS(View[Unweighted],View[Close Quarter],R$1,#REF!,$Q6,View[Visible],1)/1000)</f>
        <v>#REF!</v>
      </c>
      <c r="S6" t="e">
        <f>IF(S$1="","",SUMIFS(View[Unweighted],View[Close Quarter],S$1,#REF!,$Q6,View[Visible],1)/1000)</f>
        <v>#REF!</v>
      </c>
      <c r="T6" t="e">
        <f>IF(T$1="","",SUMIFS(View[Unweighted],View[Close Quarter],T$1,#REF!,$Q6,View[Visible],1)/1000)</f>
        <v>#REF!</v>
      </c>
      <c r="U6" t="e">
        <f>IF(U$1="","",SUMIFS(View[Unweighted],View[Close Quarter],U$1,#REF!,$Q6,View[Visible],1)/1000)</f>
        <v>#REF!</v>
      </c>
      <c r="V6" t="e">
        <f>IF(V$1="","",SUMIFS(View[Unweighted],View[Close Quarter],V$1,#REF!,$Q6,View[Visible],1)/1000)</f>
        <v>#REF!</v>
      </c>
      <c r="W6" t="e">
        <f>IF(W$1="","",SUMIFS(View[Unweighted],View[Close Quarter],W$1,#REF!,$Q6,View[Visible],1)/1000)</f>
        <v>#REF!</v>
      </c>
    </row>
    <row r="7" spans="1:39" x14ac:dyDescent="0.25">
      <c r="R7" t="e">
        <f>IF(R$1="","",SUMIFS(View[Unweighted],View[Close Quarter],R$1,#REF!,$Q7,View[Visible],1)/1000)</f>
        <v>#REF!</v>
      </c>
      <c r="S7" t="e">
        <f>IF(S$1="","",SUMIFS(View[Unweighted],View[Close Quarter],S$1,#REF!,$Q7,View[Visible],1)/1000)</f>
        <v>#REF!</v>
      </c>
      <c r="T7" t="e">
        <f>IF(T$1="","",SUMIFS(View[Unweighted],View[Close Quarter],T$1,#REF!,$Q7,View[Visible],1)/1000)</f>
        <v>#REF!</v>
      </c>
      <c r="U7" t="e">
        <f>IF(U$1="","",SUMIFS(View[Unweighted],View[Close Quarter],U$1,#REF!,$Q7,View[Visible],1)/1000)</f>
        <v>#REF!</v>
      </c>
      <c r="V7" t="e">
        <f>IF(V$1="","",SUMIFS(View[Unweighted],View[Close Quarter],V$1,#REF!,$Q7,View[Visible],1)/1000)</f>
        <v>#REF!</v>
      </c>
      <c r="W7" t="e">
        <f>IF(W$1="","",SUMIFS(View[Unweighted],View[Close Quarter],W$1,#REF!,$Q7,View[Visible],1)/1000)</f>
        <v>#REF!</v>
      </c>
    </row>
    <row r="10" spans="1:39" x14ac:dyDescent="0.25">
      <c r="B10" t="s">
        <v>182</v>
      </c>
      <c r="C10" t="s">
        <v>266</v>
      </c>
      <c r="D10" t="s">
        <v>183</v>
      </c>
    </row>
    <row r="11" spans="1:39" x14ac:dyDescent="0.25">
      <c r="A11" t="str">
        <f>_xlfn.XLOOKUP(B11,Opportunities[DisplayStage],Opportunities[Stage])</f>
        <v>Lead Qualification</v>
      </c>
      <c r="B11" t="str" cm="1">
        <f t="array" ref="B11:B16">_xlfn._xlws.SORT(_xlfn.UNIQUE(View[Stage]))</f>
        <v>1 - Lead Qualification</v>
      </c>
      <c r="C11">
        <f>COUNTIFS(View[Stage],B11,View[Visible],1)</f>
        <v>10</v>
      </c>
      <c r="D11" s="27" t="e">
        <f>SUMIFS(View[Opportunity Value],#REF!,B11,View[Visible],1)/1000</f>
        <v>#REF!</v>
      </c>
    </row>
    <row r="12" spans="1:39" x14ac:dyDescent="0.25">
      <c r="A12" t="str">
        <f>_xlfn.XLOOKUP(B12,Opportunities[DisplayStage],Opportunities[Stage])</f>
        <v>Nurturing</v>
      </c>
      <c r="B12" t="str">
        <v>2 - Nurturing</v>
      </c>
      <c r="C12">
        <f>COUNTIF(View[Stage],B12)</f>
        <v>8</v>
      </c>
      <c r="D12" s="27" t="e">
        <f>SUMIFS(View[Opportunity Value],#REF!,B12,View[Visible],1)/1000</f>
        <v>#REF!</v>
      </c>
    </row>
    <row r="13" spans="1:39" x14ac:dyDescent="0.25">
      <c r="A13" t="str">
        <f>_xlfn.XLOOKUP(B13,Opportunities[DisplayStage],Opportunities[Stage])</f>
        <v>Proposal</v>
      </c>
      <c r="B13" t="str">
        <v>3 - Proposal</v>
      </c>
      <c r="C13">
        <f>COUNTIF(View[Stage],B13)</f>
        <v>6</v>
      </c>
      <c r="D13" s="27" t="e">
        <f>SUMIFS(View[Opportunity Value],#REF!,B13,View[Visible],1)/1000</f>
        <v>#REF!</v>
      </c>
    </row>
    <row r="14" spans="1:39" x14ac:dyDescent="0.25">
      <c r="A14" t="str">
        <f>_xlfn.XLOOKUP(B14,Opportunities[DisplayStage],Opportunities[Stage])</f>
        <v>Negotiation</v>
      </c>
      <c r="B14" t="str">
        <v>4 - Negotiation</v>
      </c>
      <c r="C14">
        <f>COUNTIF(View[Stage],B14)</f>
        <v>4</v>
      </c>
      <c r="D14" s="27" t="e">
        <f>SUMIFS(View[Opportunity Value],#REF!,B14,View[Visible],1)/1000</f>
        <v>#REF!</v>
      </c>
    </row>
    <row r="15" spans="1:39" x14ac:dyDescent="0.25">
      <c r="A15" t="str">
        <f>_xlfn.XLOOKUP(B15,Opportunities[DisplayStage],Opportunities[Stage])</f>
        <v>Project Execution</v>
      </c>
      <c r="B15" t="str">
        <v>5 - Project Execution</v>
      </c>
      <c r="C15">
        <f>COUNTIF(View[Stage],B15)</f>
        <v>6</v>
      </c>
      <c r="D15" s="27" t="e">
        <f>SUMIFS(View[Opportunity Value],#REF!,B15,View[Visible],1)/1000</f>
        <v>#REF!</v>
      </c>
    </row>
    <row r="16" spans="1:39" x14ac:dyDescent="0.25">
      <c r="A16" t="str">
        <f>_xlfn.XLOOKUP(B16,Opportunities[DisplayStage],Opportunities[Stage])</f>
        <v>Closeout</v>
      </c>
      <c r="B16" t="str">
        <v>6 - Closeout</v>
      </c>
      <c r="C16">
        <f>COUNTIF(View[Stage],B16)</f>
        <v>2</v>
      </c>
      <c r="D16" s="27" t="e">
        <f>SUMIFS(View[Opportunity Value],#REF!,B16,View[Visible],1)/1000</f>
        <v>#REF!</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W37"/>
  <sheetViews>
    <sheetView zoomScale="85" zoomScaleNormal="85" workbookViewId="0">
      <selection sqref="A1:S37"/>
    </sheetView>
  </sheetViews>
  <sheetFormatPr defaultRowHeight="15" x14ac:dyDescent="0.25"/>
  <cols>
    <col min="1" max="1" width="5.42578125" bestFit="1" customWidth="1"/>
    <col min="2" max="2" width="30.28515625" bestFit="1" customWidth="1"/>
    <col min="3" max="3" width="9.28515625" bestFit="1" customWidth="1"/>
    <col min="4" max="4" width="17.42578125" bestFit="1" customWidth="1"/>
    <col min="5" max="5" width="10.7109375" bestFit="1" customWidth="1"/>
    <col min="6" max="6" width="13.140625" bestFit="1" customWidth="1"/>
    <col min="7" max="7" width="14.140625" bestFit="1" customWidth="1"/>
    <col min="8" max="8" width="13.42578125" bestFit="1" customWidth="1"/>
    <col min="9" max="9" width="16.7109375" bestFit="1" customWidth="1"/>
    <col min="10" max="10" width="21.140625" bestFit="1" customWidth="1"/>
    <col min="11" max="11" width="53.7109375" bestFit="1" customWidth="1"/>
    <col min="12" max="12" width="12.425781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9" bestFit="1" customWidth="1"/>
    <col min="21" max="21" width="8.85546875" bestFit="1" customWidth="1"/>
    <col min="22" max="22" width="81.140625" bestFit="1" customWidth="1"/>
    <col min="23" max="23" width="15.7109375" bestFit="1" customWidth="1"/>
    <col min="24" max="24" width="20" bestFit="1" customWidth="1"/>
    <col min="25" max="25" width="13.42578125" bestFit="1" customWidth="1"/>
    <col min="26" max="26" width="14.5703125" bestFit="1" customWidth="1"/>
    <col min="27" max="27" width="15" bestFit="1" customWidth="1"/>
    <col min="28" max="28" width="14" bestFit="1" customWidth="1"/>
    <col min="29" max="29" width="13.28515625" bestFit="1" customWidth="1"/>
    <col min="30" max="30" width="13.85546875" bestFit="1" customWidth="1"/>
    <col min="31" max="32" width="13.42578125" bestFit="1" customWidth="1"/>
    <col min="33" max="33" width="21.85546875" bestFit="1" customWidth="1"/>
    <col min="34" max="34" width="18" bestFit="1" customWidth="1"/>
    <col min="35" max="35" width="25" bestFit="1" customWidth="1"/>
    <col min="36" max="36" width="38" bestFit="1" customWidth="1"/>
  </cols>
  <sheetData>
    <row r="1" spans="1:23" x14ac:dyDescent="0.25">
      <c r="A1" t="s">
        <v>0</v>
      </c>
      <c r="B1" t="s">
        <v>1</v>
      </c>
      <c r="C1" t="s">
        <v>181</v>
      </c>
      <c r="D1" t="s">
        <v>182</v>
      </c>
      <c r="E1" t="s">
        <v>183</v>
      </c>
      <c r="F1" t="s">
        <v>184</v>
      </c>
      <c r="G1" t="s">
        <v>239</v>
      </c>
      <c r="H1" t="s">
        <v>240</v>
      </c>
      <c r="I1" t="s">
        <v>245</v>
      </c>
      <c r="J1" t="s">
        <v>246</v>
      </c>
      <c r="K1" t="s">
        <v>263</v>
      </c>
      <c r="L1" t="s">
        <v>241</v>
      </c>
      <c r="M1" t="s">
        <v>236</v>
      </c>
      <c r="N1" t="s">
        <v>237</v>
      </c>
      <c r="O1" t="s">
        <v>234</v>
      </c>
      <c r="P1" t="s">
        <v>242</v>
      </c>
      <c r="Q1" t="s">
        <v>243</v>
      </c>
      <c r="R1" t="s">
        <v>254</v>
      </c>
      <c r="S1" t="s">
        <v>310</v>
      </c>
      <c r="W1" t="s">
        <v>269</v>
      </c>
    </row>
    <row r="2" spans="1:23" x14ac:dyDescent="0.25">
      <c r="A2">
        <v>1</v>
      </c>
      <c r="B2" t="s">
        <v>186</v>
      </c>
      <c r="C2" t="s">
        <v>187</v>
      </c>
      <c r="D2" t="s">
        <v>188</v>
      </c>
      <c r="E2">
        <v>1263177</v>
      </c>
      <c r="F2">
        <v>0.93</v>
      </c>
      <c r="G2">
        <v>1</v>
      </c>
      <c r="H2">
        <v>46292.291666666664</v>
      </c>
      <c r="J2">
        <v>45934.291666666664</v>
      </c>
      <c r="L2" t="s">
        <v>309</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"https://cleansheet5.sharepoint.com/sites/SalesFunnel/Lists/Opportunities/DispForm.aspx?ID="&amp;Opportunities[[#This Row],[Id]]</f>
        <v>https://cleansheet5.sharepoint.com/sites/SalesFunnel/Lists/Opportunities/DispForm.aspx?ID=1</v>
      </c>
      <c r="P2">
        <f>_xlfn.XLOOKUP(Opportunities[[#This Row],[Stage]],stage[Stage],stage[Index])</f>
        <v>4</v>
      </c>
      <c r="Q2" t="str">
        <f>Opportunities[[#This Row],[StageNumber]]&amp;" - "&amp;Opportunities[[#This Row],[Stage]]</f>
        <v>4 - Negotiation</v>
      </c>
      <c r="R2">
        <f>Opportunities[[#This Row],[Amount]]*Opportunities[[#This Row],[Probability]]</f>
        <v>1174754.6100000001</v>
      </c>
      <c r="S2" t="str" cm="1">
        <f t="array" ref="S2">_xlfn.SWITCH(Opportunities[[#This Row],[Status]],"At Risk","⚠","Active","✓","⮾")</f>
        <v>⚠</v>
      </c>
      <c r="W2" t="s">
        <v>270</v>
      </c>
    </row>
    <row r="3" spans="1:23" x14ac:dyDescent="0.25">
      <c r="A3">
        <v>2</v>
      </c>
      <c r="B3" t="s">
        <v>189</v>
      </c>
      <c r="C3" t="s">
        <v>190</v>
      </c>
      <c r="D3" t="s">
        <v>191</v>
      </c>
      <c r="E3">
        <v>1378251</v>
      </c>
      <c r="F3">
        <v>0.18</v>
      </c>
      <c r="G3">
        <v>1</v>
      </c>
      <c r="H3">
        <v>46088.333333333336</v>
      </c>
      <c r="J3">
        <v>45892.291666666664</v>
      </c>
      <c r="L3" t="s">
        <v>309</v>
      </c>
      <c r="M3" t="str">
        <f>" FY"&amp;RIGHT(IF(MONTH(Opportunities[[#This Row],[Close]])&gt;=7,YEAR(Opportunities[[#This Row],[Close]])+1,YEAR(Opportunities[[#This Row],[Close]])),2)&amp;"-Q"&amp;IF(MONTH(Opportunities[[#This Row],[Close]])&gt;=7,CEILING((MONTH(Opportunities[[#This Row],[Close]])-6)/3,1),CEILING((MONTH(Opportunities[[#This Row],[Close]])+6)/3,1))</f>
        <v xml:space="preserve"> FY26-Q3</v>
      </c>
      <c r="N3" t="str">
        <f>"CY"&amp;RIGHT(YEAR(Opportunities[[#This Row],[Close]]),2)&amp;"-Q"&amp;ROUNDUP(MONTH(Opportunities[[#This Row],[Close]])/3, 0)</f>
        <v>CY26-Q1</v>
      </c>
      <c r="O3" t="str">
        <f>"https://cleansheet5.sharepoint.com/sites/SalesFunnel/Lists/Opportunities/DispForm.aspx?ID="&amp;Opportunities[[#This Row],[Id]]</f>
        <v>https://cleansheet5.sharepoint.com/sites/SalesFunnel/Lists/Opportunities/DispForm.aspx?ID=2</v>
      </c>
      <c r="P3">
        <f>_xlfn.XLOOKUP(Opportunities[[#This Row],[Stage]],stage[Stage],stage[Index])</f>
        <v>1</v>
      </c>
      <c r="Q3" t="str">
        <f>Opportunities[[#This Row],[StageNumber]]&amp;" - "&amp;Opportunities[[#This Row],[Stage]]</f>
        <v>1 - Lead Qualification</v>
      </c>
      <c r="R3">
        <f>Opportunities[[#This Row],[Amount]]*Opportunities[[#This Row],[Probability]]</f>
        <v>248085.18</v>
      </c>
      <c r="S3" t="str" cm="1">
        <f t="array" ref="S3">_xlfn.SWITCH(Opportunities[[#This Row],[Status]],"At Risk","⚠","Active","✓","⮾")</f>
        <v>✓</v>
      </c>
      <c r="W3" t="s">
        <v>271</v>
      </c>
    </row>
    <row r="4" spans="1:23" x14ac:dyDescent="0.25">
      <c r="A4">
        <v>3</v>
      </c>
      <c r="B4" t="s">
        <v>192</v>
      </c>
      <c r="C4" t="s">
        <v>190</v>
      </c>
      <c r="D4" t="s">
        <v>191</v>
      </c>
      <c r="E4">
        <v>283295</v>
      </c>
      <c r="F4">
        <v>0.11</v>
      </c>
      <c r="G4">
        <v>1</v>
      </c>
      <c r="H4">
        <v>46176.291666666664</v>
      </c>
      <c r="J4">
        <v>45963.291666666664</v>
      </c>
      <c r="L4" t="s">
        <v>309</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"https://cleansheet5.sharepoint.com/sites/SalesFunnel/Lists/Opportunities/DispForm.aspx?ID="&amp;Opportunities[[#This Row],[Id]]</f>
        <v>https://cleansheet5.sharepoint.com/sites/SalesFunnel/Lists/Opportunities/DispForm.aspx?ID=3</v>
      </c>
      <c r="P4">
        <f>_xlfn.XLOOKUP(Opportunities[[#This Row],[Stage]],stage[Stage],stage[Index])</f>
        <v>1</v>
      </c>
      <c r="Q4" t="str">
        <f>Opportunities[[#This Row],[StageNumber]]&amp;" - "&amp;Opportunities[[#This Row],[Stage]]</f>
        <v>1 - Lead Qualification</v>
      </c>
      <c r="R4">
        <f>Opportunities[[#This Row],[Amount]]*Opportunities[[#This Row],[Probability]]</f>
        <v>31162.45</v>
      </c>
      <c r="S4" t="str" cm="1">
        <f t="array" ref="S4">_xlfn.SWITCH(Opportunities[[#This Row],[Status]],"At Risk","⚠","Active","✓","⮾")</f>
        <v>✓</v>
      </c>
      <c r="W4" t="s">
        <v>272</v>
      </c>
    </row>
    <row r="5" spans="1:23" x14ac:dyDescent="0.25">
      <c r="A5">
        <v>4</v>
      </c>
      <c r="B5" t="s">
        <v>193</v>
      </c>
      <c r="C5" t="s">
        <v>190</v>
      </c>
      <c r="D5" t="s">
        <v>191</v>
      </c>
      <c r="E5">
        <v>845875</v>
      </c>
      <c r="F5">
        <v>0.15</v>
      </c>
      <c r="G5">
        <v>2</v>
      </c>
      <c r="H5">
        <v>46173.291666666664</v>
      </c>
      <c r="J5">
        <v>45938.291666666664</v>
      </c>
      <c r="L5" t="s">
        <v>309</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"https://cleansheet5.sharepoint.com/sites/SalesFunnel/Lists/Opportunities/DispForm.aspx?ID="&amp;Opportunities[[#This Row],[Id]]</f>
        <v>https://cleansheet5.sharepoint.com/sites/SalesFunnel/Lists/Opportunities/DispForm.aspx?ID=4</v>
      </c>
      <c r="P5">
        <f>_xlfn.XLOOKUP(Opportunities[[#This Row],[Stage]],stage[Stage],stage[Index])</f>
        <v>1</v>
      </c>
      <c r="Q5" t="str">
        <f>Opportunities[[#This Row],[StageNumber]]&amp;" - "&amp;Opportunities[[#This Row],[Stage]]</f>
        <v>1 - Lead Qualification</v>
      </c>
      <c r="R5">
        <f>Opportunities[[#This Row],[Amount]]*Opportunities[[#This Row],[Probability]]</f>
        <v>126881.25</v>
      </c>
      <c r="S5" t="str" cm="1">
        <f t="array" ref="S5">_xlfn.SWITCH(Opportunities[[#This Row],[Status]],"At Risk","⚠","Active","✓","⮾")</f>
        <v>✓</v>
      </c>
      <c r="W5" t="s">
        <v>273</v>
      </c>
    </row>
    <row r="6" spans="1:23" x14ac:dyDescent="0.25">
      <c r="A6">
        <v>5</v>
      </c>
      <c r="B6" t="s">
        <v>194</v>
      </c>
      <c r="C6" t="s">
        <v>190</v>
      </c>
      <c r="D6" t="s">
        <v>195</v>
      </c>
      <c r="E6">
        <v>1149947</v>
      </c>
      <c r="F6">
        <v>0.32</v>
      </c>
      <c r="G6">
        <v>3</v>
      </c>
      <c r="H6">
        <v>45977.333333333336</v>
      </c>
      <c r="J6">
        <v>45938.291666666664</v>
      </c>
      <c r="L6" t="s">
        <v>309</v>
      </c>
      <c r="M6" t="str">
        <f>" FY"&amp;RIGHT(IF(MONTH(Opportunities[[#This Row],[Close]])&gt;=7,YEAR(Opportunities[[#This Row],[Close]])+1,YEAR(Opportunities[[#This Row],[Close]])),2)&amp;"-Q"&amp;IF(MONTH(Opportunities[[#This Row],[Close]])&gt;=7,CEILING((MONTH(Opportunities[[#This Row],[Close]])-6)/3,1),CEILING((MONTH(Opportunities[[#This Row],[Close]])+6)/3,1))</f>
        <v xml:space="preserve"> FY26-Q2</v>
      </c>
      <c r="N6" t="str">
        <f>"CY"&amp;RIGHT(YEAR(Opportunities[[#This Row],[Close]]),2)&amp;"-Q"&amp;ROUNDUP(MONTH(Opportunities[[#This Row],[Close]])/3, 0)</f>
        <v>CY25-Q4</v>
      </c>
      <c r="O6" t="str">
        <f>"https://cleansheet5.sharepoint.com/sites/SalesFunnel/Lists/Opportunities/DispForm.aspx?ID="&amp;Opportunities[[#This Row],[Id]]</f>
        <v>https://cleansheet5.sharepoint.com/sites/SalesFunnel/Lists/Opportunities/DispForm.aspx?ID=5</v>
      </c>
      <c r="P6">
        <f>_xlfn.XLOOKUP(Opportunities[[#This Row],[Stage]],stage[Stage],stage[Index])</f>
        <v>5</v>
      </c>
      <c r="Q6" t="str">
        <f>Opportunities[[#This Row],[StageNumber]]&amp;" - "&amp;Opportunities[[#This Row],[Stage]]</f>
        <v>5 - Project Execution</v>
      </c>
      <c r="R6">
        <f>Opportunities[[#This Row],[Amount]]*Opportunities[[#This Row],[Probability]]</f>
        <v>367983.04</v>
      </c>
      <c r="S6" t="str" cm="1">
        <f t="array" ref="S6">_xlfn.SWITCH(Opportunities[[#This Row],[Status]],"At Risk","⚠","Active","✓","⮾")</f>
        <v>✓</v>
      </c>
      <c r="W6" t="s">
        <v>274</v>
      </c>
    </row>
    <row r="7" spans="1:23" x14ac:dyDescent="0.25">
      <c r="A7">
        <v>6</v>
      </c>
      <c r="B7" t="s">
        <v>196</v>
      </c>
      <c r="C7" t="s">
        <v>190</v>
      </c>
      <c r="D7" t="s">
        <v>197</v>
      </c>
      <c r="E7">
        <v>801789</v>
      </c>
      <c r="F7">
        <v>0.32</v>
      </c>
      <c r="G7">
        <v>4</v>
      </c>
      <c r="H7">
        <v>45995.333333333336</v>
      </c>
      <c r="J7">
        <v>45948.291666666664</v>
      </c>
      <c r="L7" t="s">
        <v>309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"https://cleansheet5.sharepoint.com/sites/SalesFunnel/Lists/Opportunities/DispForm.aspx?ID="&amp;Opportunities[[#This Row],[Id]]</f>
        <v>https://cleansheet5.sharepoint.com/sites/SalesFunnel/Lists/Opportunities/DispForm.aspx?ID=6</v>
      </c>
      <c r="P7">
        <f>_xlfn.XLOOKUP(Opportunities[[#This Row],[Stage]],stage[Stage],stage[Index])</f>
        <v>3</v>
      </c>
      <c r="Q7" t="str">
        <f>Opportunities[[#This Row],[StageNumber]]&amp;" - "&amp;Opportunities[[#This Row],[Stage]]</f>
        <v>3 - Proposal</v>
      </c>
      <c r="R7">
        <f>Opportunities[[#This Row],[Amount]]*Opportunities[[#This Row],[Probability]]</f>
        <v>256572.48</v>
      </c>
      <c r="S7" t="str" cm="1">
        <f t="array" ref="S7">_xlfn.SWITCH(Opportunities[[#This Row],[Status]],"At Risk","⚠","Active","✓","⮾")</f>
        <v>✓</v>
      </c>
      <c r="W7" t="s">
        <v>275</v>
      </c>
    </row>
    <row r="8" spans="1:23" x14ac:dyDescent="0.25">
      <c r="A8">
        <v>7</v>
      </c>
      <c r="B8" t="s">
        <v>198</v>
      </c>
      <c r="C8" t="s">
        <v>190</v>
      </c>
      <c r="D8" t="s">
        <v>191</v>
      </c>
      <c r="E8">
        <v>1169952</v>
      </c>
      <c r="F8">
        <v>0.63</v>
      </c>
      <c r="G8">
        <v>5</v>
      </c>
      <c r="H8">
        <v>46130.291666666664</v>
      </c>
      <c r="J8">
        <v>45951.291666666664</v>
      </c>
      <c r="L8" t="s">
        <v>309</v>
      </c>
      <c r="M8" t="str">
        <f>" FY"&amp;RIGHT(IF(MONTH(Opportunities[[#This Row],[Close]])&gt;=7,YEAR(Opportunities[[#This Row],[Close]])+1,YEAR(Opportunities[[#This Row],[Close]])),2)&amp;"-Q"&amp;IF(MONTH(Opportunities[[#This Row],[Close]])&gt;=7,CEILING((MONTH(Opportunities[[#This Row],[Close]])-6)/3,1),CEILING((MONTH(Opportunities[[#This Row],[Close]])+6)/3,1))</f>
        <v xml:space="preserve"> FY26-Q4</v>
      </c>
      <c r="N8" t="str">
        <f>"CY"&amp;RIGHT(YEAR(Opportunities[[#This Row],[Close]]),2)&amp;"-Q"&amp;ROUNDUP(MONTH(Opportunities[[#This Row],[Close]])/3, 0)</f>
        <v>CY26-Q2</v>
      </c>
      <c r="O8" t="str">
        <f>"https://cleansheet5.sharepoint.com/sites/SalesFunnel/Lists/Opportunities/DispForm.aspx?ID="&amp;Opportunities[[#This Row],[Id]]</f>
        <v>https://cleansheet5.sharepoint.com/sites/SalesFunnel/Lists/Opportunities/DispForm.aspx?ID=7</v>
      </c>
      <c r="P8">
        <f>_xlfn.XLOOKUP(Opportunities[[#This Row],[Stage]],stage[Stage],stage[Index])</f>
        <v>1</v>
      </c>
      <c r="Q8" t="str">
        <f>Opportunities[[#This Row],[StageNumber]]&amp;" - "&amp;Opportunities[[#This Row],[Stage]]</f>
        <v>1 - Lead Qualification</v>
      </c>
      <c r="R8">
        <f>Opportunities[[#This Row],[Amount]]*Opportunities[[#This Row],[Probability]]</f>
        <v>737069.76</v>
      </c>
      <c r="S8" t="str" cm="1">
        <f t="array" ref="S8">_xlfn.SWITCH(Opportunities[[#This Row],[Status]],"At Risk","⚠","Active","✓","⮾")</f>
        <v>✓</v>
      </c>
      <c r="W8" t="s">
        <v>276</v>
      </c>
    </row>
    <row r="9" spans="1:23" x14ac:dyDescent="0.25">
      <c r="A9">
        <v>8</v>
      </c>
      <c r="B9" t="s">
        <v>199</v>
      </c>
      <c r="C9" t="s">
        <v>187</v>
      </c>
      <c r="D9" t="s">
        <v>200</v>
      </c>
      <c r="E9">
        <v>1244233</v>
      </c>
      <c r="F9">
        <v>0.16</v>
      </c>
      <c r="G9">
        <v>6</v>
      </c>
      <c r="H9">
        <v>46291.291666666664</v>
      </c>
      <c r="J9">
        <v>45938.291666666664</v>
      </c>
      <c r="L9" t="s">
        <v>309</v>
      </c>
      <c r="M9" t="str">
        <f>" FY"&amp;RIGHT(IF(MONTH(Opportunities[[#This Row],[Close]])&gt;=7,YEAR(Opportunities[[#This Row],[Close]])+1,YEAR(Opportunities[[#This Row],[Close]])),2)&amp;"-Q"&amp;IF(MONTH(Opportunities[[#This Row],[Close]])&gt;=7,CEILING((MONTH(Opportunities[[#This Row],[Close]])-6)/3,1),CEILING((MONTH(Opportunities[[#This Row],[Close]])+6)/3,1))</f>
        <v xml:space="preserve"> FY27-Q1</v>
      </c>
      <c r="N9" t="str">
        <f>"CY"&amp;RIGHT(YEAR(Opportunities[[#This Row],[Close]]),2)&amp;"-Q"&amp;ROUNDUP(MONTH(Opportunities[[#This Row],[Close]])/3, 0)</f>
        <v>CY26-Q3</v>
      </c>
      <c r="O9" t="str">
        <f>"https://cleansheet5.sharepoint.com/sites/SalesFunnel/Lists/Opportunities/DispForm.aspx?ID="&amp;Opportunities[[#This Row],[Id]]</f>
        <v>https://cleansheet5.sharepoint.com/sites/SalesFunnel/Lists/Opportunities/DispForm.aspx?ID=8</v>
      </c>
      <c r="P9">
        <f>_xlfn.XLOOKUP(Opportunities[[#This Row],[Stage]],stage[Stage],stage[Index])</f>
        <v>2</v>
      </c>
      <c r="Q9" t="str">
        <f>Opportunities[[#This Row],[StageNumber]]&amp;" - "&amp;Opportunities[[#This Row],[Stage]]</f>
        <v>2 - Nurturing</v>
      </c>
      <c r="R9">
        <f>Opportunities[[#This Row],[Amount]]*Opportunities[[#This Row],[Probability]]</f>
        <v>199077.28</v>
      </c>
      <c r="S9" t="str" cm="1">
        <f t="array" ref="S9">_xlfn.SWITCH(Opportunities[[#This Row],[Status]],"At Risk","⚠","Active","✓","⮾")</f>
        <v>⚠</v>
      </c>
      <c r="W9" t="s">
        <v>277</v>
      </c>
    </row>
    <row r="10" spans="1:23" x14ac:dyDescent="0.25">
      <c r="A10">
        <v>9</v>
      </c>
      <c r="B10" t="s">
        <v>201</v>
      </c>
      <c r="C10" t="s">
        <v>190</v>
      </c>
      <c r="D10" t="s">
        <v>188</v>
      </c>
      <c r="E10">
        <v>1221094</v>
      </c>
      <c r="F10">
        <v>0.84</v>
      </c>
      <c r="G10">
        <v>7</v>
      </c>
      <c r="H10">
        <v>46047.333333333336</v>
      </c>
      <c r="J10">
        <v>45921.291666666664</v>
      </c>
      <c r="L10" t="s">
        <v>309</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"https://cleansheet5.sharepoint.com/sites/SalesFunnel/Lists/Opportunities/DispForm.aspx?ID="&amp;Opportunities[[#This Row],[Id]]</f>
        <v>https://cleansheet5.sharepoint.com/sites/SalesFunnel/Lists/Opportunities/DispForm.aspx?ID=9</v>
      </c>
      <c r="P10">
        <f>_xlfn.XLOOKUP(Opportunities[[#This Row],[Stage]],stage[Stage],stage[Index])</f>
        <v>4</v>
      </c>
      <c r="Q10" t="str">
        <f>Opportunities[[#This Row],[StageNumber]]&amp;" - "&amp;Opportunities[[#This Row],[Stage]]</f>
        <v>4 - Negotiation</v>
      </c>
      <c r="R10">
        <f>Opportunities[[#This Row],[Amount]]*Opportunities[[#This Row],[Probability]]</f>
        <v>1025718.96</v>
      </c>
      <c r="S10" t="str" cm="1">
        <f t="array" ref="S10">_xlfn.SWITCH(Opportunities[[#This Row],[Status]],"At Risk","⚠","Active","✓","⮾")</f>
        <v>✓</v>
      </c>
      <c r="W10" t="s">
        <v>278</v>
      </c>
    </row>
    <row r="11" spans="1:23" x14ac:dyDescent="0.25">
      <c r="A11">
        <v>10</v>
      </c>
      <c r="B11" t="s">
        <v>202</v>
      </c>
      <c r="C11" t="s">
        <v>190</v>
      </c>
      <c r="D11" t="s">
        <v>203</v>
      </c>
      <c r="E11">
        <v>1280772</v>
      </c>
      <c r="F11">
        <v>0.98</v>
      </c>
      <c r="G11">
        <v>8</v>
      </c>
      <c r="H11">
        <v>46337.333333333336</v>
      </c>
      <c r="J11">
        <v>45880.291666666664</v>
      </c>
      <c r="L11" t="s">
        <v>309</v>
      </c>
      <c r="M11" t="str">
        <f>" FY"&amp;RIGHT(IF(MONTH(Opportunities[[#This Row],[Close]])&gt;=7,YEAR(Opportunities[[#This Row],[Close]])+1,YEAR(Opportunities[[#This Row],[Close]])),2)&amp;"-Q"&amp;IF(MONTH(Opportunities[[#This Row],[Close]])&gt;=7,CEILING((MONTH(Opportunities[[#This Row],[Close]])-6)/3,1),CEILING((MONTH(Opportunities[[#This Row],[Close]])+6)/3,1))</f>
        <v xml:space="preserve"> FY27-Q2</v>
      </c>
      <c r="N11" t="str">
        <f>"CY"&amp;RIGHT(YEAR(Opportunities[[#This Row],[Close]]),2)&amp;"-Q"&amp;ROUNDUP(MONTH(Opportunities[[#This Row],[Close]])/3, 0)</f>
        <v>CY26-Q4</v>
      </c>
      <c r="O11" t="str">
        <f>"https://cleansheet5.sharepoint.com/sites/SalesFunnel/Lists/Opportunities/DispForm.aspx?ID="&amp;Opportunities[[#This Row],[Id]]</f>
        <v>https://cleansheet5.sharepoint.com/sites/SalesFunnel/Lists/Opportunities/DispForm.aspx?ID=10</v>
      </c>
      <c r="P11">
        <f>_xlfn.XLOOKUP(Opportunities[[#This Row],[Stage]],stage[Stage],stage[Index])</f>
        <v>6</v>
      </c>
      <c r="Q11" t="str">
        <f>Opportunities[[#This Row],[StageNumber]]&amp;" - "&amp;Opportunities[[#This Row],[Stage]]</f>
        <v>6 - Closeout</v>
      </c>
      <c r="R11">
        <f>Opportunities[[#This Row],[Amount]]*Opportunities[[#This Row],[Probability]]</f>
        <v>1255156.56</v>
      </c>
      <c r="S11" t="str" cm="1">
        <f t="array" ref="S11">_xlfn.SWITCH(Opportunities[[#This Row],[Status]],"At Risk","⚠","Active","✓","⮾")</f>
        <v>✓</v>
      </c>
      <c r="W11" t="s">
        <v>271</v>
      </c>
    </row>
    <row r="12" spans="1:23" x14ac:dyDescent="0.25">
      <c r="A12">
        <v>11</v>
      </c>
      <c r="B12" t="s">
        <v>204</v>
      </c>
      <c r="C12" t="s">
        <v>190</v>
      </c>
      <c r="D12" t="s">
        <v>191</v>
      </c>
      <c r="E12">
        <v>800888</v>
      </c>
      <c r="F12">
        <v>0.1</v>
      </c>
      <c r="G12">
        <v>9</v>
      </c>
      <c r="H12">
        <v>46242.291666666664</v>
      </c>
      <c r="J12">
        <v>45934.291666666664</v>
      </c>
      <c r="L12" t="s">
        <v>309</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"https://cleansheet5.sharepoint.com/sites/SalesFunnel/Lists/Opportunities/DispForm.aspx?ID="&amp;Opportunities[[#This Row],[Id]]</f>
        <v>https://cleansheet5.sharepoint.com/sites/SalesFunnel/Lists/Opportunities/DispForm.aspx?ID=11</v>
      </c>
      <c r="P12">
        <f>_xlfn.XLOOKUP(Opportunities[[#This Row],[Stage]],stage[Stage],stage[Index])</f>
        <v>1</v>
      </c>
      <c r="Q12" t="str">
        <f>Opportunities[[#This Row],[StageNumber]]&amp;" - "&amp;Opportunities[[#This Row],[Stage]]</f>
        <v>1 - Lead Qualification</v>
      </c>
      <c r="R12">
        <f>Opportunities[[#This Row],[Amount]]*Opportunities[[#This Row],[Probability]]</f>
        <v>80088.800000000003</v>
      </c>
      <c r="S12" t="str" cm="1">
        <f t="array" ref="S12">_xlfn.SWITCH(Opportunities[[#This Row],[Status]],"At Risk","⚠","Active","✓","⮾")</f>
        <v>✓</v>
      </c>
      <c r="W12" t="s">
        <v>279</v>
      </c>
    </row>
    <row r="13" spans="1:23" x14ac:dyDescent="0.25">
      <c r="A13">
        <v>12</v>
      </c>
      <c r="B13" t="s">
        <v>205</v>
      </c>
      <c r="C13" t="s">
        <v>190</v>
      </c>
      <c r="D13" t="s">
        <v>191</v>
      </c>
      <c r="E13">
        <v>881379</v>
      </c>
      <c r="F13">
        <v>0.41</v>
      </c>
      <c r="G13">
        <v>10</v>
      </c>
      <c r="H13">
        <v>46285.291666666664</v>
      </c>
      <c r="J13">
        <v>45948.291666666664</v>
      </c>
      <c r="L13" t="s">
        <v>309</v>
      </c>
      <c r="M13" t="str">
        <f>" FY"&amp;RIGHT(IF(MONTH(Opportunities[[#This Row],[Close]])&gt;=7,YEAR(Opportunities[[#This Row],[Close]])+1,YEAR(Opportunities[[#This Row],[Close]])),2)&amp;"-Q"&amp;IF(MONTH(Opportunities[[#This Row],[Close]])&gt;=7,CEILING((MONTH(Opportunities[[#This Row],[Close]])-6)/3,1),CEILING((MONTH(Opportunities[[#This Row],[Close]])+6)/3,1))</f>
        <v xml:space="preserve"> FY27-Q1</v>
      </c>
      <c r="N13" t="str">
        <f>"CY"&amp;RIGHT(YEAR(Opportunities[[#This Row],[Close]]),2)&amp;"-Q"&amp;ROUNDUP(MONTH(Opportunities[[#This Row],[Close]])/3, 0)</f>
        <v>CY26-Q3</v>
      </c>
      <c r="O13" t="str">
        <f>"https://cleansheet5.sharepoint.com/sites/SalesFunnel/Lists/Opportunities/DispForm.aspx?ID="&amp;Opportunities[[#This Row],[Id]]</f>
        <v>https://cleansheet5.sharepoint.com/sites/SalesFunnel/Lists/Opportunities/DispForm.aspx?ID=12</v>
      </c>
      <c r="P13">
        <f>_xlfn.XLOOKUP(Opportunities[[#This Row],[Stage]],stage[Stage],stage[Index])</f>
        <v>1</v>
      </c>
      <c r="Q13" t="str">
        <f>Opportunities[[#This Row],[StageNumber]]&amp;" - "&amp;Opportunities[[#This Row],[Stage]]</f>
        <v>1 - Lead Qualification</v>
      </c>
      <c r="R13">
        <f>Opportunities[[#This Row],[Amount]]*Opportunities[[#This Row],[Probability]]</f>
        <v>361365.38999999996</v>
      </c>
      <c r="S13" t="str" cm="1">
        <f t="array" ref="S13">_xlfn.SWITCH(Opportunities[[#This Row],[Status]],"At Risk","⚠","Active","✓","⮾")</f>
        <v>✓</v>
      </c>
      <c r="W13" t="s">
        <v>273</v>
      </c>
    </row>
    <row r="14" spans="1:23" x14ac:dyDescent="0.25">
      <c r="A14">
        <v>13</v>
      </c>
      <c r="B14" t="s">
        <v>206</v>
      </c>
      <c r="C14" t="s">
        <v>190</v>
      </c>
      <c r="D14" t="s">
        <v>195</v>
      </c>
      <c r="E14">
        <v>850270</v>
      </c>
      <c r="F14">
        <v>0.27</v>
      </c>
      <c r="G14">
        <v>10</v>
      </c>
      <c r="H14">
        <v>45906.291666666664</v>
      </c>
      <c r="J14">
        <v>45878.291666666664</v>
      </c>
      <c r="L14" t="s">
        <v>309</v>
      </c>
      <c r="M14" t="str">
        <f>" FY"&amp;RIGHT(IF(MONTH(Opportunities[[#This Row],[Close]])&gt;=7,YEAR(Opportunities[[#This Row],[Close]])+1,YEAR(Opportunities[[#This Row],[Close]])),2)&amp;"-Q"&amp;IF(MONTH(Opportunities[[#This Row],[Close]])&gt;=7,CEILING((MONTH(Opportunities[[#This Row],[Close]])-6)/3,1),CEILING((MONTH(Opportunities[[#This Row],[Close]])+6)/3,1))</f>
        <v xml:space="preserve"> FY26-Q1</v>
      </c>
      <c r="N14" t="str">
        <f>"CY"&amp;RIGHT(YEAR(Opportunities[[#This Row],[Close]]),2)&amp;"-Q"&amp;ROUNDUP(MONTH(Opportunities[[#This Row],[Close]])/3, 0)</f>
        <v>CY25-Q3</v>
      </c>
      <c r="O14" t="str">
        <f>"https://cleansheet5.sharepoint.com/sites/SalesFunnel/Lists/Opportunities/DispForm.aspx?ID="&amp;Opportunities[[#This Row],[Id]]</f>
        <v>https://cleansheet5.sharepoint.com/sites/SalesFunnel/Lists/Opportunities/DispForm.aspx?ID=13</v>
      </c>
      <c r="P14">
        <f>_xlfn.XLOOKUP(Opportunities[[#This Row],[Stage]],stage[Stage],stage[Index])</f>
        <v>5</v>
      </c>
      <c r="Q14" t="str">
        <f>Opportunities[[#This Row],[StageNumber]]&amp;" - "&amp;Opportunities[[#This Row],[Stage]]</f>
        <v>5 - Project Execution</v>
      </c>
      <c r="R14">
        <f>Opportunities[[#This Row],[Amount]]*Opportunities[[#This Row],[Probability]]</f>
        <v>229572.90000000002</v>
      </c>
      <c r="S14" t="str" cm="1">
        <f t="array" ref="S14">_xlfn.SWITCH(Opportunities[[#This Row],[Status]],"At Risk","⚠","Active","✓","⮾")</f>
        <v>✓</v>
      </c>
      <c r="W14" t="s">
        <v>280</v>
      </c>
    </row>
    <row r="15" spans="1:23" x14ac:dyDescent="0.25">
      <c r="A15">
        <v>14</v>
      </c>
      <c r="B15" t="s">
        <v>207</v>
      </c>
      <c r="C15" t="s">
        <v>187</v>
      </c>
      <c r="D15" t="s">
        <v>195</v>
      </c>
      <c r="E15">
        <v>920713</v>
      </c>
      <c r="F15">
        <v>0.92</v>
      </c>
      <c r="G15">
        <v>10</v>
      </c>
      <c r="H15">
        <v>45965.333333333336</v>
      </c>
      <c r="J15">
        <v>45880.291666666664</v>
      </c>
      <c r="L15" t="s">
        <v>309</v>
      </c>
      <c r="M15" t="str">
        <f>" FY"&amp;RIGHT(IF(MONTH(Opportunities[[#This Row],[Close]])&gt;=7,YEAR(Opportunities[[#This Row],[Close]])+1,YEAR(Opportunities[[#This Row],[Close]])),2)&amp;"-Q"&amp;IF(MONTH(Opportunities[[#This Row],[Close]])&gt;=7,CEILING((MONTH(Opportunities[[#This Row],[Close]])-6)/3,1),CEILING((MONTH(Opportunities[[#This Row],[Close]])+6)/3,1))</f>
        <v xml:space="preserve"> FY26-Q2</v>
      </c>
      <c r="N15" t="str">
        <f>"CY"&amp;RIGHT(YEAR(Opportunities[[#This Row],[Close]]),2)&amp;"-Q"&amp;ROUNDUP(MONTH(Opportunities[[#This Row],[Close]])/3, 0)</f>
        <v>CY25-Q4</v>
      </c>
      <c r="O15" t="str">
        <f>"https://cleansheet5.sharepoint.com/sites/SalesFunnel/Lists/Opportunities/DispForm.aspx?ID="&amp;Opportunities[[#This Row],[Id]]</f>
        <v>https://cleansheet5.sharepoint.com/sites/SalesFunnel/Lists/Opportunities/DispForm.aspx?ID=14</v>
      </c>
      <c r="P15">
        <f>_xlfn.XLOOKUP(Opportunities[[#This Row],[Stage]],stage[Stage],stage[Index])</f>
        <v>5</v>
      </c>
      <c r="Q15" t="str">
        <f>Opportunities[[#This Row],[StageNumber]]&amp;" - "&amp;Opportunities[[#This Row],[Stage]]</f>
        <v>5 - Project Execution</v>
      </c>
      <c r="R15">
        <f>Opportunities[[#This Row],[Amount]]*Opportunities[[#This Row],[Probability]]</f>
        <v>847055.96000000008</v>
      </c>
      <c r="S15" t="str" cm="1">
        <f t="array" ref="S15">_xlfn.SWITCH(Opportunities[[#This Row],[Status]],"At Risk","⚠","Active","✓","⮾")</f>
        <v>⚠</v>
      </c>
      <c r="W15" t="s">
        <v>281</v>
      </c>
    </row>
    <row r="16" spans="1:23" x14ac:dyDescent="0.25">
      <c r="A16">
        <v>15</v>
      </c>
      <c r="B16" t="s">
        <v>208</v>
      </c>
      <c r="C16" t="s">
        <v>190</v>
      </c>
      <c r="D16" t="s">
        <v>200</v>
      </c>
      <c r="E16">
        <v>1765408</v>
      </c>
      <c r="F16">
        <v>0.72</v>
      </c>
      <c r="G16">
        <v>12</v>
      </c>
      <c r="H16">
        <v>46052.333333333336</v>
      </c>
      <c r="J16">
        <v>45879.291666666664</v>
      </c>
      <c r="L16" t="s">
        <v>309</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"https://cleansheet5.sharepoint.com/sites/SalesFunnel/Lists/Opportunities/DispForm.aspx?ID="&amp;Opportunities[[#This Row],[Id]]</f>
        <v>https://cleansheet5.sharepoint.com/sites/SalesFunnel/Lists/Opportunities/DispForm.aspx?ID=15</v>
      </c>
      <c r="P16">
        <f>_xlfn.XLOOKUP(Opportunities[[#This Row],[Stage]],stage[Stage],stage[Index])</f>
        <v>2</v>
      </c>
      <c r="Q16" t="str">
        <f>Opportunities[[#This Row],[StageNumber]]&amp;" - "&amp;Opportunities[[#This Row],[Stage]]</f>
        <v>2 - Nurturing</v>
      </c>
      <c r="R16">
        <f>Opportunities[[#This Row],[Amount]]*Opportunities[[#This Row],[Probability]]</f>
        <v>1271093.76</v>
      </c>
      <c r="S16" t="str" cm="1">
        <f t="array" ref="S16">_xlfn.SWITCH(Opportunities[[#This Row],[Status]],"At Risk","⚠","Active","✓","⮾")</f>
        <v>✓</v>
      </c>
      <c r="W16" t="s">
        <v>282</v>
      </c>
    </row>
    <row r="17" spans="1:23" x14ac:dyDescent="0.25">
      <c r="A17">
        <v>16</v>
      </c>
      <c r="B17" t="s">
        <v>209</v>
      </c>
      <c r="C17" t="s">
        <v>187</v>
      </c>
      <c r="D17" t="s">
        <v>197</v>
      </c>
      <c r="E17">
        <v>469308</v>
      </c>
      <c r="F17">
        <v>0.65</v>
      </c>
      <c r="G17">
        <v>13</v>
      </c>
      <c r="H17">
        <v>46187.291666666664</v>
      </c>
      <c r="J17">
        <v>45879.291666666664</v>
      </c>
      <c r="L17" t="s">
        <v>309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"https://cleansheet5.sharepoint.com/sites/SalesFunnel/Lists/Opportunities/DispForm.aspx?ID="&amp;Opportunities[[#This Row],[Id]]</f>
        <v>https://cleansheet5.sharepoint.com/sites/SalesFunnel/Lists/Opportunities/DispForm.aspx?ID=16</v>
      </c>
      <c r="P17">
        <f>_xlfn.XLOOKUP(Opportunities[[#This Row],[Stage]],stage[Stage],stage[Index])</f>
        <v>3</v>
      </c>
      <c r="Q17" t="str">
        <f>Opportunities[[#This Row],[StageNumber]]&amp;" - "&amp;Opportunities[[#This Row],[Stage]]</f>
        <v>3 - Proposal</v>
      </c>
      <c r="R17">
        <f>Opportunities[[#This Row],[Amount]]*Opportunities[[#This Row],[Probability]]</f>
        <v>305050.2</v>
      </c>
      <c r="S17" t="str" cm="1">
        <f t="array" ref="S17">_xlfn.SWITCH(Opportunities[[#This Row],[Status]],"At Risk","⚠","Active","✓","⮾")</f>
        <v>⚠</v>
      </c>
      <c r="W17" t="s">
        <v>283</v>
      </c>
    </row>
    <row r="18" spans="1:23" x14ac:dyDescent="0.25">
      <c r="A18">
        <v>17</v>
      </c>
      <c r="B18" t="s">
        <v>210</v>
      </c>
      <c r="C18" t="s">
        <v>190</v>
      </c>
      <c r="D18" t="s">
        <v>200</v>
      </c>
      <c r="E18">
        <v>918401</v>
      </c>
      <c r="F18">
        <v>0.57999999999999996</v>
      </c>
      <c r="G18">
        <v>15</v>
      </c>
      <c r="H18">
        <v>46096.291666666664</v>
      </c>
      <c r="J18">
        <v>45893.291666666664</v>
      </c>
      <c r="L18" t="s">
        <v>309</v>
      </c>
      <c r="M18" t="str">
        <f>" FY"&amp;RIGHT(IF(MONTH(Opportunities[[#This Row],[Close]])&gt;=7,YEAR(Opportunities[[#This Row],[Close]])+1,YEAR(Opportunities[[#This Row],[Close]])),2)&amp;"-Q"&amp;IF(MONTH(Opportunities[[#This Row],[Close]])&gt;=7,CEILING((MONTH(Opportunities[[#This Row],[Close]])-6)/3,1),CEILING((MONTH(Opportunities[[#This Row],[Close]])+6)/3,1))</f>
        <v xml:space="preserve"> FY26-Q3</v>
      </c>
      <c r="N18" t="str">
        <f>"CY"&amp;RIGHT(YEAR(Opportunities[[#This Row],[Close]]),2)&amp;"-Q"&amp;ROUNDUP(MONTH(Opportunities[[#This Row],[Close]])/3, 0)</f>
        <v>CY26-Q1</v>
      </c>
      <c r="O18" t="str">
        <f>"https://cleansheet5.sharepoint.com/sites/SalesFunnel/Lists/Opportunities/DispForm.aspx?ID="&amp;Opportunities[[#This Row],[Id]]</f>
        <v>https://cleansheet5.sharepoint.com/sites/SalesFunnel/Lists/Opportunities/DispForm.aspx?ID=17</v>
      </c>
      <c r="P18">
        <f>_xlfn.XLOOKUP(Opportunities[[#This Row],[Stage]],stage[Stage],stage[Index])</f>
        <v>2</v>
      </c>
      <c r="Q18" t="str">
        <f>Opportunities[[#This Row],[StageNumber]]&amp;" - "&amp;Opportunities[[#This Row],[Stage]]</f>
        <v>2 - Nurturing</v>
      </c>
      <c r="R18">
        <f>Opportunities[[#This Row],[Amount]]*Opportunities[[#This Row],[Probability]]</f>
        <v>532672.57999999996</v>
      </c>
      <c r="S18" t="str" cm="1">
        <f t="array" ref="S18">_xlfn.SWITCH(Opportunities[[#This Row],[Status]],"At Risk","⚠","Active","✓","⮾")</f>
        <v>✓</v>
      </c>
      <c r="W18" t="s">
        <v>277</v>
      </c>
    </row>
    <row r="19" spans="1:23" x14ac:dyDescent="0.25">
      <c r="A19">
        <v>18</v>
      </c>
      <c r="B19" t="s">
        <v>211</v>
      </c>
      <c r="C19" t="s">
        <v>187</v>
      </c>
      <c r="D19" t="s">
        <v>200</v>
      </c>
      <c r="E19">
        <v>845990</v>
      </c>
      <c r="F19">
        <v>0.38</v>
      </c>
      <c r="G19">
        <v>16</v>
      </c>
      <c r="H19">
        <v>46320.291666666664</v>
      </c>
      <c r="J19">
        <v>45963.291666666664</v>
      </c>
      <c r="L19" t="s">
        <v>309</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"https://cleansheet5.sharepoint.com/sites/SalesFunnel/Lists/Opportunities/DispForm.aspx?ID="&amp;Opportunities[[#This Row],[Id]]</f>
        <v>https://cleansheet5.sharepoint.com/sites/SalesFunnel/Lists/Opportunities/DispForm.aspx?ID=18</v>
      </c>
      <c r="P19">
        <f>_xlfn.XLOOKUP(Opportunities[[#This Row],[Stage]],stage[Stage],stage[Index])</f>
        <v>2</v>
      </c>
      <c r="Q19" t="str">
        <f>Opportunities[[#This Row],[StageNumber]]&amp;" - "&amp;Opportunities[[#This Row],[Stage]]</f>
        <v>2 - Nurturing</v>
      </c>
      <c r="R19">
        <f>Opportunities[[#This Row],[Amount]]*Opportunities[[#This Row],[Probability]]</f>
        <v>321476.2</v>
      </c>
      <c r="S19" t="str" cm="1">
        <f t="array" ref="S19">_xlfn.SWITCH(Opportunities[[#This Row],[Status]],"At Risk","⚠","Active","✓","⮾")</f>
        <v>⚠</v>
      </c>
      <c r="W19" t="s">
        <v>278</v>
      </c>
    </row>
    <row r="20" spans="1:23" x14ac:dyDescent="0.25">
      <c r="A20">
        <v>19</v>
      </c>
      <c r="B20" t="s">
        <v>212</v>
      </c>
      <c r="C20" t="s">
        <v>190</v>
      </c>
      <c r="D20" t="s">
        <v>191</v>
      </c>
      <c r="E20">
        <v>1492366</v>
      </c>
      <c r="F20">
        <v>0.05</v>
      </c>
      <c r="G20">
        <v>17</v>
      </c>
      <c r="H20">
        <v>46089.333333333336</v>
      </c>
      <c r="J20">
        <v>45882.291666666664</v>
      </c>
      <c r="L20" t="s">
        <v>309</v>
      </c>
      <c r="M20" t="str">
        <f>" FY"&amp;RIGHT(IF(MONTH(Opportunities[[#This Row],[Close]])&gt;=7,YEAR(Opportunities[[#This Row],[Close]])+1,YEAR(Opportunities[[#This Row],[Close]])),2)&amp;"-Q"&amp;IF(MONTH(Opportunities[[#This Row],[Close]])&gt;=7,CEILING((MONTH(Opportunities[[#This Row],[Close]])-6)/3,1),CEILING((MONTH(Opportunities[[#This Row],[Close]])+6)/3,1))</f>
        <v xml:space="preserve"> FY26-Q3</v>
      </c>
      <c r="N20" t="str">
        <f>"CY"&amp;RIGHT(YEAR(Opportunities[[#This Row],[Close]]),2)&amp;"-Q"&amp;ROUNDUP(MONTH(Opportunities[[#This Row],[Close]])/3, 0)</f>
        <v>CY26-Q1</v>
      </c>
      <c r="O20" t="str">
        <f>"https://cleansheet5.sharepoint.com/sites/SalesFunnel/Lists/Opportunities/DispForm.aspx?ID="&amp;Opportunities[[#This Row],[Id]]</f>
        <v>https://cleansheet5.sharepoint.com/sites/SalesFunnel/Lists/Opportunities/DispForm.aspx?ID=19</v>
      </c>
      <c r="P20">
        <f>_xlfn.XLOOKUP(Opportunities[[#This Row],[Stage]],stage[Stage],stage[Index])</f>
        <v>1</v>
      </c>
      <c r="Q20" t="str">
        <f>Opportunities[[#This Row],[StageNumber]]&amp;" - "&amp;Opportunities[[#This Row],[Stage]]</f>
        <v>1 - Lead Qualification</v>
      </c>
      <c r="R20">
        <f>Opportunities[[#This Row],[Amount]]*Opportunities[[#This Row],[Probability]]</f>
        <v>74618.3</v>
      </c>
      <c r="S20" t="str" cm="1">
        <f t="array" ref="S20">_xlfn.SWITCH(Opportunities[[#This Row],[Status]],"At Risk","⚠","Active","✓","⮾")</f>
        <v>✓</v>
      </c>
      <c r="W20" t="s">
        <v>271</v>
      </c>
    </row>
    <row r="21" spans="1:23" x14ac:dyDescent="0.25">
      <c r="A21">
        <v>20</v>
      </c>
      <c r="B21" t="s">
        <v>213</v>
      </c>
      <c r="C21" t="s">
        <v>190</v>
      </c>
      <c r="D21" t="s">
        <v>203</v>
      </c>
      <c r="E21">
        <v>803965</v>
      </c>
      <c r="F21">
        <v>0.99</v>
      </c>
      <c r="G21">
        <v>19</v>
      </c>
      <c r="H21">
        <v>46159.291666666664</v>
      </c>
      <c r="J21">
        <v>45890.291666666664</v>
      </c>
      <c r="L21" t="s">
        <v>309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"https://cleansheet5.sharepoint.com/sites/SalesFunnel/Lists/Opportunities/DispForm.aspx?ID="&amp;Opportunities[[#This Row],[Id]]</f>
        <v>https://cleansheet5.sharepoint.com/sites/SalesFunnel/Lists/Opportunities/DispForm.aspx?ID=20</v>
      </c>
      <c r="P21">
        <f>_xlfn.XLOOKUP(Opportunities[[#This Row],[Stage]],stage[Stage],stage[Index])</f>
        <v>6</v>
      </c>
      <c r="Q21" t="str">
        <f>Opportunities[[#This Row],[StageNumber]]&amp;" - "&amp;Opportunities[[#This Row],[Stage]]</f>
        <v>6 - Closeout</v>
      </c>
      <c r="R21">
        <f>Opportunities[[#This Row],[Amount]]*Opportunities[[#This Row],[Probability]]</f>
        <v>795925.35</v>
      </c>
      <c r="S21" t="str" cm="1">
        <f t="array" ref="S21">_xlfn.SWITCH(Opportunities[[#This Row],[Status]],"At Risk","⚠","Active","✓","⮾")</f>
        <v>✓</v>
      </c>
      <c r="W21" t="s">
        <v>284</v>
      </c>
    </row>
    <row r="22" spans="1:23" x14ac:dyDescent="0.25">
      <c r="A22">
        <v>21</v>
      </c>
      <c r="B22" t="s">
        <v>214</v>
      </c>
      <c r="C22" t="s">
        <v>190</v>
      </c>
      <c r="D22" t="s">
        <v>197</v>
      </c>
      <c r="E22">
        <v>523000</v>
      </c>
      <c r="F22">
        <v>0.67</v>
      </c>
      <c r="G22">
        <v>20</v>
      </c>
      <c r="H22">
        <v>45947.291666666664</v>
      </c>
      <c r="L22" t="s">
        <v>309</v>
      </c>
      <c r="M22" t="str">
        <f>" FY"&amp;RIGHT(IF(MONTH(Opportunities[[#This Row],[Close]])&gt;=7,YEAR(Opportunities[[#This Row],[Close]])+1,YEAR(Opportunities[[#This Row],[Close]])),2)&amp;"-Q"&amp;IF(MONTH(Opportunities[[#This Row],[Close]])&gt;=7,CEILING((MONTH(Opportunities[[#This Row],[Close]])-6)/3,1),CEILING((MONTH(Opportunities[[#This Row],[Close]])+6)/3,1))</f>
        <v xml:space="preserve"> FY26-Q2</v>
      </c>
      <c r="N22" t="str">
        <f>"CY"&amp;RIGHT(YEAR(Opportunities[[#This Row],[Close]]),2)&amp;"-Q"&amp;ROUNDUP(MONTH(Opportunities[[#This Row],[Close]])/3, 0)</f>
        <v>CY25-Q4</v>
      </c>
      <c r="O22" t="str">
        <f>"https://cleansheet5.sharepoint.com/sites/SalesFunnel/Lists/Opportunities/DispForm.aspx?ID="&amp;Opportunities[[#This Row],[Id]]</f>
        <v>https://cleansheet5.sharepoint.com/sites/SalesFunnel/Lists/Opportunities/DispForm.aspx?ID=21</v>
      </c>
      <c r="P22">
        <f>_xlfn.XLOOKUP(Opportunities[[#This Row],[Stage]],stage[Stage],stage[Index])</f>
        <v>3</v>
      </c>
      <c r="Q22" t="str">
        <f>Opportunities[[#This Row],[StageNumber]]&amp;" - "&amp;Opportunities[[#This Row],[Stage]]</f>
        <v>3 - Proposal</v>
      </c>
      <c r="R22">
        <f>Opportunities[[#This Row],[Amount]]*Opportunities[[#This Row],[Probability]]</f>
        <v>350410</v>
      </c>
      <c r="S22" t="str" cm="1">
        <f t="array" ref="S22">_xlfn.SWITCH(Opportunities[[#This Row],[Status]],"At Risk","⚠","Active","✓","⮾")</f>
        <v>✓</v>
      </c>
      <c r="W22" t="s">
        <v>273</v>
      </c>
    </row>
    <row r="23" spans="1:23" x14ac:dyDescent="0.25">
      <c r="A23">
        <v>22</v>
      </c>
      <c r="B23" t="s">
        <v>215</v>
      </c>
      <c r="C23" t="s">
        <v>187</v>
      </c>
      <c r="D23" t="s">
        <v>195</v>
      </c>
      <c r="E23">
        <v>967053</v>
      </c>
      <c r="F23">
        <v>9.7999999999999997E-3</v>
      </c>
      <c r="G23">
        <v>20</v>
      </c>
      <c r="H23">
        <v>45888.291666666664</v>
      </c>
      <c r="J23">
        <v>45881.291666666664</v>
      </c>
      <c r="K23" t="s">
        <v>313</v>
      </c>
      <c r="L23" t="s">
        <v>309</v>
      </c>
      <c r="M23" t="str">
        <f>" FY"&amp;RIGHT(IF(MONTH(Opportunities[[#This Row],[Close]])&gt;=7,YEAR(Opportunities[[#This Row],[Close]])+1,YEAR(Opportunities[[#This Row],[Close]])),2)&amp;"-Q"&amp;IF(MONTH(Opportunities[[#This Row],[Close]])&gt;=7,CEILING((MONTH(Opportunities[[#This Row],[Close]])-6)/3,1),CEILING((MONTH(Opportunities[[#This Row],[Close]])+6)/3,1))</f>
        <v xml:space="preserve"> FY26-Q1</v>
      </c>
      <c r="N23" t="str">
        <f>"CY"&amp;RIGHT(YEAR(Opportunities[[#This Row],[Close]]),2)&amp;"-Q"&amp;ROUNDUP(MONTH(Opportunities[[#This Row],[Close]])/3, 0)</f>
        <v>CY25-Q3</v>
      </c>
      <c r="O23" t="str">
        <f>"https://cleansheet5.sharepoint.com/sites/SalesFunnel/Lists/Opportunities/DispForm.aspx?ID="&amp;Opportunities[[#This Row],[Id]]</f>
        <v>https://cleansheet5.sharepoint.com/sites/SalesFunnel/Lists/Opportunities/DispForm.aspx?ID=22</v>
      </c>
      <c r="P23">
        <f>_xlfn.XLOOKUP(Opportunities[[#This Row],[Stage]],stage[Stage],stage[Index])</f>
        <v>5</v>
      </c>
      <c r="Q23" t="str">
        <f>Opportunities[[#This Row],[StageNumber]]&amp;" - "&amp;Opportunities[[#This Row],[Stage]]</f>
        <v>5 - Project Execution</v>
      </c>
      <c r="R23">
        <f>Opportunities[[#This Row],[Amount]]*Opportunities[[#This Row],[Probability]]</f>
        <v>9477.1193999999996</v>
      </c>
      <c r="S23" t="str" cm="1">
        <f t="array" ref="S23">_xlfn.SWITCH(Opportunities[[#This Row],[Status]],"At Risk","⚠","Active","✓","⮾")</f>
        <v>⚠</v>
      </c>
      <c r="W23" t="s">
        <v>285</v>
      </c>
    </row>
    <row r="24" spans="1:23" x14ac:dyDescent="0.25">
      <c r="A24">
        <v>23</v>
      </c>
      <c r="B24" t="s">
        <v>216</v>
      </c>
      <c r="C24" t="s">
        <v>190</v>
      </c>
      <c r="D24" t="s">
        <v>200</v>
      </c>
      <c r="E24">
        <v>433894</v>
      </c>
      <c r="F24">
        <v>0.82</v>
      </c>
      <c r="G24">
        <v>21</v>
      </c>
      <c r="H24">
        <v>45987.333333333336</v>
      </c>
      <c r="J24">
        <v>45892.291666666664</v>
      </c>
      <c r="L24" t="s">
        <v>309</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"https://cleansheet5.sharepoint.com/sites/SalesFunnel/Lists/Opportunities/DispForm.aspx?ID="&amp;Opportunities[[#This Row],[Id]]</f>
        <v>https://cleansheet5.sharepoint.com/sites/SalesFunnel/Lists/Opportunities/DispForm.aspx?ID=23</v>
      </c>
      <c r="P24">
        <f>_xlfn.XLOOKUP(Opportunities[[#This Row],[Stage]],stage[Stage],stage[Index])</f>
        <v>2</v>
      </c>
      <c r="Q24" t="str">
        <f>Opportunities[[#This Row],[StageNumber]]&amp;" - "&amp;Opportunities[[#This Row],[Stage]]</f>
        <v>2 - Nurturing</v>
      </c>
      <c r="R24">
        <f>Opportunities[[#This Row],[Amount]]*Opportunities[[#This Row],[Probability]]</f>
        <v>355793.07999999996</v>
      </c>
      <c r="S24" t="str" cm="1">
        <f t="array" ref="S24">_xlfn.SWITCH(Opportunities[[#This Row],[Status]],"At Risk","⚠","Active","✓","⮾")</f>
        <v>✓</v>
      </c>
      <c r="W24" t="s">
        <v>286</v>
      </c>
    </row>
    <row r="25" spans="1:23" x14ac:dyDescent="0.25">
      <c r="A25">
        <v>24</v>
      </c>
      <c r="B25" t="s">
        <v>217</v>
      </c>
      <c r="C25" t="s">
        <v>187</v>
      </c>
      <c r="D25" t="s">
        <v>191</v>
      </c>
      <c r="E25">
        <v>864897</v>
      </c>
      <c r="F25">
        <v>0.42</v>
      </c>
      <c r="G25">
        <v>22</v>
      </c>
      <c r="H25">
        <v>46135.291666666664</v>
      </c>
      <c r="J25">
        <v>45950.291666666664</v>
      </c>
      <c r="L25" t="s">
        <v>309</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"https://cleansheet5.sharepoint.com/sites/SalesFunnel/Lists/Opportunities/DispForm.aspx?ID="&amp;Opportunities[[#This Row],[Id]]</f>
        <v>https://cleansheet5.sharepoint.com/sites/SalesFunnel/Lists/Opportunities/DispForm.aspx?ID=24</v>
      </c>
      <c r="P25">
        <f>_xlfn.XLOOKUP(Opportunities[[#This Row],[Stage]],stage[Stage],stage[Index])</f>
        <v>1</v>
      </c>
      <c r="Q25" t="str">
        <f>Opportunities[[#This Row],[StageNumber]]&amp;" - "&amp;Opportunities[[#This Row],[Stage]]</f>
        <v>1 - Lead Qualification</v>
      </c>
      <c r="R25">
        <f>Opportunities[[#This Row],[Amount]]*Opportunities[[#This Row],[Probability]]</f>
        <v>363256.74</v>
      </c>
      <c r="S25" t="str" cm="1">
        <f t="array" ref="S25">_xlfn.SWITCH(Opportunities[[#This Row],[Status]],"At Risk","⚠","Active","✓","⮾")</f>
        <v>⚠</v>
      </c>
      <c r="W25" t="s">
        <v>287</v>
      </c>
    </row>
    <row r="26" spans="1:23" x14ac:dyDescent="0.25">
      <c r="A26">
        <v>25</v>
      </c>
      <c r="B26" t="s">
        <v>218</v>
      </c>
      <c r="C26" t="s">
        <v>187</v>
      </c>
      <c r="D26" t="s">
        <v>200</v>
      </c>
      <c r="E26">
        <v>1458569</v>
      </c>
      <c r="F26">
        <v>0.57999999999999996</v>
      </c>
      <c r="G26">
        <v>23</v>
      </c>
      <c r="H26">
        <v>46148.291666666664</v>
      </c>
      <c r="J26">
        <v>45908.291666666664</v>
      </c>
      <c r="L26" t="s">
        <v>309</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"https://cleansheet5.sharepoint.com/sites/SalesFunnel/Lists/Opportunities/DispForm.aspx?ID="&amp;Opportunities[[#This Row],[Id]]</f>
        <v>https://cleansheet5.sharepoint.com/sites/SalesFunnel/Lists/Opportunities/DispForm.aspx?ID=25</v>
      </c>
      <c r="P26">
        <f>_xlfn.XLOOKUP(Opportunities[[#This Row],[Stage]],stage[Stage],stage[Index])</f>
        <v>2</v>
      </c>
      <c r="Q26" t="str">
        <f>Opportunities[[#This Row],[StageNumber]]&amp;" - "&amp;Opportunities[[#This Row],[Stage]]</f>
        <v>2 - Nurturing</v>
      </c>
      <c r="R26">
        <f>Opportunities[[#This Row],[Amount]]*Opportunities[[#This Row],[Probability]]</f>
        <v>845970.0199999999</v>
      </c>
      <c r="S26" t="str" cm="1">
        <f t="array" ref="S26">_xlfn.SWITCH(Opportunities[[#This Row],[Status]],"At Risk","⚠","Active","✓","⮾")</f>
        <v>⚠</v>
      </c>
      <c r="W26" t="s">
        <v>288</v>
      </c>
    </row>
    <row r="27" spans="1:23" x14ac:dyDescent="0.25">
      <c r="A27">
        <v>26</v>
      </c>
      <c r="B27" t="s">
        <v>219</v>
      </c>
      <c r="C27" t="s">
        <v>187</v>
      </c>
      <c r="D27" t="s">
        <v>191</v>
      </c>
      <c r="E27">
        <v>930575</v>
      </c>
      <c r="F27">
        <v>0.23</v>
      </c>
      <c r="G27">
        <v>23</v>
      </c>
      <c r="H27">
        <v>46203.291666666664</v>
      </c>
      <c r="J27">
        <v>45905.291666666664</v>
      </c>
      <c r="L27" t="s">
        <v>309</v>
      </c>
      <c r="M27" t="str">
        <f>" FY"&amp;RIGHT(IF(MONTH(Opportunities[[#This Row],[Close]])&gt;=7,YEAR(Opportunities[[#This Row],[Close]])+1,YEAR(Opportunities[[#This Row],[Close]])),2)&amp;"-Q"&amp;IF(MONTH(Opportunities[[#This Row],[Close]])&gt;=7,CEILING((MONTH(Opportunities[[#This Row],[Close]])-6)/3,1),CEILING((MONTH(Opportunities[[#This Row],[Close]])+6)/3,1))</f>
        <v xml:space="preserve"> FY26-Q4</v>
      </c>
      <c r="N27" t="str">
        <f>"CY"&amp;RIGHT(YEAR(Opportunities[[#This Row],[Close]]),2)&amp;"-Q"&amp;ROUNDUP(MONTH(Opportunities[[#This Row],[Close]])/3, 0)</f>
        <v>CY26-Q2</v>
      </c>
      <c r="O27" t="str">
        <f>"https://cleansheet5.sharepoint.com/sites/SalesFunnel/Lists/Opportunities/DispForm.aspx?ID="&amp;Opportunities[[#This Row],[Id]]</f>
        <v>https://cleansheet5.sharepoint.com/sites/SalesFunnel/Lists/Opportunities/DispForm.aspx?ID=26</v>
      </c>
      <c r="P27">
        <f>_xlfn.XLOOKUP(Opportunities[[#This Row],[Stage]],stage[Stage],stage[Index])</f>
        <v>1</v>
      </c>
      <c r="Q27" t="str">
        <f>Opportunities[[#This Row],[StageNumber]]&amp;" - "&amp;Opportunities[[#This Row],[Stage]]</f>
        <v>1 - Lead Qualification</v>
      </c>
      <c r="R27">
        <f>Opportunities[[#This Row],[Amount]]*Opportunities[[#This Row],[Probability]]</f>
        <v>214032.25</v>
      </c>
      <c r="S27" t="str" cm="1">
        <f t="array" ref="S27">_xlfn.SWITCH(Opportunities[[#This Row],[Status]],"At Risk","⚠","Active","✓","⮾")</f>
        <v>⚠</v>
      </c>
      <c r="W27" t="s">
        <v>277</v>
      </c>
    </row>
    <row r="28" spans="1:23" x14ac:dyDescent="0.25">
      <c r="A28">
        <v>27</v>
      </c>
      <c r="B28" t="s">
        <v>220</v>
      </c>
      <c r="C28" t="s">
        <v>187</v>
      </c>
      <c r="D28" t="s">
        <v>195</v>
      </c>
      <c r="E28">
        <v>1069843</v>
      </c>
      <c r="F28">
        <v>0.85</v>
      </c>
      <c r="G28">
        <v>24</v>
      </c>
      <c r="H28">
        <v>46275.291666666664</v>
      </c>
      <c r="J28">
        <v>45913.291666666664</v>
      </c>
      <c r="L28" t="s">
        <v>309</v>
      </c>
      <c r="M28" t="str">
        <f>" FY"&amp;RIGHT(IF(MONTH(Opportunities[[#This Row],[Close]])&gt;=7,YEAR(Opportunities[[#This Row],[Close]])+1,YEAR(Opportunities[[#This Row],[Close]])),2)&amp;"-Q"&amp;IF(MONTH(Opportunities[[#This Row],[Close]])&gt;=7,CEILING((MONTH(Opportunities[[#This Row],[Close]])-6)/3,1),CEILING((MONTH(Opportunities[[#This Row],[Close]])+6)/3,1))</f>
        <v xml:space="preserve"> FY27-Q1</v>
      </c>
      <c r="N28" t="str">
        <f>"CY"&amp;RIGHT(YEAR(Opportunities[[#This Row],[Close]]),2)&amp;"-Q"&amp;ROUNDUP(MONTH(Opportunities[[#This Row],[Close]])/3, 0)</f>
        <v>CY26-Q3</v>
      </c>
      <c r="O28" t="str">
        <f>"https://cleansheet5.sharepoint.com/sites/SalesFunnel/Lists/Opportunities/DispForm.aspx?ID="&amp;Opportunities[[#This Row],[Id]]</f>
        <v>https://cleansheet5.sharepoint.com/sites/SalesFunnel/Lists/Opportunities/DispForm.aspx?ID=27</v>
      </c>
      <c r="P28">
        <f>_xlfn.XLOOKUP(Opportunities[[#This Row],[Stage]],stage[Stage],stage[Index])</f>
        <v>5</v>
      </c>
      <c r="Q28" t="str">
        <f>Opportunities[[#This Row],[StageNumber]]&amp;" - "&amp;Opportunities[[#This Row],[Stage]]</f>
        <v>5 - Project Execution</v>
      </c>
      <c r="R28">
        <f>Opportunities[[#This Row],[Amount]]*Opportunities[[#This Row],[Probability]]</f>
        <v>909366.54999999993</v>
      </c>
      <c r="S28" t="str" cm="1">
        <f t="array" ref="S28">_xlfn.SWITCH(Opportunities[[#This Row],[Status]],"At Risk","⚠","Active","✓","⮾")</f>
        <v>⚠</v>
      </c>
      <c r="W28" t="s">
        <v>278</v>
      </c>
    </row>
    <row r="29" spans="1:23" x14ac:dyDescent="0.25">
      <c r="A29">
        <v>28</v>
      </c>
      <c r="B29" t="s">
        <v>221</v>
      </c>
      <c r="C29" t="s">
        <v>190</v>
      </c>
      <c r="D29" t="s">
        <v>197</v>
      </c>
      <c r="E29">
        <v>1203065</v>
      </c>
      <c r="F29">
        <v>0.9</v>
      </c>
      <c r="G29">
        <v>26</v>
      </c>
      <c r="H29">
        <v>46245.291666666664</v>
      </c>
      <c r="J29">
        <v>45924.291666666664</v>
      </c>
      <c r="L29" t="s">
        <v>309</v>
      </c>
      <c r="M29" t="str">
        <f>" FY"&amp;RIGHT(IF(MONTH(Opportunities[[#This Row],[Close]])&gt;=7,YEAR(Opportunities[[#This Row],[Close]])+1,YEAR(Opportunities[[#This Row],[Close]])),2)&amp;"-Q"&amp;IF(MONTH(Opportunities[[#This Row],[Close]])&gt;=7,CEILING((MONTH(Opportunities[[#This Row],[Close]])-6)/3,1),CEILING((MONTH(Opportunities[[#This Row],[Close]])+6)/3,1))</f>
        <v xml:space="preserve"> FY27-Q1</v>
      </c>
      <c r="N29" t="str">
        <f>"CY"&amp;RIGHT(YEAR(Opportunities[[#This Row],[Close]]),2)&amp;"-Q"&amp;ROUNDUP(MONTH(Opportunities[[#This Row],[Close]])/3, 0)</f>
        <v>CY26-Q3</v>
      </c>
      <c r="O29" t="str">
        <f>"https://cleansheet5.sharepoint.com/sites/SalesFunnel/Lists/Opportunities/DispForm.aspx?ID="&amp;Opportunities[[#This Row],[Id]]</f>
        <v>https://cleansheet5.sharepoint.com/sites/SalesFunnel/Lists/Opportunities/DispForm.aspx?ID=28</v>
      </c>
      <c r="P29">
        <f>_xlfn.XLOOKUP(Opportunities[[#This Row],[Stage]],stage[Stage],stage[Index])</f>
        <v>3</v>
      </c>
      <c r="Q29" t="str">
        <f>Opportunities[[#This Row],[StageNumber]]&amp;" - "&amp;Opportunities[[#This Row],[Stage]]</f>
        <v>3 - Proposal</v>
      </c>
      <c r="R29">
        <f>Opportunities[[#This Row],[Amount]]*Opportunities[[#This Row],[Probability]]</f>
        <v>1082758.5</v>
      </c>
      <c r="S29" t="str" cm="1">
        <f t="array" ref="S29">_xlfn.SWITCH(Opportunities[[#This Row],[Status]],"At Risk","⚠","Active","✓","⮾")</f>
        <v>✓</v>
      </c>
      <c r="W29" t="s">
        <v>271</v>
      </c>
    </row>
    <row r="30" spans="1:23" x14ac:dyDescent="0.25">
      <c r="A30">
        <v>29</v>
      </c>
      <c r="B30" t="s">
        <v>222</v>
      </c>
      <c r="C30" t="s">
        <v>190</v>
      </c>
      <c r="D30" t="s">
        <v>200</v>
      </c>
      <c r="E30">
        <v>755861</v>
      </c>
      <c r="F30">
        <v>0.67</v>
      </c>
      <c r="G30">
        <v>25</v>
      </c>
      <c r="H30">
        <v>45928.291666666664</v>
      </c>
      <c r="J30">
        <v>45944.291666666664</v>
      </c>
      <c r="L30" t="s">
        <v>309</v>
      </c>
      <c r="M30" t="str">
        <f>" FY"&amp;RIGHT(IF(MONTH(Opportunities[[#This Row],[Close]])&gt;=7,YEAR(Opportunities[[#This Row],[Close]])+1,YEAR(Opportunities[[#This Row],[Close]])),2)&amp;"-Q"&amp;IF(MONTH(Opportunities[[#This Row],[Close]])&gt;=7,CEILING((MONTH(Opportunities[[#This Row],[Close]])-6)/3,1),CEILING((MONTH(Opportunities[[#This Row],[Close]])+6)/3,1))</f>
        <v xml:space="preserve"> FY26-Q1</v>
      </c>
      <c r="N30" t="str">
        <f>"CY"&amp;RIGHT(YEAR(Opportunities[[#This Row],[Close]]),2)&amp;"-Q"&amp;ROUNDUP(MONTH(Opportunities[[#This Row],[Close]])/3, 0)</f>
        <v>CY25-Q3</v>
      </c>
      <c r="O30" t="str">
        <f>"https://cleansheet5.sharepoint.com/sites/SalesFunnel/Lists/Opportunities/DispForm.aspx?ID="&amp;Opportunities[[#This Row],[Id]]</f>
        <v>https://cleansheet5.sharepoint.com/sites/SalesFunnel/Lists/Opportunities/DispForm.aspx?ID=29</v>
      </c>
      <c r="P30">
        <f>_xlfn.XLOOKUP(Opportunities[[#This Row],[Stage]],stage[Stage],stage[Index])</f>
        <v>2</v>
      </c>
      <c r="Q30" t="str">
        <f>Opportunities[[#This Row],[StageNumber]]&amp;" - "&amp;Opportunities[[#This Row],[Stage]]</f>
        <v>2 - Nurturing</v>
      </c>
      <c r="R30">
        <f>Opportunities[[#This Row],[Amount]]*Opportunities[[#This Row],[Probability]]</f>
        <v>506426.87000000005</v>
      </c>
      <c r="S30" t="str" cm="1">
        <f t="array" ref="S30">_xlfn.SWITCH(Opportunities[[#This Row],[Status]],"At Risk","⚠","Active","✓","⮾")</f>
        <v>✓</v>
      </c>
      <c r="W30" t="s">
        <v>289</v>
      </c>
    </row>
    <row r="31" spans="1:23" x14ac:dyDescent="0.25">
      <c r="A31">
        <v>30</v>
      </c>
      <c r="B31" t="s">
        <v>223</v>
      </c>
      <c r="C31" t="s">
        <v>190</v>
      </c>
      <c r="D31" t="s">
        <v>200</v>
      </c>
      <c r="E31">
        <v>939293</v>
      </c>
      <c r="F31">
        <v>0.86</v>
      </c>
      <c r="G31">
        <v>26</v>
      </c>
      <c r="H31">
        <v>46309.291666666664</v>
      </c>
      <c r="J31">
        <v>45926.291666666664</v>
      </c>
      <c r="L31" t="s">
        <v>309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"https://cleansheet5.sharepoint.com/sites/SalesFunnel/Lists/Opportunities/DispForm.aspx?ID="&amp;Opportunities[[#This Row],[Id]]</f>
        <v>https://cleansheet5.sharepoint.com/sites/SalesFunnel/Lists/Opportunities/DispForm.aspx?ID=30</v>
      </c>
      <c r="P31">
        <f>_xlfn.XLOOKUP(Opportunities[[#This Row],[Stage]],stage[Stage],stage[Index])</f>
        <v>2</v>
      </c>
      <c r="Q31" t="str">
        <f>Opportunities[[#This Row],[StageNumber]]&amp;" - "&amp;Opportunities[[#This Row],[Stage]]</f>
        <v>2 - Nurturing</v>
      </c>
      <c r="R31">
        <f>Opportunities[[#This Row],[Amount]]*Opportunities[[#This Row],[Probability]]</f>
        <v>807791.98</v>
      </c>
      <c r="S31" t="str" cm="1">
        <f t="array" ref="S31">_xlfn.SWITCH(Opportunities[[#This Row],[Status]],"At Risk","⚠","Active","✓","⮾")</f>
        <v>✓</v>
      </c>
      <c r="W31" t="s">
        <v>273</v>
      </c>
    </row>
    <row r="32" spans="1:23" x14ac:dyDescent="0.25">
      <c r="A32">
        <v>31</v>
      </c>
      <c r="B32" t="s">
        <v>224</v>
      </c>
      <c r="C32" t="s">
        <v>225</v>
      </c>
      <c r="D32" t="s">
        <v>197</v>
      </c>
      <c r="E32">
        <v>1106463</v>
      </c>
      <c r="F32">
        <v>0.16</v>
      </c>
      <c r="G32">
        <v>27</v>
      </c>
      <c r="H32">
        <v>46294.291666666664</v>
      </c>
      <c r="J32">
        <v>45958.291666666664</v>
      </c>
      <c r="L32" t="s">
        <v>309</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"https://cleansheet5.sharepoint.com/sites/SalesFunnel/Lists/Opportunities/DispForm.aspx?ID="&amp;Opportunities[[#This Row],[Id]]</f>
        <v>https://cleansheet5.sharepoint.com/sites/SalesFunnel/Lists/Opportunities/DispForm.aspx?ID=31</v>
      </c>
      <c r="P32">
        <f>_xlfn.XLOOKUP(Opportunities[[#This Row],[Stage]],stage[Stage],stage[Index])</f>
        <v>3</v>
      </c>
      <c r="Q32" t="str">
        <f>Opportunities[[#This Row],[StageNumber]]&amp;" - "&amp;Opportunities[[#This Row],[Stage]]</f>
        <v>3 - Proposal</v>
      </c>
      <c r="R32">
        <f>Opportunities[[#This Row],[Amount]]*Opportunities[[#This Row],[Probability]]</f>
        <v>177034.08000000002</v>
      </c>
      <c r="S32" t="str" cm="1">
        <f t="array" ref="S32">_xlfn.SWITCH(Opportunities[[#This Row],[Status]],"At Risk","⚠","Active","✓","⮾")</f>
        <v>⮾</v>
      </c>
      <c r="W32" t="s">
        <v>290</v>
      </c>
    </row>
    <row r="33" spans="1:23" x14ac:dyDescent="0.25">
      <c r="A33">
        <v>32</v>
      </c>
      <c r="B33" t="s">
        <v>226</v>
      </c>
      <c r="C33" t="s">
        <v>225</v>
      </c>
      <c r="D33" t="s">
        <v>195</v>
      </c>
      <c r="E33">
        <v>1392377</v>
      </c>
      <c r="F33">
        <v>0.92</v>
      </c>
      <c r="G33">
        <v>28</v>
      </c>
      <c r="H33">
        <v>46009.333333333336</v>
      </c>
      <c r="J33">
        <v>45912.291666666664</v>
      </c>
      <c r="L33" t="s">
        <v>309</v>
      </c>
      <c r="M33" t="str">
        <f>" FY"&amp;RIGHT(IF(MONTH(Opportunities[[#This Row],[Close]])&gt;=7,YEAR(Opportunities[[#This Row],[Close]])+1,YEAR(Opportunities[[#This Row],[Close]])),2)&amp;"-Q"&amp;IF(MONTH(Opportunities[[#This Row],[Close]])&gt;=7,CEILING((MONTH(Opportunities[[#This Row],[Close]])-6)/3,1),CEILING((MONTH(Opportunities[[#This Row],[Close]])+6)/3,1))</f>
        <v xml:space="preserve"> FY26-Q2</v>
      </c>
      <c r="N33" t="str">
        <f>"CY"&amp;RIGHT(YEAR(Opportunities[[#This Row],[Close]]),2)&amp;"-Q"&amp;ROUNDUP(MONTH(Opportunities[[#This Row],[Close]])/3, 0)</f>
        <v>CY25-Q4</v>
      </c>
      <c r="O33" t="str">
        <f>"https://cleansheet5.sharepoint.com/sites/SalesFunnel/Lists/Opportunities/DispForm.aspx?ID="&amp;Opportunities[[#This Row],[Id]]</f>
        <v>https://cleansheet5.sharepoint.com/sites/SalesFunnel/Lists/Opportunities/DispForm.aspx?ID=32</v>
      </c>
      <c r="P33">
        <f>_xlfn.XLOOKUP(Opportunities[[#This Row],[Stage]],stage[Stage],stage[Index])</f>
        <v>5</v>
      </c>
      <c r="Q33" t="str">
        <f>Opportunities[[#This Row],[StageNumber]]&amp;" - "&amp;Opportunities[[#This Row],[Stage]]</f>
        <v>5 - Project Execution</v>
      </c>
      <c r="R33">
        <f>Opportunities[[#This Row],[Amount]]*Opportunities[[#This Row],[Probability]]</f>
        <v>1280986.8400000001</v>
      </c>
      <c r="S33" t="str" cm="1">
        <f t="array" ref="S33">_xlfn.SWITCH(Opportunities[[#This Row],[Status]],"At Risk","⚠","Active","✓","⮾")</f>
        <v>⮾</v>
      </c>
      <c r="W33" t="s">
        <v>277</v>
      </c>
    </row>
    <row r="34" spans="1:23" x14ac:dyDescent="0.25">
      <c r="A34">
        <v>33</v>
      </c>
      <c r="B34" t="s">
        <v>227</v>
      </c>
      <c r="C34" t="s">
        <v>187</v>
      </c>
      <c r="D34" t="s">
        <v>197</v>
      </c>
      <c r="E34">
        <v>1203259</v>
      </c>
      <c r="F34">
        <v>0.28000000000000003</v>
      </c>
      <c r="G34">
        <v>29</v>
      </c>
      <c r="H34">
        <v>46318.291666666664</v>
      </c>
      <c r="J34">
        <v>45880.291666666664</v>
      </c>
      <c r="L34" t="s">
        <v>309</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"https://cleansheet5.sharepoint.com/sites/SalesFunnel/Lists/Opportunities/DispForm.aspx?ID="&amp;Opportunities[[#This Row],[Id]]</f>
        <v>https://cleansheet5.sharepoint.com/sites/SalesFunnel/Lists/Opportunities/DispForm.aspx?ID=33</v>
      </c>
      <c r="P34">
        <f>_xlfn.XLOOKUP(Opportunities[[#This Row],[Stage]],stage[Stage],stage[Index])</f>
        <v>3</v>
      </c>
      <c r="Q34" t="str">
        <f>Opportunities[[#This Row],[StageNumber]]&amp;" - "&amp;Opportunities[[#This Row],[Stage]]</f>
        <v>3 - Proposal</v>
      </c>
      <c r="R34">
        <f>Opportunities[[#This Row],[Amount]]*Opportunities[[#This Row],[Probability]]</f>
        <v>336912.52</v>
      </c>
      <c r="S34" t="str" cm="1">
        <f t="array" ref="S34">_xlfn.SWITCH(Opportunities[[#This Row],[Status]],"At Risk","⚠","Active","✓","⮾")</f>
        <v>⚠</v>
      </c>
      <c r="W34" t="s">
        <v>291</v>
      </c>
    </row>
    <row r="35" spans="1:23" x14ac:dyDescent="0.25">
      <c r="A35">
        <v>34</v>
      </c>
      <c r="B35" t="s">
        <v>228</v>
      </c>
      <c r="C35" t="s">
        <v>190</v>
      </c>
      <c r="D35" t="s">
        <v>188</v>
      </c>
      <c r="E35">
        <v>809293</v>
      </c>
      <c r="F35">
        <v>0.88</v>
      </c>
      <c r="G35">
        <v>29</v>
      </c>
      <c r="H35">
        <v>46355.333333333336</v>
      </c>
      <c r="J35">
        <v>45911.291666666664</v>
      </c>
      <c r="L35" t="s">
        <v>309</v>
      </c>
      <c r="M35" t="str">
        <f>" FY"&amp;RIGHT(IF(MONTH(Opportunities[[#This Row],[Close]])&gt;=7,YEAR(Opportunities[[#This Row],[Close]])+1,YEAR(Opportunities[[#This Row],[Close]])),2)&amp;"-Q"&amp;IF(MONTH(Opportunities[[#This Row],[Close]])&gt;=7,CEILING((MONTH(Opportunities[[#This Row],[Close]])-6)/3,1),CEILING((MONTH(Opportunities[[#This Row],[Close]])+6)/3,1))</f>
        <v xml:space="preserve"> FY27-Q2</v>
      </c>
      <c r="N35" t="str">
        <f>"CY"&amp;RIGHT(YEAR(Opportunities[[#This Row],[Close]]),2)&amp;"-Q"&amp;ROUNDUP(MONTH(Opportunities[[#This Row],[Close]])/3, 0)</f>
        <v>CY26-Q4</v>
      </c>
      <c r="O35" t="str">
        <f>"https://cleansheet5.sharepoint.com/sites/SalesFunnel/Lists/Opportunities/DispForm.aspx?ID="&amp;Opportunities[[#This Row],[Id]]</f>
        <v>https://cleansheet5.sharepoint.com/sites/SalesFunnel/Lists/Opportunities/DispForm.aspx?ID=34</v>
      </c>
      <c r="P35">
        <f>_xlfn.XLOOKUP(Opportunities[[#This Row],[Stage]],stage[Stage],stage[Index])</f>
        <v>4</v>
      </c>
      <c r="Q35" t="str">
        <f>Opportunities[[#This Row],[StageNumber]]&amp;" - "&amp;Opportunities[[#This Row],[Stage]]</f>
        <v>4 - Negotiation</v>
      </c>
      <c r="R35">
        <f>Opportunities[[#This Row],[Amount]]*Opportunities[[#This Row],[Probability]]</f>
        <v>712177.84</v>
      </c>
      <c r="S35" t="str" cm="1">
        <f t="array" ref="S35">_xlfn.SWITCH(Opportunities[[#This Row],[Status]],"At Risk","⚠","Active","✓","⮾")</f>
        <v>✓</v>
      </c>
      <c r="W35" t="s">
        <v>292</v>
      </c>
    </row>
    <row r="36" spans="1:23" x14ac:dyDescent="0.25">
      <c r="A36">
        <v>35</v>
      </c>
      <c r="B36" t="s">
        <v>229</v>
      </c>
      <c r="C36" t="s">
        <v>190</v>
      </c>
      <c r="D36" t="s">
        <v>188</v>
      </c>
      <c r="E36">
        <v>1015341</v>
      </c>
      <c r="F36">
        <v>0.89</v>
      </c>
      <c r="G36">
        <v>30</v>
      </c>
      <c r="H36">
        <v>45899.291666666664</v>
      </c>
      <c r="J36">
        <v>45886.291666666664</v>
      </c>
      <c r="L36" t="s">
        <v>309</v>
      </c>
      <c r="M36" t="str">
        <f>" FY"&amp;RIGHT(IF(MONTH(Opportunities[[#This Row],[Close]])&gt;=7,YEAR(Opportunities[[#This Row],[Close]])+1,YEAR(Opportunities[[#This Row],[Close]])),2)&amp;"-Q"&amp;IF(MONTH(Opportunities[[#This Row],[Close]])&gt;=7,CEILING((MONTH(Opportunities[[#This Row],[Close]])-6)/3,1),CEILING((MONTH(Opportunities[[#This Row],[Close]])+6)/3,1))</f>
        <v xml:space="preserve"> FY26-Q1</v>
      </c>
      <c r="N36" t="str">
        <f>"CY"&amp;RIGHT(YEAR(Opportunities[[#This Row],[Close]]),2)&amp;"-Q"&amp;ROUNDUP(MONTH(Opportunities[[#This Row],[Close]])/3, 0)</f>
        <v>CY25-Q3</v>
      </c>
      <c r="O36" t="str">
        <f>"https://cleansheet5.sharepoint.com/sites/SalesFunnel/Lists/Opportunities/DispForm.aspx?ID="&amp;Opportunities[[#This Row],[Id]]</f>
        <v>https://cleansheet5.sharepoint.com/sites/SalesFunnel/Lists/Opportunities/DispForm.aspx?ID=35</v>
      </c>
      <c r="P36">
        <f>_xlfn.XLOOKUP(Opportunities[[#This Row],[Stage]],stage[Stage],stage[Index])</f>
        <v>4</v>
      </c>
      <c r="Q36" t="str">
        <f>Opportunities[[#This Row],[StageNumber]]&amp;" - "&amp;Opportunities[[#This Row],[Stage]]</f>
        <v>4 - Negotiation</v>
      </c>
      <c r="R36">
        <f>Opportunities[[#This Row],[Amount]]*Opportunities[[#This Row],[Probability]]</f>
        <v>903653.49</v>
      </c>
      <c r="S36" t="str" cm="1">
        <f t="array" ref="S36">_xlfn.SWITCH(Opportunities[[#This Row],[Status]],"At Risk","⚠","Active","✓","⮾")</f>
        <v>✓</v>
      </c>
      <c r="W36" t="s">
        <v>293</v>
      </c>
    </row>
    <row r="37" spans="1:23" x14ac:dyDescent="0.25">
      <c r="A37">
        <v>36</v>
      </c>
      <c r="B37" t="s">
        <v>230</v>
      </c>
      <c r="C37" t="s">
        <v>190</v>
      </c>
      <c r="D37" t="s">
        <v>191</v>
      </c>
      <c r="E37">
        <v>945903</v>
      </c>
      <c r="F37">
        <v>0.62</v>
      </c>
      <c r="G37">
        <v>30</v>
      </c>
      <c r="H37">
        <v>45985.333333333336</v>
      </c>
      <c r="J37">
        <v>45954.291666666664</v>
      </c>
      <c r="L37" t="s">
        <v>309</v>
      </c>
      <c r="M37" t="str">
        <f>" FY"&amp;RIGHT(IF(MONTH(Opportunities[[#This Row],[Close]])&gt;=7,YEAR(Opportunities[[#This Row],[Close]])+1,YEAR(Opportunities[[#This Row],[Close]])),2)&amp;"-Q"&amp;IF(MONTH(Opportunities[[#This Row],[Close]])&gt;=7,CEILING((MONTH(Opportunities[[#This Row],[Close]])-6)/3,1),CEILING((MONTH(Opportunities[[#This Row],[Close]])+6)/3,1))</f>
        <v xml:space="preserve"> FY26-Q2</v>
      </c>
      <c r="N37" t="str">
        <f>"CY"&amp;RIGHT(YEAR(Opportunities[[#This Row],[Close]]),2)&amp;"-Q"&amp;ROUNDUP(MONTH(Opportunities[[#This Row],[Close]])/3, 0)</f>
        <v>CY25-Q4</v>
      </c>
      <c r="O37" t="str">
        <f>"https://cleansheet5.sharepoint.com/sites/SalesFunnel/Lists/Opportunities/DispForm.aspx?ID="&amp;Opportunities[[#This Row],[Id]]</f>
        <v>https://cleansheet5.sharepoint.com/sites/SalesFunnel/Lists/Opportunities/DispForm.aspx?ID=36</v>
      </c>
      <c r="P37">
        <f>_xlfn.XLOOKUP(Opportunities[[#This Row],[Stage]],stage[Stage],stage[Index])</f>
        <v>1</v>
      </c>
      <c r="Q37" t="str">
        <f>Opportunities[[#This Row],[StageNumber]]&amp;" - "&amp;Opportunities[[#This Row],[Stage]]</f>
        <v>1 - Lead Qualification</v>
      </c>
      <c r="R37">
        <f>Opportunities[[#This Row],[Amount]]*Opportunities[[#This Row],[Probability]]</f>
        <v>586459.86</v>
      </c>
      <c r="S37" t="str" cm="1">
        <f t="array" ref="S37">_xlfn.SWITCH(Opportunities[[#This Row],[Status]],"At Risk","⚠","Active","✓","⮾")</f>
        <v>✓</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W32"/>
  <sheetViews>
    <sheetView workbookViewId="0">
      <selection activeCell="M26" sqref="M26"/>
    </sheetView>
  </sheetViews>
  <sheetFormatPr defaultRowHeight="15" x14ac:dyDescent="0.25"/>
  <cols>
    <col min="1" max="1" width="5" bestFit="1" customWidth="1"/>
    <col min="2" max="2" width="26.85546875" bestFit="1" customWidth="1"/>
    <col min="3" max="3" width="20.42578125" bestFit="1" customWidth="1"/>
    <col min="4" max="4" width="22.5703125" bestFit="1" customWidth="1"/>
    <col min="5" max="5" width="18.85546875" bestFit="1" customWidth="1"/>
    <col min="6" max="6" width="26.28515625" bestFit="1" customWidth="1"/>
    <col min="7" max="7" width="20" bestFit="1" customWidth="1"/>
    <col min="8" max="8" width="29.7109375" bestFit="1" customWidth="1"/>
    <col min="9" max="9" width="38.140625" bestFit="1" customWidth="1"/>
    <col min="10" max="11" width="12.42578125" bestFit="1" customWidth="1"/>
    <col min="12" max="12" width="81.140625" bestFit="1" customWidth="1"/>
    <col min="13" max="13" width="25" bestFit="1" customWidth="1"/>
    <col min="14" max="14" width="14.7109375" bestFit="1" customWidth="1"/>
    <col min="15" max="15" width="38" bestFit="1" customWidth="1"/>
    <col min="16" max="16" width="19.28515625" bestFit="1" customWidth="1"/>
    <col min="17" max="17" width="19" bestFit="1" customWidth="1"/>
    <col min="18" max="18" width="18.7109375" bestFit="1" customWidth="1"/>
    <col min="19" max="19" width="18.42578125" bestFit="1" customWidth="1"/>
    <col min="20" max="20" width="81.140625" bestFit="1" customWidth="1"/>
    <col min="23" max="23" width="40.5703125" bestFit="1" customWidth="1"/>
  </cols>
  <sheetData>
    <row r="1" spans="1:15" x14ac:dyDescent="0.25">
      <c r="A1" t="s">
        <v>0</v>
      </c>
      <c r="B1" t="s">
        <v>1</v>
      </c>
      <c r="C1" t="s">
        <v>4</v>
      </c>
      <c r="D1" t="s">
        <v>5</v>
      </c>
      <c r="E1" t="s">
        <v>6</v>
      </c>
      <c r="F1" t="s">
        <v>7</v>
      </c>
      <c r="G1" t="s">
        <v>8</v>
      </c>
      <c r="H1" t="s">
        <v>9</v>
      </c>
      <c r="I1" t="s">
        <v>307</v>
      </c>
      <c r="J1" t="s">
        <v>3</v>
      </c>
      <c r="K1" t="s">
        <v>2</v>
      </c>
      <c r="L1" t="s">
        <v>308</v>
      </c>
      <c r="O1" t="s">
        <v>269</v>
      </c>
    </row>
    <row r="2" spans="1:15" x14ac:dyDescent="0.25">
      <c r="A2">
        <v>1</v>
      </c>
      <c r="B2" t="s">
        <v>10</v>
      </c>
      <c r="C2" t="s">
        <v>12</v>
      </c>
      <c r="D2" t="s">
        <v>13</v>
      </c>
      <c r="E2" t="s">
        <v>14</v>
      </c>
      <c r="F2" t="s">
        <v>15</v>
      </c>
      <c r="I2" t="s">
        <v>11</v>
      </c>
      <c r="J2">
        <v>45874.787615740737</v>
      </c>
      <c r="K2">
        <v>45874.714803240742</v>
      </c>
      <c r="L2" t="str">
        <f>"https://cleansheet5.sharepoint.com/sites/SalesFunnel/Lists/Customers/DispForm.aspx?ID="&amp;Customers[[#This Row],[Id]]</f>
        <v>https://cleansheet5.sharepoint.com/sites/SalesFunnel/Lists/Customers/DispForm.aspx?ID=1</v>
      </c>
      <c r="O2" t="s">
        <v>270</v>
      </c>
    </row>
    <row r="3" spans="1:15" x14ac:dyDescent="0.25">
      <c r="A3">
        <v>2</v>
      </c>
      <c r="B3" t="s">
        <v>16</v>
      </c>
      <c r="C3" t="s">
        <v>18</v>
      </c>
      <c r="D3" t="s">
        <v>19</v>
      </c>
      <c r="E3" t="s">
        <v>20</v>
      </c>
      <c r="F3" t="s">
        <v>21</v>
      </c>
      <c r="G3" t="s">
        <v>22</v>
      </c>
      <c r="H3" t="s">
        <v>23</v>
      </c>
      <c r="I3" t="s">
        <v>17</v>
      </c>
      <c r="J3">
        <v>45874.787615740737</v>
      </c>
      <c r="K3">
        <v>45874.714803240742</v>
      </c>
      <c r="L3" t="str">
        <f>"https://cleansheet5.sharepoint.com/sites/SalesFunnel/Lists/Customers/DispForm.aspx?ID="&amp;Customers[[#This Row],[Id]]</f>
        <v>https://cleansheet5.sharepoint.com/sites/SalesFunnel/Lists/Customers/DispForm.aspx?ID=2</v>
      </c>
      <c r="O3" t="s">
        <v>271</v>
      </c>
    </row>
    <row r="4" spans="1:15" x14ac:dyDescent="0.25">
      <c r="A4">
        <v>3</v>
      </c>
      <c r="B4" t="s">
        <v>24</v>
      </c>
      <c r="C4" t="s">
        <v>26</v>
      </c>
      <c r="D4" t="s">
        <v>27</v>
      </c>
      <c r="E4" t="s">
        <v>28</v>
      </c>
      <c r="F4" t="s">
        <v>29</v>
      </c>
      <c r="G4" t="s">
        <v>30</v>
      </c>
      <c r="H4" t="s">
        <v>31</v>
      </c>
      <c r="I4" t="s">
        <v>25</v>
      </c>
      <c r="J4">
        <v>45874.787615740737</v>
      </c>
      <c r="K4">
        <v>45874.714814814812</v>
      </c>
      <c r="L4" t="str">
        <f>"https://cleansheet5.sharepoint.com/sites/SalesFunnel/Lists/Customers/DispForm.aspx?ID="&amp;Customers[[#This Row],[Id]]</f>
        <v>https://cleansheet5.sharepoint.com/sites/SalesFunnel/Lists/Customers/DispForm.aspx?ID=3</v>
      </c>
      <c r="O4" t="s">
        <v>294</v>
      </c>
    </row>
    <row r="5" spans="1:15" x14ac:dyDescent="0.25">
      <c r="A5">
        <v>4</v>
      </c>
      <c r="B5" t="s">
        <v>32</v>
      </c>
      <c r="C5" t="s">
        <v>34</v>
      </c>
      <c r="D5" t="s">
        <v>35</v>
      </c>
      <c r="E5" t="s">
        <v>36</v>
      </c>
      <c r="F5" t="s">
        <v>37</v>
      </c>
      <c r="G5" t="s">
        <v>38</v>
      </c>
      <c r="H5" t="s">
        <v>39</v>
      </c>
      <c r="I5" t="s">
        <v>33</v>
      </c>
      <c r="J5">
        <v>45874.787615740737</v>
      </c>
      <c r="K5">
        <v>45874.714814814812</v>
      </c>
      <c r="L5" t="str">
        <f>"https://cleansheet5.sharepoint.com/sites/SalesFunnel/Lists/Customers/DispForm.aspx?ID="&amp;Customers[[#This Row],[Id]]</f>
        <v>https://cleansheet5.sharepoint.com/sites/SalesFunnel/Lists/Customers/DispForm.aspx?ID=4</v>
      </c>
      <c r="O5" t="s">
        <v>273</v>
      </c>
    </row>
    <row r="6" spans="1:15" x14ac:dyDescent="0.25">
      <c r="A6">
        <v>5</v>
      </c>
      <c r="B6" t="s">
        <v>40</v>
      </c>
      <c r="C6" t="s">
        <v>42</v>
      </c>
      <c r="D6" t="s">
        <v>43</v>
      </c>
      <c r="E6" t="s">
        <v>44</v>
      </c>
      <c r="F6" t="s">
        <v>45</v>
      </c>
      <c r="G6" t="s">
        <v>46</v>
      </c>
      <c r="H6" t="s">
        <v>47</v>
      </c>
      <c r="I6" t="s">
        <v>41</v>
      </c>
      <c r="J6">
        <v>45874.787615740737</v>
      </c>
      <c r="K6">
        <v>45874.714814814812</v>
      </c>
      <c r="L6" t="str">
        <f>"https://cleansheet5.sharepoint.com/sites/SalesFunnel/Lists/Customers/DispForm.aspx?ID="&amp;Customers[[#This Row],[Id]]</f>
        <v>https://cleansheet5.sharepoint.com/sites/SalesFunnel/Lists/Customers/DispForm.aspx?ID=5</v>
      </c>
      <c r="O6" t="s">
        <v>274</v>
      </c>
    </row>
    <row r="7" spans="1:15" x14ac:dyDescent="0.25">
      <c r="A7">
        <v>6</v>
      </c>
      <c r="B7" t="s">
        <v>48</v>
      </c>
      <c r="C7" t="s">
        <v>50</v>
      </c>
      <c r="D7" t="s">
        <v>51</v>
      </c>
      <c r="E7" t="s">
        <v>52</v>
      </c>
      <c r="F7" t="s">
        <v>53</v>
      </c>
      <c r="G7" t="s">
        <v>54</v>
      </c>
      <c r="H7" t="s">
        <v>55</v>
      </c>
      <c r="I7" t="s">
        <v>49</v>
      </c>
      <c r="J7">
        <v>45874.787615740737</v>
      </c>
      <c r="K7">
        <v>45874.714814814812</v>
      </c>
      <c r="L7" t="str">
        <f>"https://cleansheet5.sharepoint.com/sites/SalesFunnel/Lists/Customers/DispForm.aspx?ID="&amp;Customers[[#This Row],[Id]]</f>
        <v>https://cleansheet5.sharepoint.com/sites/SalesFunnel/Lists/Customers/DispForm.aspx?ID=6</v>
      </c>
      <c r="O7" t="s">
        <v>295</v>
      </c>
    </row>
    <row r="8" spans="1:15" x14ac:dyDescent="0.25">
      <c r="A8">
        <v>7</v>
      </c>
      <c r="B8" t="s">
        <v>56</v>
      </c>
      <c r="C8" t="s">
        <v>58</v>
      </c>
      <c r="D8" t="s">
        <v>59</v>
      </c>
      <c r="I8" t="s">
        <v>57</v>
      </c>
      <c r="J8">
        <v>45874.787615740737</v>
      </c>
      <c r="K8">
        <v>45874.714814814812</v>
      </c>
      <c r="L8" t="str">
        <f>"https://cleansheet5.sharepoint.com/sites/SalesFunnel/Lists/Customers/DispForm.aspx?ID="&amp;Customers[[#This Row],[Id]]</f>
        <v>https://cleansheet5.sharepoint.com/sites/SalesFunnel/Lists/Customers/DispForm.aspx?ID=7</v>
      </c>
      <c r="O8" t="s">
        <v>277</v>
      </c>
    </row>
    <row r="9" spans="1:15" x14ac:dyDescent="0.25">
      <c r="A9">
        <v>8</v>
      </c>
      <c r="B9" t="s">
        <v>60</v>
      </c>
      <c r="C9" t="s">
        <v>62</v>
      </c>
      <c r="D9" t="s">
        <v>63</v>
      </c>
      <c r="E9" t="s">
        <v>64</v>
      </c>
      <c r="F9" t="s">
        <v>65</v>
      </c>
      <c r="I9" t="s">
        <v>61</v>
      </c>
      <c r="J9">
        <v>45874.787615740737</v>
      </c>
      <c r="K9">
        <v>45874.714814814812</v>
      </c>
      <c r="L9" t="str">
        <f>"https://cleansheet5.sharepoint.com/sites/SalesFunnel/Lists/Customers/DispForm.aspx?ID="&amp;Customers[[#This Row],[Id]]</f>
        <v>https://cleansheet5.sharepoint.com/sites/SalesFunnel/Lists/Customers/DispForm.aspx?ID=8</v>
      </c>
      <c r="O9" t="s">
        <v>278</v>
      </c>
    </row>
    <row r="10" spans="1:15" x14ac:dyDescent="0.25">
      <c r="A10">
        <v>9</v>
      </c>
      <c r="B10" t="s">
        <v>66</v>
      </c>
      <c r="C10" t="s">
        <v>68</v>
      </c>
      <c r="D10" t="s">
        <v>69</v>
      </c>
      <c r="E10" t="s">
        <v>70</v>
      </c>
      <c r="F10" t="s">
        <v>71</v>
      </c>
      <c r="I10" t="s">
        <v>67</v>
      </c>
      <c r="J10">
        <v>45874.787615740737</v>
      </c>
      <c r="K10">
        <v>45874.714814814812</v>
      </c>
      <c r="L10" t="str">
        <f>"https://cleansheet5.sharepoint.com/sites/SalesFunnel/Lists/Customers/DispForm.aspx?ID="&amp;Customers[[#This Row],[Id]]</f>
        <v>https://cleansheet5.sharepoint.com/sites/SalesFunnel/Lists/Customers/DispForm.aspx?ID=9</v>
      </c>
      <c r="O10" t="s">
        <v>271</v>
      </c>
    </row>
    <row r="11" spans="1:15" x14ac:dyDescent="0.25">
      <c r="A11">
        <v>10</v>
      </c>
      <c r="B11" t="s">
        <v>72</v>
      </c>
      <c r="C11" t="s">
        <v>74</v>
      </c>
      <c r="D11" t="s">
        <v>19</v>
      </c>
      <c r="E11" t="s">
        <v>75</v>
      </c>
      <c r="F11" t="s">
        <v>76</v>
      </c>
      <c r="G11" t="s">
        <v>77</v>
      </c>
      <c r="H11" t="s">
        <v>78</v>
      </c>
      <c r="I11" t="s">
        <v>73</v>
      </c>
      <c r="J11">
        <v>45874.787615740737</v>
      </c>
      <c r="K11">
        <v>45874.714814814812</v>
      </c>
      <c r="L11" t="str">
        <f>"https://cleansheet5.sharepoint.com/sites/SalesFunnel/Lists/Customers/DispForm.aspx?ID="&amp;Customers[[#This Row],[Id]]</f>
        <v>https://cleansheet5.sharepoint.com/sites/SalesFunnel/Lists/Customers/DispForm.aspx?ID=10</v>
      </c>
      <c r="O11" t="s">
        <v>296</v>
      </c>
    </row>
    <row r="12" spans="1:15" x14ac:dyDescent="0.25">
      <c r="A12">
        <v>11</v>
      </c>
      <c r="B12" t="s">
        <v>79</v>
      </c>
      <c r="C12" t="s">
        <v>81</v>
      </c>
      <c r="D12" t="s">
        <v>27</v>
      </c>
      <c r="E12" t="s">
        <v>82</v>
      </c>
      <c r="F12" t="s">
        <v>53</v>
      </c>
      <c r="G12" t="s">
        <v>83</v>
      </c>
      <c r="H12" t="s">
        <v>84</v>
      </c>
      <c r="I12" t="s">
        <v>80</v>
      </c>
      <c r="J12">
        <v>45874.787615740737</v>
      </c>
      <c r="K12">
        <v>45874.714814814812</v>
      </c>
      <c r="L12" t="str">
        <f>"https://cleansheet5.sharepoint.com/sites/SalesFunnel/Lists/Customers/DispForm.aspx?ID="&amp;Customers[[#This Row],[Id]]</f>
        <v>https://cleansheet5.sharepoint.com/sites/SalesFunnel/Lists/Customers/DispForm.aspx?ID=11</v>
      </c>
      <c r="O12" t="s">
        <v>273</v>
      </c>
    </row>
    <row r="13" spans="1:15" x14ac:dyDescent="0.25">
      <c r="A13">
        <v>12</v>
      </c>
      <c r="B13" t="s">
        <v>85</v>
      </c>
      <c r="C13" t="s">
        <v>87</v>
      </c>
      <c r="D13" t="s">
        <v>88</v>
      </c>
      <c r="E13" t="s">
        <v>89</v>
      </c>
      <c r="F13" t="s">
        <v>21</v>
      </c>
      <c r="I13" t="s">
        <v>86</v>
      </c>
      <c r="J13">
        <v>45874.787627314814</v>
      </c>
      <c r="K13">
        <v>45874.714814814812</v>
      </c>
      <c r="L13" t="str">
        <f>"https://cleansheet5.sharepoint.com/sites/SalesFunnel/Lists/Customers/DispForm.aspx?ID="&amp;Customers[[#This Row],[Id]]</f>
        <v>https://cleansheet5.sharepoint.com/sites/SalesFunnel/Lists/Customers/DispForm.aspx?ID=12</v>
      </c>
      <c r="O13" t="s">
        <v>297</v>
      </c>
    </row>
    <row r="14" spans="1:15" x14ac:dyDescent="0.25">
      <c r="A14">
        <v>13</v>
      </c>
      <c r="B14" t="s">
        <v>90</v>
      </c>
      <c r="C14" t="s">
        <v>92</v>
      </c>
      <c r="D14" t="s">
        <v>13</v>
      </c>
      <c r="E14" t="s">
        <v>93</v>
      </c>
      <c r="F14" t="s">
        <v>94</v>
      </c>
      <c r="G14" t="s">
        <v>95</v>
      </c>
      <c r="H14" t="s">
        <v>96</v>
      </c>
      <c r="I14" t="s">
        <v>91</v>
      </c>
      <c r="J14">
        <v>45874.787627314814</v>
      </c>
      <c r="K14">
        <v>45874.714814814812</v>
      </c>
      <c r="L14" t="str">
        <f>"https://cleansheet5.sharepoint.com/sites/SalesFunnel/Lists/Customers/DispForm.aspx?ID="&amp;Customers[[#This Row],[Id]]</f>
        <v>https://cleansheet5.sharepoint.com/sites/SalesFunnel/Lists/Customers/DispForm.aspx?ID=13</v>
      </c>
      <c r="O14" t="s">
        <v>298</v>
      </c>
    </row>
    <row r="15" spans="1:15" x14ac:dyDescent="0.25">
      <c r="A15">
        <v>14</v>
      </c>
      <c r="B15" t="s">
        <v>97</v>
      </c>
      <c r="C15" t="s">
        <v>99</v>
      </c>
      <c r="D15" t="s">
        <v>100</v>
      </c>
      <c r="E15" t="s">
        <v>101</v>
      </c>
      <c r="F15" t="s">
        <v>15</v>
      </c>
      <c r="G15" t="s">
        <v>102</v>
      </c>
      <c r="H15" t="s">
        <v>103</v>
      </c>
      <c r="I15" t="s">
        <v>98</v>
      </c>
      <c r="J15">
        <v>45874.787627314814</v>
      </c>
      <c r="K15">
        <v>45874.714814814812</v>
      </c>
      <c r="L15" t="str">
        <f>"https://cleansheet5.sharepoint.com/sites/SalesFunnel/Lists/Customers/DispForm.aspx?ID="&amp;Customers[[#This Row],[Id]]</f>
        <v>https://cleansheet5.sharepoint.com/sites/SalesFunnel/Lists/Customers/DispForm.aspx?ID=14</v>
      </c>
      <c r="O15" t="s">
        <v>277</v>
      </c>
    </row>
    <row r="16" spans="1:15" x14ac:dyDescent="0.25">
      <c r="A16">
        <v>15</v>
      </c>
      <c r="B16" t="s">
        <v>104</v>
      </c>
      <c r="C16" t="s">
        <v>106</v>
      </c>
      <c r="D16" t="s">
        <v>19</v>
      </c>
      <c r="E16" t="s">
        <v>107</v>
      </c>
      <c r="F16" t="s">
        <v>21</v>
      </c>
      <c r="I16" t="s">
        <v>105</v>
      </c>
      <c r="J16">
        <v>45874.787627314814</v>
      </c>
      <c r="K16">
        <v>45874.714814814812</v>
      </c>
      <c r="L16" t="str">
        <f>"https://cleansheet5.sharepoint.com/sites/SalesFunnel/Lists/Customers/DispForm.aspx?ID="&amp;Customers[[#This Row],[Id]]</f>
        <v>https://cleansheet5.sharepoint.com/sites/SalesFunnel/Lists/Customers/DispForm.aspx?ID=15</v>
      </c>
      <c r="O16" t="s">
        <v>278</v>
      </c>
    </row>
    <row r="17" spans="1:23" x14ac:dyDescent="0.25">
      <c r="A17">
        <v>16</v>
      </c>
      <c r="B17" t="s">
        <v>108</v>
      </c>
      <c r="C17" t="s">
        <v>110</v>
      </c>
      <c r="D17" t="s">
        <v>111</v>
      </c>
      <c r="E17" t="s">
        <v>112</v>
      </c>
      <c r="F17" t="s">
        <v>71</v>
      </c>
      <c r="I17" t="s">
        <v>109</v>
      </c>
      <c r="J17">
        <v>45874.787627314814</v>
      </c>
      <c r="K17">
        <v>45874.714814814812</v>
      </c>
      <c r="L17" t="str">
        <f>"https://cleansheet5.sharepoint.com/sites/SalesFunnel/Lists/Customers/DispForm.aspx?ID="&amp;Customers[[#This Row],[Id]]</f>
        <v>https://cleansheet5.sharepoint.com/sites/SalesFunnel/Lists/Customers/DispForm.aspx?ID=16</v>
      </c>
      <c r="O17" t="s">
        <v>271</v>
      </c>
    </row>
    <row r="18" spans="1:23" x14ac:dyDescent="0.25">
      <c r="A18">
        <v>17</v>
      </c>
      <c r="B18" t="s">
        <v>113</v>
      </c>
      <c r="C18" t="s">
        <v>115</v>
      </c>
      <c r="D18" t="s">
        <v>63</v>
      </c>
      <c r="I18" t="s">
        <v>114</v>
      </c>
      <c r="J18">
        <v>45874.787627314814</v>
      </c>
      <c r="K18">
        <v>45874.714814814812</v>
      </c>
      <c r="L18" t="str">
        <f>"https://cleansheet5.sharepoint.com/sites/SalesFunnel/Lists/Customers/DispForm.aspx?ID="&amp;Customers[[#This Row],[Id]]</f>
        <v>https://cleansheet5.sharepoint.com/sites/SalesFunnel/Lists/Customers/DispForm.aspx?ID=17</v>
      </c>
      <c r="O18" t="s">
        <v>299</v>
      </c>
    </row>
    <row r="19" spans="1:23" x14ac:dyDescent="0.25">
      <c r="A19">
        <v>18</v>
      </c>
      <c r="B19" t="s">
        <v>116</v>
      </c>
      <c r="C19" t="s">
        <v>118</v>
      </c>
      <c r="D19" t="s">
        <v>119</v>
      </c>
      <c r="E19" t="s">
        <v>120</v>
      </c>
      <c r="F19" t="s">
        <v>121</v>
      </c>
      <c r="I19" t="s">
        <v>117</v>
      </c>
      <c r="J19">
        <v>45874.787627314814</v>
      </c>
      <c r="K19">
        <v>45874.714814814812</v>
      </c>
      <c r="L19" t="str">
        <f>"https://cleansheet5.sharepoint.com/sites/SalesFunnel/Lists/Customers/DispForm.aspx?ID="&amp;Customers[[#This Row],[Id]]</f>
        <v>https://cleansheet5.sharepoint.com/sites/SalesFunnel/Lists/Customers/DispForm.aspx?ID=18</v>
      </c>
      <c r="O19" t="s">
        <v>273</v>
      </c>
    </row>
    <row r="20" spans="1:23" x14ac:dyDescent="0.25">
      <c r="A20">
        <v>19</v>
      </c>
      <c r="B20" t="s">
        <v>122</v>
      </c>
      <c r="C20" t="s">
        <v>124</v>
      </c>
      <c r="D20" t="s">
        <v>19</v>
      </c>
      <c r="E20" t="s">
        <v>125</v>
      </c>
      <c r="F20" t="s">
        <v>21</v>
      </c>
      <c r="I20" t="s">
        <v>123</v>
      </c>
      <c r="J20">
        <v>45874.787627314814</v>
      </c>
      <c r="K20">
        <v>45874.714814814812</v>
      </c>
      <c r="L20" t="str">
        <f>"https://cleansheet5.sharepoint.com/sites/SalesFunnel/Lists/Customers/DispForm.aspx?ID="&amp;Customers[[#This Row],[Id]]</f>
        <v>https://cleansheet5.sharepoint.com/sites/SalesFunnel/Lists/Customers/DispForm.aspx?ID=19</v>
      </c>
      <c r="O20" t="s">
        <v>300</v>
      </c>
    </row>
    <row r="21" spans="1:23" x14ac:dyDescent="0.25">
      <c r="A21">
        <v>20</v>
      </c>
      <c r="B21" t="s">
        <v>126</v>
      </c>
      <c r="C21" t="s">
        <v>128</v>
      </c>
      <c r="D21" t="s">
        <v>129</v>
      </c>
      <c r="E21" t="s">
        <v>130</v>
      </c>
      <c r="F21" t="s">
        <v>131</v>
      </c>
      <c r="I21" t="s">
        <v>127</v>
      </c>
      <c r="J21">
        <v>45874.787627314814</v>
      </c>
      <c r="K21">
        <v>45874.714814814812</v>
      </c>
      <c r="L21" t="str">
        <f>"https://cleansheet5.sharepoint.com/sites/SalesFunnel/Lists/Customers/DispForm.aspx?ID="&amp;Customers[[#This Row],[Id]]</f>
        <v>https://cleansheet5.sharepoint.com/sites/SalesFunnel/Lists/Customers/DispForm.aspx?ID=20</v>
      </c>
      <c r="O21" t="s">
        <v>301</v>
      </c>
    </row>
    <row r="22" spans="1:23" x14ac:dyDescent="0.25">
      <c r="A22">
        <v>21</v>
      </c>
      <c r="B22" t="s">
        <v>132</v>
      </c>
      <c r="C22" t="s">
        <v>134</v>
      </c>
      <c r="D22" t="s">
        <v>135</v>
      </c>
      <c r="I22" t="s">
        <v>133</v>
      </c>
      <c r="J22">
        <v>45874.787627314814</v>
      </c>
      <c r="K22">
        <v>45874.714814814812</v>
      </c>
      <c r="L22" t="str">
        <f>"https://cleansheet5.sharepoint.com/sites/SalesFunnel/Lists/Customers/DispForm.aspx?ID="&amp;Customers[[#This Row],[Id]]</f>
        <v>https://cleansheet5.sharepoint.com/sites/SalesFunnel/Lists/Customers/DispForm.aspx?ID=21</v>
      </c>
      <c r="O22" t="s">
        <v>277</v>
      </c>
    </row>
    <row r="23" spans="1:23" x14ac:dyDescent="0.25">
      <c r="A23">
        <v>22</v>
      </c>
      <c r="B23" t="s">
        <v>136</v>
      </c>
      <c r="C23" t="s">
        <v>138</v>
      </c>
      <c r="D23" t="s">
        <v>63</v>
      </c>
      <c r="I23" t="s">
        <v>137</v>
      </c>
      <c r="J23">
        <v>45874.787627314814</v>
      </c>
      <c r="K23">
        <v>45874.714814814812</v>
      </c>
      <c r="L23" t="str">
        <f>"https://cleansheet5.sharepoint.com/sites/SalesFunnel/Lists/Customers/DispForm.aspx?ID="&amp;Customers[[#This Row],[Id]]</f>
        <v>https://cleansheet5.sharepoint.com/sites/SalesFunnel/Lists/Customers/DispForm.aspx?ID=22</v>
      </c>
      <c r="O23" t="s">
        <v>278</v>
      </c>
    </row>
    <row r="24" spans="1:23" x14ac:dyDescent="0.25">
      <c r="A24">
        <v>23</v>
      </c>
      <c r="B24" t="s">
        <v>139</v>
      </c>
      <c r="C24" t="s">
        <v>141</v>
      </c>
      <c r="D24" t="s">
        <v>19</v>
      </c>
      <c r="E24" t="s">
        <v>142</v>
      </c>
      <c r="F24" t="s">
        <v>143</v>
      </c>
      <c r="I24" t="s">
        <v>140</v>
      </c>
      <c r="J24">
        <v>45874.787627314814</v>
      </c>
      <c r="K24">
        <v>45874.714814814812</v>
      </c>
      <c r="L24" t="str">
        <f>"https://cleansheet5.sharepoint.com/sites/SalesFunnel/Lists/Customers/DispForm.aspx?ID="&amp;Customers[[#This Row],[Id]]</f>
        <v>https://cleansheet5.sharepoint.com/sites/SalesFunnel/Lists/Customers/DispForm.aspx?ID=23</v>
      </c>
      <c r="O24" t="s">
        <v>271</v>
      </c>
    </row>
    <row r="25" spans="1:23" x14ac:dyDescent="0.25">
      <c r="A25">
        <v>24</v>
      </c>
      <c r="B25" t="s">
        <v>144</v>
      </c>
      <c r="C25" t="s">
        <v>146</v>
      </c>
      <c r="D25" t="s">
        <v>147</v>
      </c>
      <c r="E25" t="s">
        <v>148</v>
      </c>
      <c r="F25" t="s">
        <v>21</v>
      </c>
      <c r="I25" t="s">
        <v>145</v>
      </c>
      <c r="J25">
        <v>45874.787627314814</v>
      </c>
      <c r="K25">
        <v>45874.714814814812</v>
      </c>
      <c r="L25" t="str">
        <f>"https://cleansheet5.sharepoint.com/sites/SalesFunnel/Lists/Customers/DispForm.aspx?ID="&amp;Customers[[#This Row],[Id]]</f>
        <v>https://cleansheet5.sharepoint.com/sites/SalesFunnel/Lists/Customers/DispForm.aspx?ID=24</v>
      </c>
      <c r="O25" t="s">
        <v>302</v>
      </c>
    </row>
    <row r="26" spans="1:23" x14ac:dyDescent="0.25">
      <c r="A26">
        <v>25</v>
      </c>
      <c r="B26" t="s">
        <v>149</v>
      </c>
      <c r="C26" t="s">
        <v>151</v>
      </c>
      <c r="D26" t="s">
        <v>13</v>
      </c>
      <c r="E26" t="s">
        <v>152</v>
      </c>
      <c r="F26" t="s">
        <v>71</v>
      </c>
      <c r="G26" t="s">
        <v>153</v>
      </c>
      <c r="H26" t="s">
        <v>154</v>
      </c>
      <c r="I26" t="s">
        <v>150</v>
      </c>
      <c r="J26">
        <v>45874.787627314814</v>
      </c>
      <c r="K26">
        <v>45874.714814814812</v>
      </c>
      <c r="L26" t="str">
        <f>"https://cleansheet5.sharepoint.com/sites/SalesFunnel/Lists/Customers/DispForm.aspx?ID="&amp;Customers[[#This Row],[Id]]</f>
        <v>https://cleansheet5.sharepoint.com/sites/SalesFunnel/Lists/Customers/DispForm.aspx?ID=25</v>
      </c>
      <c r="O26" t="s">
        <v>273</v>
      </c>
    </row>
    <row r="27" spans="1:23" x14ac:dyDescent="0.25">
      <c r="A27">
        <v>26</v>
      </c>
      <c r="B27" t="s">
        <v>155</v>
      </c>
      <c r="C27" t="s">
        <v>157</v>
      </c>
      <c r="D27" t="s">
        <v>27</v>
      </c>
      <c r="E27" t="s">
        <v>158</v>
      </c>
      <c r="F27" t="s">
        <v>37</v>
      </c>
      <c r="I27" t="s">
        <v>156</v>
      </c>
      <c r="J27">
        <v>45874.787627314814</v>
      </c>
      <c r="K27">
        <v>45874.714814814812</v>
      </c>
      <c r="L27" t="str">
        <f>"https://cleansheet5.sharepoint.com/sites/SalesFunnel/Lists/Customers/DispForm.aspx?ID="&amp;Customers[[#This Row],[Id]]</f>
        <v>https://cleansheet5.sharepoint.com/sites/SalesFunnel/Lists/Customers/DispForm.aspx?ID=26</v>
      </c>
      <c r="O27" t="s">
        <v>303</v>
      </c>
    </row>
    <row r="28" spans="1:23" x14ac:dyDescent="0.25">
      <c r="A28">
        <v>27</v>
      </c>
      <c r="B28" t="s">
        <v>159</v>
      </c>
      <c r="C28" t="s">
        <v>161</v>
      </c>
      <c r="D28" t="s">
        <v>162</v>
      </c>
      <c r="E28" t="s">
        <v>163</v>
      </c>
      <c r="F28" t="s">
        <v>21</v>
      </c>
      <c r="I28" t="s">
        <v>160</v>
      </c>
      <c r="J28">
        <v>45874.787638888891</v>
      </c>
      <c r="K28">
        <v>45874.714814814812</v>
      </c>
      <c r="L28" t="str">
        <f>"https://cleansheet5.sharepoint.com/sites/SalesFunnel/Lists/Customers/DispForm.aspx?ID="&amp;Customers[[#This Row],[Id]]</f>
        <v>https://cleansheet5.sharepoint.com/sites/SalesFunnel/Lists/Customers/DispForm.aspx?ID=27</v>
      </c>
      <c r="O28" t="s">
        <v>304</v>
      </c>
    </row>
    <row r="29" spans="1:23" x14ac:dyDescent="0.25">
      <c r="A29">
        <v>28</v>
      </c>
      <c r="B29" t="s">
        <v>164</v>
      </c>
      <c r="C29" t="s">
        <v>166</v>
      </c>
      <c r="D29" t="s">
        <v>19</v>
      </c>
      <c r="E29" t="s">
        <v>167</v>
      </c>
      <c r="F29" t="s">
        <v>131</v>
      </c>
      <c r="I29" t="s">
        <v>165</v>
      </c>
      <c r="J29">
        <v>45874.787638888891</v>
      </c>
      <c r="K29">
        <v>45874.714814814812</v>
      </c>
      <c r="L29" t="str">
        <f>"https://cleansheet5.sharepoint.com/sites/SalesFunnel/Lists/Customers/DispForm.aspx?ID="&amp;Customers[[#This Row],[Id]]</f>
        <v>https://cleansheet5.sharepoint.com/sites/SalesFunnel/Lists/Customers/DispForm.aspx?ID=28</v>
      </c>
      <c r="O29" t="s">
        <v>277</v>
      </c>
    </row>
    <row r="30" spans="1:23" x14ac:dyDescent="0.25">
      <c r="A30">
        <v>29</v>
      </c>
      <c r="B30" t="s">
        <v>168</v>
      </c>
      <c r="C30" t="s">
        <v>170</v>
      </c>
      <c r="D30" t="s">
        <v>171</v>
      </c>
      <c r="E30" t="s">
        <v>172</v>
      </c>
      <c r="F30" t="s">
        <v>21</v>
      </c>
      <c r="I30" t="s">
        <v>169</v>
      </c>
      <c r="J30">
        <v>45874.787638888891</v>
      </c>
      <c r="K30">
        <v>45874.714814814812</v>
      </c>
      <c r="L30" t="str">
        <f>"https://cleansheet5.sharepoint.com/sites/SalesFunnel/Lists/Customers/DispForm.aspx?ID="&amp;Customers[[#This Row],[Id]]</f>
        <v>https://cleansheet5.sharepoint.com/sites/SalesFunnel/Lists/Customers/DispForm.aspx?ID=29</v>
      </c>
      <c r="O30" t="s">
        <v>291</v>
      </c>
    </row>
    <row r="31" spans="1:23" x14ac:dyDescent="0.25">
      <c r="A31">
        <v>30</v>
      </c>
      <c r="B31" t="s">
        <v>173</v>
      </c>
      <c r="C31" t="s">
        <v>175</v>
      </c>
      <c r="D31" t="s">
        <v>176</v>
      </c>
      <c r="E31" t="s">
        <v>177</v>
      </c>
      <c r="F31" t="s">
        <v>178</v>
      </c>
      <c r="G31" t="s">
        <v>179</v>
      </c>
      <c r="H31" t="s">
        <v>180</v>
      </c>
      <c r="I31" t="s">
        <v>174</v>
      </c>
      <c r="J31">
        <v>45874.787638888891</v>
      </c>
      <c r="K31">
        <v>45874.714814814812</v>
      </c>
      <c r="L31" t="str">
        <f>"https://cleansheet5.sharepoint.com/sites/SalesFunnel/Lists/Customers/DispForm.aspx?ID="&amp;Customers[[#This Row],[Id]]</f>
        <v>https://cleansheet5.sharepoint.com/sites/SalesFunnel/Lists/Customers/DispForm.aspx?ID=30</v>
      </c>
      <c r="O31" t="s">
        <v>292</v>
      </c>
    </row>
    <row r="32" spans="1:23" x14ac:dyDescent="0.25">
      <c r="W32" t="s">
        <v>293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EC3F3-CB80-4E9E-B92C-BBA4185CF36F}">
  <sheetPr codeName="Sheet5"/>
  <dimension ref="A1:E43"/>
  <sheetViews>
    <sheetView workbookViewId="0">
      <selection activeCell="AE3" sqref="AE3"/>
    </sheetView>
  </sheetViews>
  <sheetFormatPr defaultRowHeight="15" x14ac:dyDescent="0.25"/>
  <cols>
    <col min="1" max="1" width="17.42578125" bestFit="1" customWidth="1"/>
    <col min="4" max="5" width="30.28515625" bestFit="1" customWidth="1"/>
  </cols>
  <sheetData>
    <row r="1" spans="1:5" x14ac:dyDescent="0.25">
      <c r="A1" t="s">
        <v>182</v>
      </c>
      <c r="B1" t="s">
        <v>238</v>
      </c>
      <c r="D1" t="str" cm="1">
        <f t="array" ref="D1:D6">_xlfn.UNIQUE(Opportunities[DisplayStage])</f>
        <v>4 - Negotiation</v>
      </c>
      <c r="E1" t="s">
        <v>248</v>
      </c>
    </row>
    <row r="2" spans="1:5" x14ac:dyDescent="0.25">
      <c r="A2" t="s">
        <v>188</v>
      </c>
      <c r="B2">
        <v>4</v>
      </c>
      <c r="D2" t="str">
        <v>1 - Lead Qualification</v>
      </c>
      <c r="E2" t="s">
        <v>249</v>
      </c>
    </row>
    <row r="3" spans="1:5" x14ac:dyDescent="0.25">
      <c r="A3" t="s">
        <v>191</v>
      </c>
      <c r="B3">
        <v>1</v>
      </c>
      <c r="D3" t="str">
        <v>5 - Project Execution</v>
      </c>
      <c r="E3" t="s">
        <v>250</v>
      </c>
    </row>
    <row r="4" spans="1:5" x14ac:dyDescent="0.25">
      <c r="A4" t="s">
        <v>195</v>
      </c>
      <c r="B4">
        <v>5</v>
      </c>
      <c r="D4" t="str">
        <v>3 - Proposal</v>
      </c>
      <c r="E4" t="s">
        <v>251</v>
      </c>
    </row>
    <row r="5" spans="1:5" x14ac:dyDescent="0.25">
      <c r="A5" t="s">
        <v>197</v>
      </c>
      <c r="B5">
        <v>3</v>
      </c>
      <c r="D5" t="str">
        <v>2 - Nurturing</v>
      </c>
      <c r="E5" t="s">
        <v>252</v>
      </c>
    </row>
    <row r="6" spans="1:5" x14ac:dyDescent="0.25">
      <c r="A6" t="s">
        <v>200</v>
      </c>
      <c r="B6">
        <v>2</v>
      </c>
      <c r="D6" t="str">
        <v>6 - Closeout</v>
      </c>
      <c r="E6" t="s">
        <v>253</v>
      </c>
    </row>
    <row r="7" spans="1:5" x14ac:dyDescent="0.25">
      <c r="A7" t="s">
        <v>203</v>
      </c>
      <c r="B7">
        <v>6</v>
      </c>
    </row>
    <row r="8" spans="1:5" x14ac:dyDescent="0.25">
      <c r="D8" s="1"/>
    </row>
    <row r="9" spans="1:5" x14ac:dyDescent="0.25">
      <c r="D9" s="1"/>
    </row>
    <row r="10" spans="1:5" x14ac:dyDescent="0.25">
      <c r="D10" s="1"/>
    </row>
    <row r="11" spans="1:5" x14ac:dyDescent="0.25">
      <c r="D11" s="1"/>
    </row>
    <row r="12" spans="1:5" x14ac:dyDescent="0.25">
      <c r="D12" s="1"/>
    </row>
    <row r="13" spans="1:5" x14ac:dyDescent="0.25">
      <c r="D13" s="1"/>
    </row>
    <row r="14" spans="1:5" x14ac:dyDescent="0.25">
      <c r="D14" s="1"/>
    </row>
    <row r="15" spans="1:5" x14ac:dyDescent="0.25">
      <c r="D15" s="1"/>
    </row>
    <row r="16" spans="1:5"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Pipeline</vt:lpstr>
      <vt:lpstr>Settings</vt:lpstr>
      <vt:lpstr>graphics</vt:lpstr>
      <vt:lpstr>Opportunities</vt:lpstr>
      <vt:lpstr>Customers</vt:lpstr>
      <vt:lpstr>meta</vt:lpstr>
      <vt:lpstr>calendarType</vt:lpstr>
      <vt:lpstr>custList</vt:lpstr>
      <vt:lpstr>dateRange</vt:lpstr>
      <vt:lpstr>fqStart</vt:lpstr>
      <vt:lpstr>oppList</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2025-08-09T10:13:26Z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