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DF5A2C4C-0409-4CFD-9DFF-90EC8A7714E9}" xr6:coauthVersionLast="47" xr6:coauthVersionMax="47" xr10:uidLastSave="{00000000-0000-0000-0000-000000000000}"/>
  <bookViews>
    <workbookView xWindow="19090" yWindow="-110" windowWidth="38620" windowHeight="21100" activeTab="2"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4" l="1"/>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E11" i="4"/>
  <c r="E15" i="4"/>
  <c r="E19" i="4"/>
  <c r="E23" i="4"/>
  <c r="E27" i="4"/>
  <c r="E31" i="4"/>
  <c r="E35" i="4"/>
  <c r="E39" i="4"/>
  <c r="E43" i="4"/>
  <c r="E4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15" i="4"/>
  <c r="J15" i="4" s="1"/>
  <c r="P19" i="4"/>
  <c r="J19" i="4" s="1"/>
  <c r="P23" i="4"/>
  <c r="J23" i="4" s="1"/>
  <c r="P27" i="4"/>
  <c r="J27" i="4" s="1"/>
  <c r="P31" i="4"/>
  <c r="J31" i="4" s="1"/>
  <c r="P35" i="4"/>
  <c r="J35" i="4" s="1"/>
  <c r="P39" i="4"/>
  <c r="J39" i="4" s="1"/>
  <c r="P43" i="4"/>
  <c r="J43" i="4" s="1"/>
  <c r="P47" i="4"/>
  <c r="J47"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8" i="4"/>
  <c r="S9" i="4"/>
  <c r="S10" i="4"/>
  <c r="S11" i="4"/>
  <c r="S12" i="4"/>
  <c r="S13" i="4"/>
  <c r="S14" i="4"/>
  <c r="S15" i="4"/>
  <c r="V38" i="3" s="1"/>
  <c r="S16" i="4"/>
  <c r="S17" i="4"/>
  <c r="S18" i="4"/>
  <c r="S19" i="4"/>
  <c r="S20" i="4"/>
  <c r="S21" i="4"/>
  <c r="S22" i="4"/>
  <c r="S23" i="4"/>
  <c r="S24" i="4"/>
  <c r="S25" i="4"/>
  <c r="S26" i="4"/>
  <c r="S27" i="4"/>
  <c r="S28" i="4"/>
  <c r="S29" i="4"/>
  <c r="S30" i="4"/>
  <c r="S31" i="4"/>
  <c r="V32" i="3" s="1"/>
  <c r="S32" i="4"/>
  <c r="S33" i="4"/>
  <c r="S34" i="4"/>
  <c r="S35" i="4"/>
  <c r="S36" i="4"/>
  <c r="S37" i="4"/>
  <c r="S38" i="4"/>
  <c r="S39" i="4"/>
  <c r="S40" i="4"/>
  <c r="S41" i="4"/>
  <c r="S42" i="4"/>
  <c r="S43" i="4"/>
  <c r="S44" i="4"/>
  <c r="S45" i="4"/>
  <c r="S46" i="4"/>
  <c r="S47" i="4"/>
  <c r="V34" i="3" s="1"/>
  <c r="L5" i="2"/>
  <c r="L9" i="2"/>
  <c r="L13" i="2"/>
  <c r="L17" i="2"/>
  <c r="L21" i="2"/>
  <c r="L25" i="2"/>
  <c r="L29"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5" i="2"/>
  <c r="N9" i="2"/>
  <c r="N13" i="2"/>
  <c r="N17" i="2"/>
  <c r="N21" i="2"/>
  <c r="N25" i="2"/>
  <c r="N29"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O3" i="3"/>
  <c r="F44" i="4" s="1"/>
  <c r="O7" i="3"/>
  <c r="F13" i="4" s="1"/>
  <c r="O11" i="3"/>
  <c r="F11" i="4" s="1"/>
  <c r="O15" i="3"/>
  <c r="F33" i="4" s="1"/>
  <c r="O19" i="3"/>
  <c r="F30" i="4" s="1"/>
  <c r="O23" i="3"/>
  <c r="F40" i="4" s="1"/>
  <c r="O27" i="3"/>
  <c r="F34" i="4" s="1"/>
  <c r="O31" i="3"/>
  <c r="F22" i="4" s="1"/>
  <c r="O35" i="3"/>
  <c r="F24" i="4" s="1"/>
  <c r="O39" i="3"/>
  <c r="F38" i="4" s="1"/>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3" i="3"/>
  <c r="G44" i="4" s="1"/>
  <c r="Q7" i="3"/>
  <c r="G13" i="4" s="1"/>
  <c r="Q15" i="3"/>
  <c r="G33" i="4" s="1"/>
  <c r="Q23" i="3"/>
  <c r="G40" i="4" s="1"/>
  <c r="Q27" i="3"/>
  <c r="G34" i="4" s="1"/>
  <c r="Q35" i="3"/>
  <c r="G24" i="4" s="1"/>
  <c r="Q39" i="3"/>
  <c r="G38" i="4" s="1"/>
  <c r="R2" i="3"/>
  <c r="R3" i="3"/>
  <c r="P44" i="4" s="1"/>
  <c r="J44" i="4" s="1"/>
  <c r="R4" i="3"/>
  <c r="P42" i="4" s="1"/>
  <c r="J42" i="4" s="1"/>
  <c r="R5" i="3"/>
  <c r="P9" i="4" s="1"/>
  <c r="J9" i="4" s="1"/>
  <c r="R6" i="3"/>
  <c r="P37" i="4" s="1"/>
  <c r="J37" i="4" s="1"/>
  <c r="R7" i="3"/>
  <c r="P13" i="4" s="1"/>
  <c r="J13" i="4" s="1"/>
  <c r="R8" i="3"/>
  <c r="P36" i="4" s="1"/>
  <c r="J36" i="4" s="1"/>
  <c r="R9" i="3"/>
  <c r="P12" i="4" s="1"/>
  <c r="J12" i="4" s="1"/>
  <c r="R10" i="3"/>
  <c r="R11" i="3"/>
  <c r="P11" i="4" s="1"/>
  <c r="J11" i="4" s="1"/>
  <c r="R12" i="3"/>
  <c r="P18" i="4" s="1"/>
  <c r="J18" i="4" s="1"/>
  <c r="R13" i="3"/>
  <c r="P20" i="4" s="1"/>
  <c r="J20" i="4" s="1"/>
  <c r="R14" i="3"/>
  <c r="P17" i="4" s="1"/>
  <c r="J17" i="4" s="1"/>
  <c r="R15" i="3"/>
  <c r="P33" i="4" s="1"/>
  <c r="J33" i="4" s="1"/>
  <c r="R16" i="3"/>
  <c r="P8" i="4" s="1"/>
  <c r="J8" i="4" s="1"/>
  <c r="R17" i="3"/>
  <c r="R18" i="3"/>
  <c r="P29" i="4" s="1"/>
  <c r="J29" i="4" s="1"/>
  <c r="R19" i="3"/>
  <c r="P30" i="4" s="1"/>
  <c r="J30" i="4" s="1"/>
  <c r="R20" i="3"/>
  <c r="P10" i="4" s="1"/>
  <c r="J10" i="4" s="1"/>
  <c r="R21" i="3"/>
  <c r="P25" i="4" s="1"/>
  <c r="J25" i="4" s="1"/>
  <c r="R22" i="3"/>
  <c r="P46" i="4" s="1"/>
  <c r="J46" i="4" s="1"/>
  <c r="R23" i="3"/>
  <c r="P40" i="4" s="1"/>
  <c r="J40" i="4" s="1"/>
  <c r="R24" i="3"/>
  <c r="P14" i="4" s="1"/>
  <c r="J14" i="4" s="1"/>
  <c r="R25" i="3"/>
  <c r="P28" i="4" s="1"/>
  <c r="J28" i="4" s="1"/>
  <c r="R26" i="3"/>
  <c r="P26" i="4" s="1"/>
  <c r="J26" i="4" s="1"/>
  <c r="R27" i="3"/>
  <c r="P34" i="4" s="1"/>
  <c r="J34" i="4" s="1"/>
  <c r="R28" i="3"/>
  <c r="P21" i="4" s="1"/>
  <c r="J21" i="4" s="1"/>
  <c r="R29" i="3"/>
  <c r="P41" i="4" s="1"/>
  <c r="J41" i="4" s="1"/>
  <c r="R30" i="3"/>
  <c r="P32" i="4" s="1"/>
  <c r="J32" i="4" s="1"/>
  <c r="R31" i="3"/>
  <c r="P22" i="4" s="1"/>
  <c r="J22" i="4" s="1"/>
  <c r="R32" i="3"/>
  <c r="R33" i="3"/>
  <c r="R34" i="3"/>
  <c r="R35" i="3"/>
  <c r="P24" i="4" s="1"/>
  <c r="J24" i="4" s="1"/>
  <c r="R36" i="3"/>
  <c r="R37" i="3"/>
  <c r="P45" i="4" s="1"/>
  <c r="J45" i="4" s="1"/>
  <c r="R38" i="3"/>
  <c r="R39" i="3"/>
  <c r="P38" i="4" s="1"/>
  <c r="J38" i="4" s="1"/>
  <c r="R40" i="3"/>
  <c r="P16" i="4" s="1"/>
  <c r="J16" i="4" s="1"/>
  <c r="R41" i="3"/>
  <c r="S2" i="3" a="1"/>
  <c r="S2" i="3" s="1"/>
  <c r="S3" i="3" a="1"/>
  <c r="S3" i="3" s="1"/>
  <c r="S4" i="3" a="1"/>
  <c r="S4" i="3" s="1"/>
  <c r="S5" i="3" a="1"/>
  <c r="S5" i="3"/>
  <c r="S6" i="3" a="1"/>
  <c r="S6" i="3" s="1"/>
  <c r="S7" i="3" a="1"/>
  <c r="S7" i="3" s="1"/>
  <c r="S8" i="3" a="1"/>
  <c r="S8" i="3" s="1"/>
  <c r="S9" i="3" a="1"/>
  <c r="S9" i="3"/>
  <c r="V9" i="3" s="1"/>
  <c r="S10" i="3" a="1"/>
  <c r="S10" i="3" s="1"/>
  <c r="S11" i="3" a="1"/>
  <c r="S11" i="3" s="1"/>
  <c r="S12" i="3" a="1"/>
  <c r="S12" i="3" s="1"/>
  <c r="S13" i="3" a="1"/>
  <c r="S13" i="3"/>
  <c r="S14" i="3" a="1"/>
  <c r="S14" i="3" s="1"/>
  <c r="S15" i="3" a="1"/>
  <c r="S15" i="3" s="1"/>
  <c r="S16" i="3" a="1"/>
  <c r="S16" i="3" s="1"/>
  <c r="S17" i="3" a="1"/>
  <c r="S17" i="3"/>
  <c r="S18" i="3" a="1"/>
  <c r="S18" i="3" s="1"/>
  <c r="S19" i="3" a="1"/>
  <c r="S19" i="3" s="1"/>
  <c r="W19" i="3" s="1"/>
  <c r="S20" i="3" a="1"/>
  <c r="S20" i="3" s="1"/>
  <c r="S21" i="3" a="1"/>
  <c r="S21" i="3"/>
  <c r="S22" i="3" a="1"/>
  <c r="S22" i="3" s="1"/>
  <c r="S23" i="3" a="1"/>
  <c r="S23" i="3" s="1"/>
  <c r="S24" i="3" a="1"/>
  <c r="S24" i="3" s="1"/>
  <c r="S25" i="3" a="1"/>
  <c r="S25" i="3"/>
  <c r="V25" i="3" s="1"/>
  <c r="S26" i="3" a="1"/>
  <c r="S26" i="3" s="1"/>
  <c r="S27" i="3" a="1"/>
  <c r="S27" i="3" s="1"/>
  <c r="S28" i="3" a="1"/>
  <c r="S28" i="3" s="1"/>
  <c r="S29" i="3" a="1"/>
  <c r="S29" i="3"/>
  <c r="S30" i="3" a="1"/>
  <c r="S30" i="3" s="1"/>
  <c r="S31" i="3" a="1"/>
  <c r="S31" i="3" s="1"/>
  <c r="S32" i="3" a="1"/>
  <c r="S32" i="3" s="1"/>
  <c r="S33" i="3" a="1"/>
  <c r="S33" i="3"/>
  <c r="S34" i="3" a="1"/>
  <c r="S34" i="3" s="1"/>
  <c r="S35" i="3" a="1"/>
  <c r="S35" i="3" s="1"/>
  <c r="S36" i="3" a="1"/>
  <c r="S36" i="3" s="1"/>
  <c r="S37" i="3" a="1"/>
  <c r="S37" i="3"/>
  <c r="S38" i="3" a="1"/>
  <c r="S38" i="3" s="1"/>
  <c r="S39" i="3" a="1"/>
  <c r="S39" i="3" s="1"/>
  <c r="S40" i="3" a="1"/>
  <c r="S40" i="3" s="1"/>
  <c r="S41" i="3" a="1"/>
  <c r="S41" i="3"/>
  <c r="V41" i="3" s="1"/>
  <c r="T2" i="3"/>
  <c r="T3" i="3"/>
  <c r="T4" i="3"/>
  <c r="T5" i="3"/>
  <c r="W5" i="3" s="1"/>
  <c r="T6" i="3"/>
  <c r="T7" i="3"/>
  <c r="T8" i="3"/>
  <c r="T9" i="3"/>
  <c r="T10" i="3"/>
  <c r="T11" i="3"/>
  <c r="T12" i="3"/>
  <c r="T13" i="3"/>
  <c r="W13" i="3" s="1"/>
  <c r="T14" i="3"/>
  <c r="T15" i="3"/>
  <c r="T16" i="3"/>
  <c r="T17" i="3"/>
  <c r="T18" i="3"/>
  <c r="T19" i="3"/>
  <c r="T20" i="3"/>
  <c r="T21" i="3"/>
  <c r="W21" i="3" s="1"/>
  <c r="T22" i="3"/>
  <c r="T23" i="3"/>
  <c r="T24" i="3"/>
  <c r="T25" i="3"/>
  <c r="T26" i="3"/>
  <c r="T27" i="3"/>
  <c r="T28" i="3"/>
  <c r="T29" i="3"/>
  <c r="W29" i="3" s="1"/>
  <c r="T30" i="3"/>
  <c r="T31" i="3"/>
  <c r="T32" i="3"/>
  <c r="T33" i="3"/>
  <c r="T34" i="3"/>
  <c r="T35" i="3"/>
  <c r="T36" i="3"/>
  <c r="T37" i="3"/>
  <c r="W37" i="3" s="1"/>
  <c r="T38" i="3"/>
  <c r="T39" i="3"/>
  <c r="T40" i="3"/>
  <c r="T41" i="3"/>
  <c r="W41" i="3" s="1"/>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2" i="3" a="1"/>
  <c r="Z2" i="3" s="1"/>
  <c r="AA2" i="3" s="1"/>
  <c r="Z3" i="3" a="1"/>
  <c r="Z3" i="3" s="1"/>
  <c r="Z4" i="3" a="1"/>
  <c r="Z4" i="3" s="1"/>
  <c r="Z5" i="3" a="1"/>
  <c r="Z5" i="3" s="1"/>
  <c r="Z6" i="3" a="1"/>
  <c r="Z6" i="3" s="1"/>
  <c r="AA6" i="3" s="1"/>
  <c r="Z7" i="3" a="1"/>
  <c r="Z7" i="3" s="1"/>
  <c r="Z8" i="3" a="1"/>
  <c r="Z8" i="3" s="1"/>
  <c r="Z9" i="3" a="1"/>
  <c r="Z9" i="3"/>
  <c r="Z10" i="3" a="1"/>
  <c r="Z10" i="3" s="1"/>
  <c r="AA10" i="3" s="1"/>
  <c r="Z11" i="3" a="1"/>
  <c r="Z11" i="3" s="1"/>
  <c r="Z12" i="3" a="1"/>
  <c r="Z12" i="3" s="1"/>
  <c r="Z13" i="3" a="1"/>
  <c r="Z13" i="3"/>
  <c r="Z14" i="3" a="1"/>
  <c r="Z14" i="3" s="1"/>
  <c r="AA14" i="3" s="1"/>
  <c r="Z15" i="3" a="1"/>
  <c r="Z15" i="3" s="1"/>
  <c r="Z16" i="3" a="1"/>
  <c r="Z16" i="3" s="1"/>
  <c r="Z17" i="3" a="1"/>
  <c r="Z17" i="3"/>
  <c r="Z18" i="3" a="1"/>
  <c r="Z18" i="3" s="1"/>
  <c r="AA18" i="3" s="1"/>
  <c r="Z19" i="3" a="1"/>
  <c r="Z19" i="3" s="1"/>
  <c r="AA19" i="3" s="1"/>
  <c r="Z20" i="3" a="1"/>
  <c r="Z20" i="3" s="1"/>
  <c r="Z21" i="3" a="1"/>
  <c r="Z21" i="3"/>
  <c r="Z22" i="3" a="1"/>
  <c r="Z22" i="3" s="1"/>
  <c r="AA22" i="3" s="1"/>
  <c r="Z23" i="3" a="1"/>
  <c r="Z23" i="3" s="1"/>
  <c r="Z24" i="3" a="1"/>
  <c r="Z24" i="3" s="1"/>
  <c r="Z25" i="3" a="1"/>
  <c r="Z25" i="3"/>
  <c r="Z26" i="3" a="1"/>
  <c r="Z26" i="3" s="1"/>
  <c r="AA26" i="3" s="1"/>
  <c r="Z27" i="3" a="1"/>
  <c r="Z27" i="3" s="1"/>
  <c r="Z28" i="3" a="1"/>
  <c r="Z28" i="3" s="1"/>
  <c r="Z29" i="3" a="1"/>
  <c r="Z29" i="3"/>
  <c r="Z30" i="3" a="1"/>
  <c r="Z30" i="3" s="1"/>
  <c r="AA30" i="3" s="1"/>
  <c r="Z31" i="3" a="1"/>
  <c r="Z31" i="3" s="1"/>
  <c r="Z32" i="3" a="1"/>
  <c r="Z32" i="3" s="1"/>
  <c r="Z33" i="3" a="1"/>
  <c r="Z33" i="3" s="1"/>
  <c r="Z34" i="3" a="1"/>
  <c r="Z34" i="3" s="1"/>
  <c r="AA34" i="3" s="1"/>
  <c r="Z35" i="3" a="1"/>
  <c r="Z35" i="3" s="1"/>
  <c r="AA35" i="3" s="1"/>
  <c r="Z36" i="3" a="1"/>
  <c r="Z36" i="3" s="1"/>
  <c r="AA36" i="3" s="1"/>
  <c r="Z37" i="3" a="1"/>
  <c r="Z37" i="3" s="1"/>
  <c r="Z38" i="3" a="1"/>
  <c r="Z38" i="3" s="1"/>
  <c r="Z39" i="3" a="1"/>
  <c r="Z39" i="3" s="1"/>
  <c r="Z40" i="3" a="1"/>
  <c r="Z40" i="3" s="1"/>
  <c r="AA40" i="3" s="1"/>
  <c r="Z41" i="3" a="1"/>
  <c r="Z41" i="3"/>
  <c r="AA8" i="3"/>
  <c r="AA13" i="3"/>
  <c r="AA16" i="3"/>
  <c r="AA24" i="3"/>
  <c r="AA29" i="3"/>
  <c r="S13" i="6"/>
  <c r="Q8" i="3" s="1"/>
  <c r="G36" i="4" s="1"/>
  <c r="S14" i="6"/>
  <c r="Q17" i="3" s="1"/>
  <c r="G23" i="4" s="1"/>
  <c r="S15" i="6"/>
  <c r="Q12" i="3" s="1"/>
  <c r="G18" i="4" s="1"/>
  <c r="S16" i="6"/>
  <c r="Q31" i="3" s="1"/>
  <c r="G22" i="4" s="1"/>
  <c r="S17" i="6"/>
  <c r="Q4" i="3" s="1"/>
  <c r="G42" i="4" s="1"/>
  <c r="S18" i="6"/>
  <c r="Q24" i="3" s="1"/>
  <c r="G14" i="4" s="1"/>
  <c r="A6" i="6"/>
  <c r="A5" i="6"/>
  <c r="A4" i="6"/>
  <c r="A3" i="6"/>
  <c r="A2" i="6"/>
  <c r="V2" i="3"/>
  <c r="V5" i="3"/>
  <c r="V6" i="3"/>
  <c r="V8" i="3"/>
  <c r="V10" i="3"/>
  <c r="V14" i="3"/>
  <c r="V18" i="3"/>
  <c r="V24" i="3"/>
  <c r="V26" i="3"/>
  <c r="V30" i="3"/>
  <c r="V40" i="3"/>
  <c r="K9" i="6" a="1"/>
  <c r="K9" i="6" s="1"/>
  <c r="K8" i="6" a="1"/>
  <c r="K8" i="6" s="1"/>
  <c r="K3" i="6" a="1"/>
  <c r="K3" i="6" s="1"/>
  <c r="K6" i="6" a="1"/>
  <c r="K6" i="6" s="1"/>
  <c r="K5" i="6" a="1"/>
  <c r="K5" i="6" s="1"/>
  <c r="K4" i="6" a="1"/>
  <c r="K4" i="6" s="1"/>
  <c r="H3" i="6"/>
  <c r="L2" i="2" s="1"/>
  <c r="N2" i="2" s="1"/>
  <c r="H4" i="6"/>
  <c r="E8" i="4" s="1"/>
  <c r="Q19" i="3" l="1"/>
  <c r="G30" i="4" s="1"/>
  <c r="Q11" i="3"/>
  <c r="G11" i="4" s="1"/>
  <c r="Q38" i="3"/>
  <c r="G15" i="4" s="1"/>
  <c r="Q34" i="3"/>
  <c r="G47" i="4" s="1"/>
  <c r="Q30" i="3"/>
  <c r="G32" i="4" s="1"/>
  <c r="Q26" i="3"/>
  <c r="G26" i="4" s="1"/>
  <c r="Q22" i="3"/>
  <c r="G46" i="4" s="1"/>
  <c r="Q18" i="3"/>
  <c r="G29" i="4" s="1"/>
  <c r="Q14" i="3"/>
  <c r="G17" i="4" s="1"/>
  <c r="Q10" i="3"/>
  <c r="G19" i="4" s="1"/>
  <c r="Q6" i="3"/>
  <c r="G37" i="4" s="1"/>
  <c r="Q2" i="3"/>
  <c r="G27" i="4" s="1"/>
  <c r="O38" i="3"/>
  <c r="F15" i="4" s="1"/>
  <c r="O34" i="3"/>
  <c r="F47" i="4" s="1"/>
  <c r="O30" i="3"/>
  <c r="F32" i="4" s="1"/>
  <c r="O26" i="3"/>
  <c r="F26" i="4" s="1"/>
  <c r="O22" i="3"/>
  <c r="F46" i="4" s="1"/>
  <c r="O18" i="3"/>
  <c r="F29" i="4" s="1"/>
  <c r="O14" i="3"/>
  <c r="F17" i="4" s="1"/>
  <c r="O10" i="3"/>
  <c r="F19" i="4" s="1"/>
  <c r="O6" i="3"/>
  <c r="F37" i="4" s="1"/>
  <c r="O2" i="3"/>
  <c r="F27" i="4" s="1"/>
  <c r="L28" i="2"/>
  <c r="N28" i="2" s="1"/>
  <c r="L24" i="2"/>
  <c r="N24" i="2" s="1"/>
  <c r="L20" i="2"/>
  <c r="N20" i="2" s="1"/>
  <c r="L16" i="2"/>
  <c r="N16" i="2" s="1"/>
  <c r="L12" i="2"/>
  <c r="N12" i="2" s="1"/>
  <c r="L8" i="2"/>
  <c r="N8" i="2" s="1"/>
  <c r="L4" i="2"/>
  <c r="N4" i="2" s="1"/>
  <c r="E46" i="4"/>
  <c r="E42" i="4"/>
  <c r="E38" i="4"/>
  <c r="E34" i="4"/>
  <c r="E30" i="4"/>
  <c r="E26" i="4"/>
  <c r="E22" i="4"/>
  <c r="E18" i="4"/>
  <c r="E14" i="4"/>
  <c r="E10" i="4"/>
  <c r="Q41" i="3"/>
  <c r="G43" i="4" s="1"/>
  <c r="Q37" i="3"/>
  <c r="G45" i="4" s="1"/>
  <c r="Q33" i="3"/>
  <c r="G35" i="4" s="1"/>
  <c r="Q29" i="3"/>
  <c r="G41" i="4" s="1"/>
  <c r="Q25" i="3"/>
  <c r="G28" i="4" s="1"/>
  <c r="Q21" i="3"/>
  <c r="G25" i="4" s="1"/>
  <c r="Q13" i="3"/>
  <c r="G20" i="4" s="1"/>
  <c r="Q9" i="3"/>
  <c r="G12" i="4" s="1"/>
  <c r="Q5" i="3"/>
  <c r="G9" i="4" s="1"/>
  <c r="O41" i="3"/>
  <c r="F43" i="4" s="1"/>
  <c r="O37" i="3"/>
  <c r="F45" i="4" s="1"/>
  <c r="O33" i="3"/>
  <c r="F35" i="4" s="1"/>
  <c r="O29" i="3"/>
  <c r="F41" i="4" s="1"/>
  <c r="O25" i="3"/>
  <c r="F28" i="4" s="1"/>
  <c r="O21" i="3"/>
  <c r="F25" i="4" s="1"/>
  <c r="O17" i="3"/>
  <c r="F23" i="4" s="1"/>
  <c r="O13" i="3"/>
  <c r="F20" i="4" s="1"/>
  <c r="O9" i="3"/>
  <c r="F12" i="4" s="1"/>
  <c r="O5" i="3"/>
  <c r="F9" i="4" s="1"/>
  <c r="L31" i="2"/>
  <c r="N31" i="2" s="1"/>
  <c r="L27" i="2"/>
  <c r="N27" i="2" s="1"/>
  <c r="L23" i="2"/>
  <c r="N23" i="2" s="1"/>
  <c r="L19" i="2"/>
  <c r="N19" i="2" s="1"/>
  <c r="L15" i="2"/>
  <c r="N15" i="2" s="1"/>
  <c r="L11" i="2"/>
  <c r="N11" i="2" s="1"/>
  <c r="L7" i="2"/>
  <c r="N7" i="2" s="1"/>
  <c r="L3" i="2"/>
  <c r="N3" i="2" s="1"/>
  <c r="E45" i="4"/>
  <c r="E41" i="4"/>
  <c r="E37" i="4"/>
  <c r="E33" i="4"/>
  <c r="E29" i="4"/>
  <c r="E25" i="4"/>
  <c r="E21" i="4"/>
  <c r="E17" i="4"/>
  <c r="E13" i="4"/>
  <c r="E9" i="4"/>
  <c r="Q40" i="3"/>
  <c r="G16" i="4" s="1"/>
  <c r="Q36" i="3"/>
  <c r="G39" i="4" s="1"/>
  <c r="Q32" i="3"/>
  <c r="G31" i="4" s="1"/>
  <c r="Q28" i="3"/>
  <c r="G21" i="4" s="1"/>
  <c r="Q20" i="3"/>
  <c r="G10" i="4" s="1"/>
  <c r="Q16" i="3"/>
  <c r="G8" i="4" s="1"/>
  <c r="O40" i="3"/>
  <c r="F16" i="4" s="1"/>
  <c r="O36" i="3"/>
  <c r="F39" i="4" s="1"/>
  <c r="O32" i="3"/>
  <c r="F31" i="4" s="1"/>
  <c r="O28" i="3"/>
  <c r="F21" i="4" s="1"/>
  <c r="O24" i="3"/>
  <c r="F14" i="4" s="1"/>
  <c r="O20" i="3"/>
  <c r="F10" i="4" s="1"/>
  <c r="O16" i="3"/>
  <c r="F8" i="4" s="1"/>
  <c r="O12" i="3"/>
  <c r="F18" i="4" s="1"/>
  <c r="O8" i="3"/>
  <c r="F36" i="4" s="1"/>
  <c r="O4" i="3"/>
  <c r="F42" i="4" s="1"/>
  <c r="L30" i="2"/>
  <c r="N30" i="2" s="1"/>
  <c r="L26" i="2"/>
  <c r="N26" i="2" s="1"/>
  <c r="L22" i="2"/>
  <c r="N22" i="2" s="1"/>
  <c r="L18" i="2"/>
  <c r="N18" i="2" s="1"/>
  <c r="L14" i="2"/>
  <c r="N14" i="2" s="1"/>
  <c r="L10" i="2"/>
  <c r="N10" i="2" s="1"/>
  <c r="L6" i="2"/>
  <c r="N6" i="2" s="1"/>
  <c r="E44" i="4"/>
  <c r="E40" i="4"/>
  <c r="E36" i="4"/>
  <c r="E32" i="4"/>
  <c r="E28" i="4"/>
  <c r="E24" i="4"/>
  <c r="E20" i="4"/>
  <c r="E16" i="4"/>
  <c r="E12" i="4"/>
  <c r="V33" i="3"/>
  <c r="W28" i="3"/>
  <c r="W12" i="3"/>
  <c r="W36" i="3"/>
  <c r="W23" i="3"/>
  <c r="W20" i="3"/>
  <c r="W4" i="3"/>
  <c r="AA5" i="3"/>
  <c r="W39" i="3"/>
  <c r="V39" i="3"/>
  <c r="W35" i="3"/>
  <c r="V35" i="3"/>
  <c r="AA27" i="3"/>
  <c r="AA33" i="3"/>
  <c r="AA23" i="3"/>
  <c r="W31" i="3"/>
  <c r="V31" i="3"/>
  <c r="W15" i="3"/>
  <c r="V15" i="3"/>
  <c r="W17" i="3"/>
  <c r="V28" i="3"/>
  <c r="V20" i="3"/>
  <c r="AA32" i="3"/>
  <c r="AA21" i="3"/>
  <c r="AA9" i="3"/>
  <c r="W25" i="3"/>
  <c r="W38" i="3"/>
  <c r="W30" i="3"/>
  <c r="W14" i="3"/>
  <c r="W6" i="3"/>
  <c r="V12" i="3"/>
  <c r="AA17" i="3"/>
  <c r="W9" i="3"/>
  <c r="W40" i="3"/>
  <c r="W32" i="3"/>
  <c r="W24" i="3"/>
  <c r="W8" i="3"/>
  <c r="W33" i="3"/>
  <c r="V36" i="3"/>
  <c r="V17" i="3"/>
  <c r="AA41" i="3"/>
  <c r="AA25" i="3"/>
  <c r="W34" i="3"/>
  <c r="W26" i="3"/>
  <c r="W18" i="3"/>
  <c r="W10" i="3"/>
  <c r="W2" i="3"/>
  <c r="AA31" i="3"/>
  <c r="AA37" i="3"/>
  <c r="AA39" i="3"/>
  <c r="AA38" i="3"/>
  <c r="AA11" i="3"/>
  <c r="AA3" i="3"/>
  <c r="W27" i="3"/>
  <c r="V27" i="3"/>
  <c r="W22" i="3"/>
  <c r="V22" i="3"/>
  <c r="W11" i="3"/>
  <c r="V11" i="3"/>
  <c r="W3" i="3"/>
  <c r="V3" i="3"/>
  <c r="V4" i="3"/>
  <c r="V16" i="3"/>
  <c r="W16" i="3"/>
  <c r="AA28" i="3"/>
  <c r="AA20" i="3"/>
  <c r="AA12" i="3"/>
  <c r="AA4" i="3"/>
  <c r="E2" i="5" s="1"/>
  <c r="AA15" i="3"/>
  <c r="AA7" i="3"/>
  <c r="W7" i="3"/>
  <c r="V7" i="3"/>
  <c r="V29" i="3"/>
  <c r="V13" i="3"/>
  <c r="V37" i="3"/>
  <c r="V21" i="3"/>
  <c r="F3" i="6"/>
  <c r="V23" i="3"/>
  <c r="V19" i="3"/>
  <c r="F1" i="9" a="1"/>
  <c r="A16" i="5"/>
  <c r="A13" i="5"/>
  <c r="A14" i="5"/>
  <c r="A11" i="5"/>
  <c r="A15" i="5"/>
  <c r="A12" i="5"/>
  <c r="F4" i="6"/>
  <c r="L4" i="4"/>
  <c r="L3" i="4"/>
  <c r="Q2" i="5" l="1"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3" i="5"/>
  <c r="R4" i="5"/>
  <c r="AH3" i="5"/>
  <c r="AH2" i="5"/>
  <c r="AH4" i="5"/>
  <c r="I3" i="5" l="1"/>
  <c r="I4" i="5"/>
  <c r="C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<sst xmlns="http://schemas.openxmlformats.org/spreadsheetml/2006/main" count="697" uniqueCount="445">
  <si>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</si>
  <si>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</si>
  <si>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</si>
  <si>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</si>
  <si>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</si>
  <si>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</si>
  <si>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</si>
  <si>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</si>
  <si>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</si>
  <si>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</si>
  <si>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</si>
  <si>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</si>
  <si>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</si>
  <si>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</si>
  <si>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</si>
  <si>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</si>
  <si>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</si>
  <si>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</si>
  <si>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</si>
  <si>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</si>
  <si>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</si>
  <si>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</si>
  <si>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</si>
  <si>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</si>
  <si>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</si>
  <si>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</si>
  <si>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</si>
  <si>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</si>
  <si>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</si>
  <si>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</si>
  <si>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</si>
  <si>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</si>
  <si>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</si>
  <si>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</si>
  <si>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</si>
  <si>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</si>
  <si>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</si>
  <si>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</si>
  <si>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</si>
  <si>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</si>
  <si>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</si>
  <si>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</si>
  <si>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</si>
  <si>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</si>
  <si>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</si>
  <si>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</si>
  <si>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</si>
  <si>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</si>
  <si>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</si>
  <si>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</si>
  <si>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</si>
  <si>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</si>
  <si>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</si>
  <si>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</si>
  <si>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</si>
  <si>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</si>
  <si>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</si>
  <si>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</si>
  <si>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</si>
  <si>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</si>
  <si>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</si>
  <si>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</si>
  <si>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</si>
  <si>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</si>
  <si>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</si>
  <si>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</si>
  <si>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</si>
  <si>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</si>
  <si>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</si>
  <si>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</si>
  <si>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</si>
  <si>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</si>
  <si>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</si>
  <si>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</si>
  <si>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</si>
  <si>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</si>
  <si>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</si>
  <si>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</si>
  <si>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</si>
  <si>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</si>
  <si>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</si>
  <si>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</si>
  <si>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</si>
  <si>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</si>
  <si>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</si>
  <si>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</si>
  <si>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</si>
  <si>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</si>
  <si>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</si>
  <si>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</si>
  <si>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</si>
  <si>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</si>
  <si>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</si>
  <si>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</si>
  <si>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</si>
  <si>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</si>
  <si>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</si>
  <si>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</si>
  <si>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</si>
  <si>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</si>
  <si>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</si>
  <si>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</si>
  <si>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</si>
  <si>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</si>
  <si>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</si>
  <si>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</si>
  <si>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</si>
  <si>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</si>
  <si>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</si>
  <si>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</si>
  <si>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</si>
  <si>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</si>
  <si>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</si>
  <si>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</si>
  <si>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</si>
  <si>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</si>
  <si>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</si>
  <si>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</si>
  <si>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</si>
  <si>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</si>
  <si>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</si>
  <si>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</si>
  <si>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</si>
  <si>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</si>
  <si>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</si>
  <si>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</si>
  <si>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</si>
  <si>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</si>
  <si>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</si>
  <si>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</si>
  <si>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</si>
  <si>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</si>
  <si>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</si>
  <si>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</si>
  <si>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</si>
  <si>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</si>
  <si>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</si>
  <si>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</si>
  <si>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</si>
  <si>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</si>
  <si>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</si>
  <si>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</si>
  <si>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</si>
  <si>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</si>
  <si>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</si>
  <si>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</si>
  <si>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</si>
  <si>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</si>
  <si>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</si>
  <si>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</si>
  <si>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</si>
  <si>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</si>
  <si>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</si>
  <si>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</si>
  <si>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</si>
  <si>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</si>
  <si>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</si>
  <si>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</si>
  <si>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</si>
  <si>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</si>
  <si>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</si>
  <si>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</si>
  <si>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</si>
  <si>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</si>
  <si>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</si>
  <si>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</si>
  <si>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</si>
  <si>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</si>
  <si>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</si>
  <si>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</si>
  <si>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</si>
  <si>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</si>
  <si>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</si>
  <si>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</si>
  <si>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</si>
  <si>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</si>
  <si>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</si>
  <si>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</si>
  <si>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</si>
  <si>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</si>
  <si>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</si>
  <si>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</si>
  <si>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</si>
  <si>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</si>
  <si>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</si>
  <si>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</si>
  <si>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</si>
  <si>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</si>
  <si>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</si>
  <si>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</si>
  <si>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</si>
  <si>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</si>
  <si>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</si>
  <si>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</si>
  <si>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</si>
  <si>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</si>
  <si>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</si>
  <si>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</si>
  <si>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</si>
  <si>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</si>
  <si>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</si>
  <si>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</si>
  <si>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</si>
  <si>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</si>
  <si>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</si>
  <si>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</si>
  <si>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</si>
  <si>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</si>
  <si>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</si>
  <si>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</si>
  <si>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</si>
  <si>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</si>
  <si>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</si>
  <si>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</si>
  <si>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</si>
  <si>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</si>
  <si>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</si>
  <si>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</si>
  <si>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</si>
  <si>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</si>
  <si>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</si>
  <si>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</si>
  <si>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</si>
  <si>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</si>
  <si>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</si>
  <si>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</si>
  <si>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</si>
  <si>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</si>
  <si>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</si>
  <si>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</si>
  <si>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</si>
  <si>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</si>
  <si>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</si>
  <si>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</si>
  <si>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</si>
  <si>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</si>
  <si>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</si>
  <si>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</si>
  <si>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</si>
  <si>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</si>
  <si>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</si>
  <si>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</si>
  <si>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</si>
  <si>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</si>
  <si>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</si>
  <si>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</si>
  <si>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</si>
  <si>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</si>
  <si>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</si>
  <si>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</si>
  <si>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</si>
  <si>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</si>
  <si>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</si>
  <si>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</si>
  <si>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</si>
  <si>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</si>
  <si>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</si>
  <si>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</si>
  <si>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</si>
  <si>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</si>
  <si>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</si>
  <si>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</si>
  <si>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</si>
  <si>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</si>
  <si>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</si>
  <si>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</si>
  <si>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</si>
  <si>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</si>
  <si>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</si>
  <si>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</si>
  <si>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</si>
  <si>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</si>
  <si>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</si>
  <si>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</si>
  <si>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</si>
  <si>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</si>
  <si>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</si>
  <si>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</si>
  <si>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</si>
  <si>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</si>
  <si>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</si>
  <si>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</si>
  <si>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</si>
  <si>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</si>
  <si>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</si>
  <si>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</si>
  <si>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</si>
  <si>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</si>
  <si>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</si>
  <si>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</si>
  <si>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</si>
  <si>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</si>
  <si>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</si>
  <si>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</si>
  <si>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</si>
  <si>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</si>
  <si>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</si>
  <si>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</si>
  <si>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</si>
  <si>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</si>
  <si>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</si>
  <si>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</si>
  <si>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</si>
  <si>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</si>
  <si>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</si>
  <si>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</si>
  <si>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</si>
  <si>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</si>
  <si>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</si>
  <si>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</si>
  <si>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</si>
  <si>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</si>
  <si>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</si>
  <si>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</si>
  <si>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</si>
  <si>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</si>
  <si>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</si>
  <si>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</si>
  <si>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</si>
  <si>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</si>
  <si>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</si>
  <si>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</si>
  <si>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</si>
  <si>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</si>
  <si>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</si>
  <si>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</si>
  <si>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</si>
  <si>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</si>
  <si>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</si>
  <si>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</si>
  <si>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</si>
  <si>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</si>
  <si>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</si>
  <si>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</si>
  <si>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</si>
  <si>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</si>
  <si>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</si>
  <si>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</si>
  <si>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</si>
  <si>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</si>
  <si>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</si>
  <si>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</si>
  <si>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</si>
  <si>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</si>
  <si>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</si>
  <si>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</si>
  <si>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</si>
  <si>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</si>
  <si>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</si>
  <si>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</si>
  <si>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</si>
  <si>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</si>
  <si>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</si>
  <si>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</si>
  <si>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</si>
  <si>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</si>
  <si>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</si>
  <si>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</si>
  <si>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</si>
  <si>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</si>
  <si>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</si>
  <si>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</si>
  <si>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</si>
  <si>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</si>
  <si>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</si>
  <si>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</si>
  <si>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</si>
  <si>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</si>
  <si>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</si>
  <si>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</si>
  <si>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</si>
  <si>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</si>
  <si>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</si>
  <si>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</si>
  <si>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</si>
  <si>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</si>
  <si>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</si>
  <si>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</si>
  <si>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</si>
  <si>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</si>
  <si>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</si>
  <si>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</si>
  <si>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</si>
  <si>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</si>
  <si>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</si>
  <si>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</si>
  <si>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</si>
  <si>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</si>
  <si>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</si>
  <si>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</si>
  <si>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</si>
  <si>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</si>
  <si>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</si>
  <si>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</si>
  <si>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</si>
  <si>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</si>
  <si>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</si>
  <si>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</si>
  <si>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crm</t>
  </si>
  <si>
    <t xml:space="preserve">A Comment
</t>
  </si>
  <si>
    <t>Amanda Sales</t>
  </si>
  <si>
    <t>2025-08-11T12:28:45Z</t>
  </si>
  <si>
    <t>2025-08-11T12:28:47Z</t>
  </si>
  <si>
    <t>2025-08-11T12:28:48Z</t>
  </si>
  <si>
    <t>2025-08-11T12:28:50Z</t>
  </si>
  <si>
    <t>2025-08-11T12:28:51Z</t>
  </si>
  <si>
    <t>2025-08-11T12:28:53Z</t>
  </si>
  <si>
    <t>2025-08-11T12:28:55Z</t>
  </si>
  <si>
    <t>2025-08-11T12:28:56Z</t>
  </si>
  <si>
    <t>2025-08-11T12:28:58Z</t>
  </si>
  <si>
    <t>2025-08-11T12:29:00Z</t>
  </si>
  <si>
    <t>2025-08-11T12:29:01Z</t>
  </si>
  <si>
    <t>2025-08-11T12:29:03Z</t>
  </si>
  <si>
    <t>2025-08-11T12:29:05Z</t>
  </si>
  <si>
    <t>2025-08-11T12:29:06Z</t>
  </si>
  <si>
    <t>2025-08-11T12:29:08Z</t>
  </si>
  <si>
    <t>2025-08-11T12:29:10Z</t>
  </si>
  <si>
    <t>2025-08-11T12:29:11Z</t>
  </si>
  <si>
    <t>2025-08-11T12:29:13Z</t>
  </si>
  <si>
    <t>2025-08-11T12:29:15Z</t>
  </si>
  <si>
    <t>2025-08-11T12:29:16Z</t>
  </si>
  <si>
    <t>2025-08-11T12:29:18Z</t>
  </si>
  <si>
    <t>2025-08-11T12:29:20Z</t>
  </si>
  <si>
    <t>2025-08-11T12:29:22Z</t>
  </si>
  <si>
    <t>2025-08-11T12:29:23Z</t>
  </si>
  <si>
    <t>2025-08-11T12:29:25Z</t>
  </si>
  <si>
    <t>2025-08-11T12:29:26Z</t>
  </si>
  <si>
    <t>2025-08-11T12:29:28Z</t>
  </si>
  <si>
    <t>2025-08-11T12:29:30Z</t>
  </si>
  <si>
    <t>2025-08-11T12:29:31Z</t>
  </si>
  <si>
    <t>2025-08-11T12:29:33Z</t>
  </si>
  <si>
    <t>Documentation</t>
  </si>
  <si>
    <t>Day 1</t>
  </si>
  <si>
    <t>Day 2</t>
  </si>
  <si>
    <t>Scripts</t>
  </si>
  <si>
    <t>PnP w/interactive auth)</t>
  </si>
  <si>
    <t>WinProbDisplay</t>
  </si>
  <si>
    <t>Symbol</t>
  </si>
  <si>
    <t>➀</t>
  </si>
  <si>
    <t>➁</t>
  </si>
  <si>
    <t>➂</t>
  </si>
  <si>
    <t>➃</t>
  </si>
  <si>
    <t>➄</t>
  </si>
  <si>
    <t>➅</t>
  </si>
  <si>
    <t xml:space="preserve"> (Escalated PowerShell 7 &amp;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</si>
</sst>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6">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xf numFmtId="0"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54">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115501</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92"/>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60"/>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2" unboundColumnsRight="15">
    <queryTableFields count="27">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21">
      <calculatedColumnFormula>_xlfn.XLOOKUP(View[[#This Row],[ID]],Opportunities[ID],Opportunities[status symbol])</calculatedColumnFormula>
    </tableColumn>
    <tableColumn id="4" xr3:uid="{D0C93997-AE18-4F2C-9498-E378F0368CD3}" uniqueName="4" name=" 🔗Opportunity" queryTableFieldId="4" dataDxfId="20"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9"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18" dataCellStyle="Normal">
      <calculatedColumnFormula>_xlfn.XLOOKUP(View[[#This Row],[ID]],Opportunities[ID],Opportunities[DisplayStage])</calculatedColumnFormula>
    </tableColumn>
    <tableColumn id="7" xr3:uid="{36D3885A-765B-43F4-B223-18E0110E7BAC}" uniqueName="7" name="Opp Value" queryTableFieldId="7" dataDxfId="17"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6" dataCellStyle="Percent">
      <calculatedColumnFormula>_xlfn.XLOOKUP(View[[#This Row],[ID]],Opportunities[ID],Opportunities[WinProbDisplay])</calculatedColumnFormula>
    </tableColumn>
    <tableColumn id="2" xr3:uid="{CEE680CE-7B28-4425-8EF9-E8A1C22CD40F}" uniqueName="2" name="Expected Rev" queryTableFieldId="31" dataDxfId="15" dataCellStyle="Percent">
      <calculatedColumnFormula>View[[#This Row],[Estmated Revenue]]</calculatedColumnFormula>
    </tableColumn>
    <tableColumn id="10" xr3:uid="{B7055589-582D-4A7C-ACCD-633272C194D8}" uniqueName="10" name="Close" queryTableFieldId="10" dataDxfId="14" dataCellStyle="Percent">
      <calculatedColumnFormula>_xlfn.XLOOKUP(View[[#This Row],[ID]],Opportunities[ID],Opportunities[Close])</calculatedColumnFormula>
    </tableColumn>
    <tableColumn id="20" xr3:uid="{59C0ACCC-1D82-45A6-AFAA-3712BAC86C84}" uniqueName="20" name="Last Comment" queryTableFieldId="30" dataDxfId="13"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12" dataCellStyle="Percent">
      <calculatedColumnFormula>_xlfn.XLOOKUP(View[[#This Row],[ID]],Opportunities[ID],Opportunities[NextMilestoneDate])-TODAY()</calculatedColumnFormula>
    </tableColumn>
    <tableColumn id="9" xr3:uid="{52FF3CBA-17BB-47F5-85A3-2DEE8B12587C}" uniqueName="9" name="Close Quarter" queryTableFieldId="9" dataDxfId="11">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10" dataCellStyle="Comma">
      <calculatedColumnFormula>_xlfn.XLOOKUP(View[[#This Row],[ID]],Opportunities[ID],Opportunities[Weighted])/1000</calculatedColumnFormula>
    </tableColumn>
    <tableColumn id="15" xr3:uid="{FBDC7969-7E8D-49D4-8066-6E0E6F1203F0}" uniqueName="15" name="Unweighted" queryTableFieldId="25" dataDxfId="9">
      <calculatedColumnFormula>_xlfn.XLOOKUP(View[[#This Row],[ID]],Opportunities[ID],Opportunities[Amount])/1000</calculatedColumnFormula>
    </tableColumn>
    <tableColumn id="16" xr3:uid="{EF89BB7F-252B-45F9-8123-82BF9FB66AF0}" uniqueName="16" name="High Probability" queryTableFieldId="26" dataDxfId="53">
      <calculatedColumnFormula>View[[#This Row],[Win Probability]]="High"</calculatedColumnFormula>
    </tableColumn>
    <tableColumn id="17" xr3:uid="{4BD52F12-45D4-4BCC-83AA-14BDE7142C90}" uniqueName="17" name="Visible" queryTableFieldId="27" dataDxfId="52">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51" dataDxfId="50">
  <autoFilter ref="P12:S18" xr:uid="{798014A7-9B70-4B09-AE44-5A5C555476EA}"/>
  <tableColumns count="4">
    <tableColumn id="2" xr3:uid="{AE651EA8-D54C-41D9-9B8B-F22570081D8A}" name="Index" dataDxfId="49"/>
    <tableColumn id="4" xr3:uid="{C19B61BA-D78B-49C2-A0CB-958A7968F4C6}" name="Symbol" dataDxfId="48"/>
    <tableColumn id="1" xr3:uid="{4A0C0D5E-C576-4851-BAD7-E1720F55F59A}" name="Stage Name" dataDxfId="47"/>
    <tableColumn id="3" xr3:uid="{38808F5D-2627-4FC4-9878-8AC61142049B}" name="Display" dataDxfId="46">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45" dataDxfId="44">
  <autoFilter ref="C3:D6" xr:uid="{7A50DF75-ED41-40F4-8782-A0EFFD2E6988}"/>
  <tableColumns count="2">
    <tableColumn id="1" xr3:uid="{3B8690D0-B449-4F2C-BFA1-0D9AAF577107}" name="Win Probability" dataDxfId="43"/>
    <tableColumn id="2" xr3:uid="{E4A73AC8-36BB-4D8D-934C-54FE86976EC9}" name="Value" dataDxfId="42"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A41" tableType="queryTable" totalsRowShown="0">
  <autoFilter ref="A1:AA41" xr:uid="{8BF0481C-9C4B-466A-BDA0-DD8E3D98821B}"/>
  <tableColumns count="27">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4"/>
    <tableColumn id="11" xr3:uid="{0D6E2E89-0B8C-4024-A956-046F884205B4}" uniqueName="11" name="NextMilestoneDate" queryTableFieldId="91" dataDxfId="23"/>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41">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40">
      <calculatedColumnFormula>"CY"&amp;RIGHT(YEAR(Opportunities[[#This Row],[Close]]),2)&amp;"-Q"&amp;ROUNDUP(MONTH(Opportunities[[#This Row],[Close]])/3, 0)</calculatedColumnFormula>
    </tableColumn>
    <tableColumn id="31" xr3:uid="{AFAB2CEE-41EC-476B-8EF4-F01AEE459A32}" uniqueName="31" name="url" queryTableFieldId="40" dataDxfId="39">
      <calculatedColumnFormula>siteUrl&amp;"/Lists/"&amp;oppList&amp;"/DispForm.aspx?ID="&amp;Opportunities[[#This Row],[ID]]</calculatedColumnFormula>
    </tableColumn>
    <tableColumn id="40" xr3:uid="{8BD6C9BB-E6FD-4E8E-A509-12D471DAA77F}" uniqueName="40" name="StageNumber" queryTableFieldId="54" dataDxfId="38">
      <calculatedColumnFormula>_xlfn.XLOOKUP(Opportunities[[#This Row],[Stage]],stage[Stage Name],stage[Index],"")</calculatedColumnFormula>
    </tableColumn>
    <tableColumn id="41" xr3:uid="{EDB4C612-1CC1-4B3C-B38D-DFE04A906351}" uniqueName="41" name="DisplayStage" queryTableFieldId="55" dataDxfId="37">
      <calculatedColumnFormula>_xlfn.XLOOKUP(Opportunities[[#This Row],[StageNumber]],stage[Index],stage[Display])</calculatedColumnFormula>
    </tableColumn>
    <tableColumn id="52" xr3:uid="{29FD805D-0C67-486B-AABC-E086612B3426}" uniqueName="52" name="Weighted" queryTableFieldId="70" dataDxfId="36">
      <calculatedColumnFormula>Opportunities[[#This Row],[Amount]]*_xlfn.XLOOKUP(Opportunities[[#This Row],[Probability]],prob[Win Probability],prob[Value])</calculatedColumnFormula>
    </tableColumn>
    <tableColumn id="56" xr3:uid="{9E365C66-70DC-4C5C-893A-3785B1B9D44C}" uniqueName="56" name="status symbol" queryTableFieldId="76" dataDxfId="35">
      <calculatedColumnFormula array="1">_xlfn.SWITCH(Opportunities[[#This Row],[Status]],"At Risk","⚠","Active","✓","⮾")</calculatedColumnFormula>
    </tableColumn>
    <tableColumn id="15" xr3:uid="{952135CC-0409-4FA2-BB0A-34668B61689B}" uniqueName="15" name="Customer Name" queryTableFieldId="104" dataDxfId="34">
      <calculatedColumnFormula>_xlfn.XLOOKUP(Opportunities[[#This Row],[CustomerId]],Customers[Id],Customers[Customer Name])</calculatedColumnFormula>
    </tableColumn>
    <tableColumn id="16" xr3:uid="{812C7365-FD2B-4EFB-8119-BF4F00253961}" uniqueName="16" name="CustomerRecordURL" queryTableFieldId="105" dataDxfId="33">
      <calculatedColumnFormula>_xlfn.XLOOKUP(Opportunities[[#This Row],[CustomerId]],Customers[Id],Customers[Url])</calculatedColumnFormula>
    </tableColumn>
    <tableColumn id="17" xr3:uid="{39447595-3500-4B90-9B69-594F9ED985D4}" uniqueName="17" name="Visible" queryTableFieldId="106" dataDxfId="32">
      <calculatedColumnFormula>_xlfn.XLOOKUP(Opportunities[[#This Row],[ID]],View[ID],View[Visible])</calculatedColumnFormula>
    </tableColumn>
    <tableColumn id="3" xr3:uid="{11F9B80B-B6B4-4FB8-ACD8-AAAC59768B2A}" uniqueName="3" name="Display" queryTableFieldId="116" dataDxfId="31">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30">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9"/>
    <tableColumn id="6" xr3:uid="{181A8E3E-DBF5-4AEA-99B6-D8CAED362658}" uniqueName="6" name="WinProbDisplay" queryTableFieldId="119" dataDxfId="28">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22">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7">
      <calculatedColumnFormula>siteUrl&amp;"/Lists/"&amp;custList&amp;"/DispForm.aspx?ID="&amp;Customers[[#This Row],[Id]]</calculatedColumnFormula>
    </tableColumn>
    <tableColumn id="23" xr3:uid="{F1BC9043-195B-408B-8596-3FE166B5CF78}" uniqueName="23" name="Customer Name2" queryTableFieldId="60" dataDxfId="26">
      <calculatedColumnFormula>_xlfn.XLOOKUP(Customers[[#This Row],[Id]],Customers[Id],#REF!)</calculatedColumnFormula>
    </tableColumn>
    <tableColumn id="24" xr3:uid="{388F5F30-FCA2-45B0-938D-A8DFAA1EFCA9}" uniqueName="24" name="CustomerRecordUrl" queryTableFieldId="61" dataDxfId="25">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zoomScale="115" zoomScaleNormal="115" workbookViewId="0">
      <selection activeCell="V32" sqref="V32"/>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2.140625" bestFit="1" customWidth="1"/>
    <col min="8" max="8" width="12.42578125" bestFit="1" customWidth="1"/>
    <col min="9" max="9" width="17.140625" bestFit="1" customWidth="1"/>
    <col min="10" max="10" width="15.7109375" customWidth="1"/>
    <col min="11" max="11" width="12"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Training &amp; Development Program</v>
      </c>
      <c r="F8" s="50" t="str">
        <f>HYPERLINK(_xlfn.XLOOKUP(View[[#This Row],[ID]],Opportunities[ID],Opportunities[url]),_xlfn.XLOOKUP(View[[#This Row],[ID]],Opportunities[ID],Opportunities[Customer Name]))</f>
        <v>Tech Solutions Inc</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1088.461</v>
      </c>
      <c r="I8" s="28" t="str">
        <f>_xlfn.XLOOKUP(View[[#This Row],[ID]],Opportunities[ID],Opportunities[WinProbDisplay])</f>
        <v>↖ High</v>
      </c>
      <c r="J8" s="29">
        <f>View[[#This Row],[Estmated Revenue]]</f>
        <v>979.61490000000003</v>
      </c>
      <c r="K8" s="2">
        <f>_xlfn.XLOOKUP(View[[#This Row],[ID]],Opportunities[ID],Opportunities[Close])</f>
        <v>45891</v>
      </c>
      <c r="L8" s="25" t="str">
        <f>IF(_xlfn.XLOOKUP(View[[#This Row],[ID]],Opportunities[ID],Opportunities[Comment Log])=0,"",_xlfn.XLOOKUP(View[[#This Row],[ID]],Opportunities[ID],Opportunities[Comment Log]))</f>
        <v/>
      </c>
      <c r="M8">
        <v>15</v>
      </c>
      <c r="N8" s="3">
        <f ca="1">_xlfn.XLOOKUP(View[[#This Row],[ID]],Opportunities[ID],Opportunities[NextMilestoneDate])-TODAY()</f>
        <v>18</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979.61490000000003</v>
      </c>
      <c r="Q8" s="4">
        <f>_xlfn.XLOOKUP(View[[#This Row],[ID]],Opportunities[ID],Opportunities[Amount])/1000</f>
        <v>1088.461</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Manufacturing Automation System</v>
      </c>
      <c r="F9" s="50" t="str">
        <f>HYPERLINK(_xlfn.XLOOKUP(View[[#This Row],[ID]],Opportunities[ID],Opportunities[url]),_xlfn.XLOOKUP(View[[#This Row],[ID]],Opportunities[ID],Opportunities[Customer Name]))</f>
        <v>Global Industries</v>
      </c>
      <c r="G9" s="39" t="str">
        <f>_xlfn.XLOOKUP(View[[#This Row],[ID]],Opportunities[ID],Opportunities[DisplayStage])</f>
        <v>➅ - Closeout</v>
      </c>
      <c r="H9" s="1">
        <f>IF(pipelineType="Unweighted",_xlfn.XLOOKUP(View[[#This Row],[ID]],Opportunities[ID],Opportunities[Amount])/1000,_xlfn.XLOOKUP(View[[#This Row],[ID]],Opportunities[ID],Opportunities[Weighted])/1000)</f>
        <v>1089.5029999999999</v>
      </c>
      <c r="I9" s="28" t="str">
        <f>_xlfn.XLOOKUP(View[[#This Row],[ID]],Opportunities[ID],Opportunities[WinProbDisplay])</f>
        <v>← Medium</v>
      </c>
      <c r="J9" s="29">
        <f>View[[#This Row],[Estmated Revenue]]</f>
        <v>435.80119999999999</v>
      </c>
      <c r="K9" s="2">
        <f>_xlfn.XLOOKUP(View[[#This Row],[ID]],Opportunities[ID],Opportunities[Close])</f>
        <v>45910</v>
      </c>
      <c r="L9" s="25" t="str">
        <f>IF(_xlfn.XLOOKUP(View[[#This Row],[ID]],Opportunities[ID],Opportunities[Comment Log])=0,"",_xlfn.XLOOKUP(View[[#This Row],[ID]],Opportunities[ID],Opportunities[Comment Log]))</f>
        <v/>
      </c>
      <c r="M9">
        <v>4</v>
      </c>
      <c r="N9" s="3">
        <f ca="1">_xlfn.XLOOKUP(View[[#This Row],[ID]],Opportunities[ID],Opportunities[NextMilestoneDate])-TODAY()</f>
        <v>41</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435.80119999999999</v>
      </c>
      <c r="Q9" s="4">
        <f>_xlfn.XLOOKUP(View[[#This Row],[ID]],Opportunities[ID],Opportunities[Amount])/1000</f>
        <v>1089.5029999999999</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HR Management System</v>
      </c>
      <c r="F10" s="50" t="str">
        <f>HYPERLINK(_xlfn.XLOOKUP(View[[#This Row],[ID]],Opportunities[ID],Opportunities[url]),_xlfn.XLOOKUP(View[[#This Row],[ID]],Opportunities[ID],Opportunities[Customer Name]))</f>
        <v>Media Communications</v>
      </c>
      <c r="G10" s="39" t="str">
        <f>_xlfn.XLOOKUP(View[[#This Row],[ID]],Opportunities[ID],Opportunities[DisplayStage])</f>
        <v>➀ - Lead Qualification</v>
      </c>
      <c r="H10" s="1">
        <f>IF(pipelineType="Unweighted",_xlfn.XLOOKUP(View[[#This Row],[ID]],Opportunities[ID],Opportunities[Amount])/1000,_xlfn.XLOOKUP(View[[#This Row],[ID]],Opportunities[ID],Opportunities[Weighted])/1000)</f>
        <v>994.27300000000002</v>
      </c>
      <c r="I10" s="28" t="str">
        <f>_xlfn.XLOOKUP(View[[#This Row],[ID]],Opportunities[ID],Opportunities[WinProbDisplay])</f>
        <v>↙ Low</v>
      </c>
      <c r="J10" s="29">
        <f>View[[#This Row],[Estmated Revenue]]</f>
        <v>198.8546</v>
      </c>
      <c r="K10" s="2">
        <f>_xlfn.XLOOKUP(View[[#This Row],[ID]],Opportunities[ID],Opportunities[Close])</f>
        <v>45919</v>
      </c>
      <c r="L10" s="25" t="str">
        <f>IF(_xlfn.XLOOKUP(View[[#This Row],[ID]],Opportunities[ID],Opportunities[Comment Log])=0,"",_xlfn.XLOOKUP(View[[#This Row],[ID]],Opportunities[ID],Opportunities[Comment Log]))</f>
        <v/>
      </c>
      <c r="M10">
        <v>19</v>
      </c>
      <c r="N10" s="3">
        <f ca="1">_xlfn.XLOOKUP(View[[#This Row],[ID]],Opportunities[ID],Opportunities[NextMilestoneDate])-TODAY()</f>
        <v>46</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198.8546</v>
      </c>
      <c r="Q10" s="4">
        <f>_xlfn.XLOOKUP(View[[#This Row],[ID]],Opportunities[ID],Opportunities[Amount])/1000</f>
        <v>994.27300000000002</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Mobile Application Development</v>
      </c>
      <c r="F11" s="50" t="str">
        <f>HYPERLINK(_xlfn.XLOOKUP(View[[#This Row],[ID]],Opportunities[ID],Opportunities[url]),_xlfn.XLOOKUP(View[[#This Row],[ID]],Opportunities[ID],Opportunities[Customer Name]))</f>
        <v>Consulting Experts</v>
      </c>
      <c r="G11" s="39" t="str">
        <f>_xlfn.XLOOKUP(View[[#This Row],[ID]],Opportunities[ID],Opportunities[DisplayStage])</f>
        <v>➃ - Negotiation</v>
      </c>
      <c r="H11" s="1">
        <f>IF(pipelineType="Unweighted",_xlfn.XLOOKUP(View[[#This Row],[ID]],Opportunities[ID],Opportunities[Amount])/1000,_xlfn.XLOOKUP(View[[#This Row],[ID]],Opportunities[ID],Opportunities[Weighted])/1000)</f>
        <v>1542.6969999999999</v>
      </c>
      <c r="I11" s="28" t="str">
        <f>_xlfn.XLOOKUP(View[[#This Row],[ID]],Opportunities[ID],Opportunities[WinProbDisplay])</f>
        <v>↙ Low</v>
      </c>
      <c r="J11" s="29">
        <f>View[[#This Row],[Estmated Revenue]]</f>
        <v>308.5394</v>
      </c>
      <c r="K11" s="2">
        <f>_xlfn.XLOOKUP(View[[#This Row],[ID]],Opportunities[ID],Opportunities[Close])</f>
        <v>45929</v>
      </c>
      <c r="L11" s="25" t="str">
        <f>IF(_xlfn.XLOOKUP(View[[#This Row],[ID]],Opportunities[ID],Opportunities[Comment Log])=0,"",_xlfn.XLOOKUP(View[[#This Row],[ID]],Opportunities[ID],Opportunities[Comment Log]))</f>
        <v/>
      </c>
      <c r="M11">
        <v>10</v>
      </c>
      <c r="N11" s="3">
        <f ca="1">_xlfn.XLOOKUP(View[[#This Row],[ID]],Opportunities[ID],Opportunities[NextMilestoneDate])-TODAY()</f>
        <v>56</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308.5394</v>
      </c>
      <c r="Q11" s="4">
        <f>_xlfn.XLOOKUP(View[[#This Row],[ID]],Opportunities[ID],Opportunities[Amount])/1000</f>
        <v>1542.6969999999999</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Business Intelligence Solution</v>
      </c>
      <c r="F12" s="50" t="str">
        <f>HYPERLINK(_xlfn.XLOOKUP(View[[#This Row],[ID]],Opportunities[ID],Opportunities[url]),_xlfn.XLOOKUP(View[[#This Row],[ID]],Opportunities[ID],Opportunities[Customer Name]))</f>
        <v>Sports &amp; Recreation</v>
      </c>
      <c r="G12" s="39" t="str">
        <f>_xlfn.XLOOKUP(View[[#This Row],[ID]],Opportunities[ID],Opportunities[DisplayStage])</f>
        <v>➀ - Lead Qualification</v>
      </c>
      <c r="H12" s="1">
        <f>IF(pipelineType="Unweighted",_xlfn.XLOOKUP(View[[#This Row],[ID]],Opportunities[ID],Opportunities[Amount])/1000,_xlfn.XLOOKUP(View[[#This Row],[ID]],Opportunities[ID],Opportunities[Weighted])/1000)</f>
        <v>1592.36</v>
      </c>
      <c r="I12" s="28" t="str">
        <f>_xlfn.XLOOKUP(View[[#This Row],[ID]],Opportunities[ID],Opportunities[WinProbDisplay])</f>
        <v>↙ Low</v>
      </c>
      <c r="J12" s="29">
        <f>View[[#This Row],[Estmated Revenue]]</f>
        <v>318.47199999999998</v>
      </c>
      <c r="K12" s="2">
        <f>_xlfn.XLOOKUP(View[[#This Row],[ID]],Opportunities[ID],Opportunities[Close])</f>
        <v>45930</v>
      </c>
      <c r="L12" s="25" t="str">
        <f>IF(_xlfn.XLOOKUP(View[[#This Row],[ID]],Opportunities[ID],Opportunities[Comment Log])=0,"",_xlfn.XLOOKUP(View[[#This Row],[ID]],Opportunities[ID],Opportunities[Comment Log]))</f>
        <v/>
      </c>
      <c r="M12">
        <v>8</v>
      </c>
      <c r="N12" s="3">
        <f ca="1">_xlfn.XLOOKUP(View[[#This Row],[ID]],Opportunities[ID],Opportunities[NextMilestoneDate])-TODAY()</f>
        <v>29</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318.47199999999998</v>
      </c>
      <c r="Q12" s="4">
        <f>_xlfn.XLOOKUP(View[[#This Row],[ID]],Opportunities[ID],Opportunities[Amount])/1000</f>
        <v>1592.36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Digital Transformation Project</v>
      </c>
      <c r="F13" s="50" t="str">
        <f>HYPERLINK(_xlfn.XLOOKUP(View[[#This Row],[ID]],Opportunities[ID],Opportunities[url]),_xlfn.XLOOKUP(View[[#This Row],[ID]],Opportunities[ID],Opportunities[Customer Name]))</f>
        <v>Media Communications</v>
      </c>
      <c r="G13" s="39" t="str">
        <f>_xlfn.XLOOKUP(View[[#This Row],[ID]],Opportunities[ID],Opportunities[DisplayStage])</f>
        <v>➂ - Proposal</v>
      </c>
      <c r="H13" s="1">
        <f>IF(pipelineType="Unweighted",_xlfn.XLOOKUP(View[[#This Row],[ID]],Opportunities[ID],Opportunities[Amount])/1000,_xlfn.XLOOKUP(View[[#This Row],[ID]],Opportunities[ID],Opportunities[Weighted])/1000)</f>
        <v>1668.12</v>
      </c>
      <c r="I13" s="28" t="str">
        <f>_xlfn.XLOOKUP(View[[#This Row],[ID]],Opportunities[ID],Opportunities[WinProbDisplay])</f>
        <v>↙ Low</v>
      </c>
      <c r="J13" s="29">
        <f>View[[#This Row],[Estmated Revenue]]</f>
        <v>333.62400000000002</v>
      </c>
      <c r="K13" s="2">
        <f>_xlfn.XLOOKUP(View[[#This Row],[ID]],Opportunities[ID],Opportunities[Close])</f>
        <v>45938</v>
      </c>
      <c r="L13" s="25" t="str">
        <f>IF(_xlfn.XLOOKUP(View[[#This Row],[ID]],Opportunities[ID],Opportunities[Comment Log])=0,"",_xlfn.XLOOKUP(View[[#This Row],[ID]],Opportunities[ID],Opportunities[Comment Log]))</f>
        <v/>
      </c>
      <c r="M13">
        <v>6</v>
      </c>
      <c r="N13" s="3">
        <f ca="1">_xlfn.XLOOKUP(View[[#This Row],[ID]],Opportunities[ID],Opportunities[NextMilestoneDate])-TODAY()</f>
        <v>57</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333.62400000000002</v>
      </c>
      <c r="Q13" s="4">
        <f>_xlfn.XLOOKUP(View[[#This Row],[ID]],Opportunities[ID],Opportunities[Amount])/1000</f>
        <v>1668.12</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Point of Sale System</v>
      </c>
      <c r="F14" s="50" t="str">
        <f>HYPERLINK(_xlfn.XLOOKUP(View[[#This Row],[ID]],Opportunities[ID],Opportunities[url]),_xlfn.XLOOKUP(View[[#This Row],[ID]],Opportunities[ID],Opportunities[Customer Name]))</f>
        <v>Automotive Parts Plus</v>
      </c>
      <c r="G14" s="39" t="str">
        <f>_xlfn.XLOOKUP(View[[#This Row],[ID]],Opportunities[ID],Opportunities[DisplayStage])</f>
        <v>➅ - Closeout</v>
      </c>
      <c r="H14" s="1">
        <f>IF(pipelineType="Unweighted",_xlfn.XLOOKUP(View[[#This Row],[ID]],Opportunities[ID],Opportunities[Amount])/1000,_xlfn.XLOOKUP(View[[#This Row],[ID]],Opportunities[ID],Opportunities[Weighted])/1000)</f>
        <v>2153.3510000000001</v>
      </c>
      <c r="I14" s="28" t="str">
        <f>_xlfn.XLOOKUP(View[[#This Row],[ID]],Opportunities[ID],Opportunities[WinProbDisplay])</f>
        <v>← Medium</v>
      </c>
      <c r="J14" s="29">
        <f>View[[#This Row],[Estmated Revenue]]</f>
        <v>861.34040000000005</v>
      </c>
      <c r="K14" s="2">
        <f>_xlfn.XLOOKUP(View[[#This Row],[ID]],Opportunities[ID],Opportunities[Close])</f>
        <v>45951</v>
      </c>
      <c r="L14" s="25" t="str">
        <f>IF(_xlfn.XLOOKUP(View[[#This Row],[ID]],Opportunities[ID],Opportunities[Comment Log])=0,"",_xlfn.XLOOKUP(View[[#This Row],[ID]],Opportunities[ID],Opportunities[Comment Log]))</f>
        <v/>
      </c>
      <c r="M14">
        <v>23</v>
      </c>
      <c r="N14" s="3">
        <f ca="1">_xlfn.XLOOKUP(View[[#This Row],[ID]],Opportunities[ID],Opportunities[NextMilestoneDate])-TODAY()</f>
        <v>47</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861.34040000000005</v>
      </c>
      <c r="Q14" s="4">
        <f>_xlfn.XLOOKUP(View[[#This Row],[ID]],Opportunities[ID],Opportunities[Amount])/1000</f>
        <v>2153.3510000000001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Database Migration Project</v>
      </c>
      <c r="F15" s="50" t="str">
        <f>HYPERLINK(_xlfn.XLOOKUP(View[[#This Row],[ID]],Opportunities[ID],Opportunities[url]),_xlfn.XLOOKUP(View[[#This Row],[ID]],Opportunities[ID],Opportunities[Customer Name]))</f>
        <v>ACME Corporation</v>
      </c>
      <c r="G15" s="39" t="str">
        <f>_xlfn.XLOOKUP(View[[#This Row],[ID]],Opportunities[ID],Opportunities[DisplayStage])</f>
        <v>➀ - Lead Qualification</v>
      </c>
      <c r="H15" s="1">
        <f>IF(pipelineType="Unweighted",_xlfn.XLOOKUP(View[[#This Row],[ID]],Opportunities[ID],Opportunities[Amount])/1000,_xlfn.XLOOKUP(View[[#This Row],[ID]],Opportunities[ID],Opportunities[Weighted])/1000)</f>
        <v>1393.789</v>
      </c>
      <c r="I15" s="28" t="str">
        <f>_xlfn.XLOOKUP(View[[#This Row],[ID]],Opportunities[ID],Opportunities[WinProbDisplay])</f>
        <v>← Medium</v>
      </c>
      <c r="J15" s="29">
        <f>View[[#This Row],[Estmated Revenue]]</f>
        <v>557.51559999999995</v>
      </c>
      <c r="K15" s="2">
        <f>_xlfn.XLOOKUP(View[[#This Row],[ID]],Opportunities[ID],Opportunities[Close])</f>
        <v>45978</v>
      </c>
      <c r="L15" s="25" t="str">
        <f>IF(_xlfn.XLOOKUP(View[[#This Row],[ID]],Opportunities[ID],Opportunities[Comment Log])=0,"",_xlfn.XLOOKUP(View[[#This Row],[ID]],Opportunities[ID],Opportunities[Comment Log]))</f>
        <v/>
      </c>
      <c r="M15">
        <v>37</v>
      </c>
      <c r="N15" s="3">
        <f ca="1">_xlfn.XLOOKUP(View[[#This Row],[ID]],Opportunities[ID],Opportunities[NextMilestoneDate])-TODAY()</f>
        <v>35</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557.51559999999995</v>
      </c>
      <c r="Q15" s="4">
        <f>_xlfn.XLOOKUP(View[[#This Row],[ID]],Opportunities[ID],Opportunities[Amount])/1000</f>
        <v>1393.789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API Development Project</v>
      </c>
      <c r="F16" s="50" t="str">
        <f>HYPERLINK(_xlfn.XLOOKUP(View[[#This Row],[ID]],Opportunities[ID],Opportunities[url]),_xlfn.XLOOKUP(View[[#This Row],[ID]],Opportunities[ID],Opportunities[Customer Name]))</f>
        <v>Waste Management Co</v>
      </c>
      <c r="G16" s="39" t="str">
        <f>_xlfn.XLOOKUP(View[[#This Row],[ID]],Opportunities[ID],Opportunities[DisplayStage])</f>
        <v>➄ - Project Execution</v>
      </c>
      <c r="H16" s="1">
        <f>IF(pipelineType="Unweighted",_xlfn.XLOOKUP(View[[#This Row],[ID]],Opportunities[ID],Opportunities[Amount])/1000,_xlfn.XLOOKUP(View[[#This Row],[ID]],Opportunities[ID],Opportunities[Weighted])/1000)</f>
        <v>1230.5630000000001</v>
      </c>
      <c r="I16" s="28" t="str">
        <f>_xlfn.XLOOKUP(View[[#This Row],[ID]],Opportunities[ID],Opportunities[WinProbDisplay])</f>
        <v>← Medium</v>
      </c>
      <c r="J16" s="29">
        <f>View[[#This Row],[Estmated Revenue]]</f>
        <v>492.22520000000003</v>
      </c>
      <c r="K16" s="2">
        <f>_xlfn.XLOOKUP(View[[#This Row],[ID]],Opportunities[ID],Opportunities[Close])</f>
        <v>45992</v>
      </c>
      <c r="L16" s="25" t="str">
        <f>IF(_xlfn.XLOOKUP(View[[#This Row],[ID]],Opportunities[ID],Opportunities[Comment Log])=0,"",_xlfn.XLOOKUP(View[[#This Row],[ID]],Opportunities[ID],Opportunities[Comment Log]))</f>
        <v/>
      </c>
      <c r="M16">
        <v>39</v>
      </c>
      <c r="N16" s="3">
        <f ca="1">_xlfn.XLOOKUP(View[[#This Row],[ID]],Opportunities[ID],Opportunities[NextMilestoneDate])-TODAY()</f>
        <v>27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492.22520000000003</v>
      </c>
      <c r="Q16" s="4">
        <f>_xlfn.XLOOKUP(View[[#This Row],[ID]],Opportunities[ID],Opportunities[Amount])/1000</f>
        <v>1230.5630000000001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E-commerce Platform</v>
      </c>
      <c r="F17" s="50" t="str">
        <f>HYPERLINK(_xlfn.XLOOKUP(View[[#This Row],[ID]],Opportunities[ID],Opportunities[url]),_xlfn.XLOOKUP(View[[#This Row],[ID]],Opportunities[ID],Opportunities[Customer Name]))</f>
        <v>Mining Operations</v>
      </c>
      <c r="G17" s="39" t="str">
        <f>_xlfn.XLOOKUP(View[[#This Row],[ID]],Opportunities[ID],Opportunities[DisplayStage])</f>
        <v>➃ - Negotiation</v>
      </c>
      <c r="H17" s="1">
        <f>IF(pipelineType="Unweighted",_xlfn.XLOOKUP(View[[#This Row],[ID]],Opportunities[ID],Opportunities[Amount])/1000,_xlfn.XLOOKUP(View[[#This Row],[ID]],Opportunities[ID],Opportunities[Weighted])/1000)</f>
        <v>1177.356</v>
      </c>
      <c r="I17" s="28" t="str">
        <f>_xlfn.XLOOKUP(View[[#This Row],[ID]],Opportunities[ID],Opportunities[WinProbDisplay])</f>
        <v>↖ High</v>
      </c>
      <c r="J17" s="29">
        <f>View[[#This Row],[Estmated Revenue]]</f>
        <v>1059.6204000000002</v>
      </c>
      <c r="K17" s="2">
        <f>_xlfn.XLOOKUP(View[[#This Row],[ID]],Opportunities[ID],Opportunities[Close])</f>
        <v>45995</v>
      </c>
      <c r="L17" s="25" t="str">
        <f>IF(_xlfn.XLOOKUP(View[[#This Row],[ID]],Opportunities[ID],Opportunities[Comment Log])=0,"",_xlfn.XLOOKUP(View[[#This Row],[ID]],Opportunities[ID],Opportunities[Comment Log]))</f>
        <v/>
      </c>
      <c r="M17">
        <v>13</v>
      </c>
      <c r="N17" s="3">
        <f ca="1">_xlfn.XLOOKUP(View[[#This Row],[ID]],Opportunities[ID],Opportunities[NextMilestoneDate])-TODAY()</f>
        <v>30</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1059.6204000000002</v>
      </c>
      <c r="Q17" s="4">
        <f>_xlfn.XLOOKUP(View[[#This Row],[ID]],Opportunities[ID],Opportunities[Amount])/1000</f>
        <v>1177.356</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Data Center Consolidation</v>
      </c>
      <c r="F18" s="50" t="str">
        <f>HYPERLINK(_xlfn.XLOOKUP(View[[#This Row],[ID]],Opportunities[ID],Opportunities[url]),_xlfn.XLOOKUP(View[[#This Row],[ID]],Opportunities[ID],Opportunities[Customer Name]))</f>
        <v>Food Service Partners</v>
      </c>
      <c r="G18" s="39" t="str">
        <f>_xlfn.XLOOKUP(View[[#This Row],[ID]],Opportunities[ID],Opportunities[DisplayStage])</f>
        <v>➂ - Proposal</v>
      </c>
      <c r="H18" s="1">
        <f>IF(pipelineType="Unweighted",_xlfn.XLOOKUP(View[[#This Row],[ID]],Opportunities[ID],Opportunities[Amount])/1000,_xlfn.XLOOKUP(View[[#This Row],[ID]],Opportunities[ID],Opportunities[Weighted])/1000)</f>
        <v>1092.83</v>
      </c>
      <c r="I18" s="28" t="str">
        <f>_xlfn.XLOOKUP(View[[#This Row],[ID]],Opportunities[ID],Opportunities[WinProbDisplay])</f>
        <v>↙ Low</v>
      </c>
      <c r="J18" s="29">
        <f>View[[#This Row],[Estmated Revenue]]</f>
        <v>218.566</v>
      </c>
      <c r="K18" s="2">
        <f>_xlfn.XLOOKUP(View[[#This Row],[ID]],Opportunities[ID],Opportunities[Close])</f>
        <v>46078</v>
      </c>
      <c r="L18" s="25" t="str">
        <f>IF(_xlfn.XLOOKUP(View[[#This Row],[ID]],Opportunities[ID],Opportunities[Comment Log])=0,"",_xlfn.XLOOKUP(View[[#This Row],[ID]],Opportunities[ID],Opportunities[Comment Log]))</f>
        <v/>
      </c>
      <c r="M18">
        <v>11</v>
      </c>
      <c r="N18" s="3">
        <f ca="1">_xlfn.XLOOKUP(View[[#This Row],[ID]],Opportunities[ID],Opportunities[NextMilestoneDate])-TODAY()</f>
        <v>14</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218.566</v>
      </c>
      <c r="Q18" s="4">
        <f>_xlfn.XLOOKUP(View[[#This Row],[ID]],Opportunities[ID],Opportunities[Amount])/1000</f>
        <v>1092.83</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Customer Portal Development</v>
      </c>
      <c r="F19" s="50" t="str">
        <f>HYPERLINK(_xlfn.XLOOKUP(View[[#This Row],[ID]],Opportunities[ID],Opportunities[url]),_xlfn.XLOOKUP(View[[#This Row],[ID]],Opportunities[ID],Opportunities[Customer Name]))</f>
        <v>Hotel Management Group</v>
      </c>
      <c r="G19" s="39" t="str">
        <f>_xlfn.XLOOKUP(View[[#This Row],[ID]],Opportunities[ID],Opportunities[DisplayStage])</f>
        <v>➄ - Project Execution</v>
      </c>
      <c r="H19" s="1">
        <f>IF(pipelineType="Unweighted",_xlfn.XLOOKUP(View[[#This Row],[ID]],Opportunities[ID],Opportunities[Amount])/1000,_xlfn.XLOOKUP(View[[#This Row],[ID]],Opportunities[ID],Opportunities[Weighted])/1000)</f>
        <v>908.71100000000001</v>
      </c>
      <c r="I19" s="28" t="str">
        <f>_xlfn.XLOOKUP(View[[#This Row],[ID]],Opportunities[ID],Opportunities[WinProbDisplay])</f>
        <v>↖ High</v>
      </c>
      <c r="J19" s="29">
        <f>View[[#This Row],[Estmated Revenue]]</f>
        <v>817.83990000000006</v>
      </c>
      <c r="K19" s="2">
        <f>_xlfn.XLOOKUP(View[[#This Row],[ID]],Opportunities[ID],Opportunities[Close])</f>
        <v>46104</v>
      </c>
      <c r="L19" s="25" t="str">
        <f>IF(_xlfn.XLOOKUP(View[[#This Row],[ID]],Opportunities[ID],Opportunities[Comment Log])=0,"",_xlfn.XLOOKUP(View[[#This Row],[ID]],Opportunities[ID],Opportunities[Comment Log]))</f>
        <v/>
      </c>
      <c r="M19">
        <v>9</v>
      </c>
      <c r="N19" s="3">
        <f ca="1">_xlfn.XLOOKUP(View[[#This Row],[ID]],Opportunities[ID],Opportunities[NextMilestoneDate])-TODAY()</f>
        <v>23</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817.83990000000006</v>
      </c>
      <c r="Q19" s="4">
        <f>_xlfn.XLOOKUP(View[[#This Row],[ID]],Opportunities[ID],Opportunities[Amount])/1000</f>
        <v>908.71100000000001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Cybersecurity Enhancement</v>
      </c>
      <c r="F20" s="50" t="str">
        <f>HYPERLINK(_xlfn.XLOOKUP(View[[#This Row],[ID]],Opportunities[ID],Opportunities[url]),_xlfn.XLOOKUP(View[[#This Row],[ID]],Opportunities[ID],Opportunities[Customer Name]))</f>
        <v>Pharmaceutical Research</v>
      </c>
      <c r="G20" s="39" t="str">
        <f>_xlfn.XLOOKUP(View[[#This Row],[ID]],Opportunities[ID],Opportunities[DisplayStage])</f>
        <v>➅ - Closeout</v>
      </c>
      <c r="H20" s="1">
        <f>IF(pipelineType="Unweighted",_xlfn.XLOOKUP(View[[#This Row],[ID]],Opportunities[ID],Opportunities[Amount])/1000,_xlfn.XLOOKUP(View[[#This Row],[ID]],Opportunities[ID],Opportunities[Weighted])/1000)</f>
        <v>1564.3330000000001</v>
      </c>
      <c r="I20" s="28" t="str">
        <f>_xlfn.XLOOKUP(View[[#This Row],[ID]],Opportunities[ID],Opportunities[WinProbDisplay])</f>
        <v>← Medium</v>
      </c>
      <c r="J20" s="29">
        <f>View[[#This Row],[Estmated Revenue]]</f>
        <v>625.73320000000012</v>
      </c>
      <c r="K20" s="2">
        <f>_xlfn.XLOOKUP(View[[#This Row],[ID]],Opportunities[ID],Opportunities[Close])</f>
        <v>46112</v>
      </c>
      <c r="L20" s="25" t="str">
        <f>IF(_xlfn.XLOOKUP(View[[#This Row],[ID]],Opportunities[ID],Opportunities[Comment Log])=0,"",_xlfn.XLOOKUP(View[[#This Row],[ID]],Opportunities[ID],Opportunities[Comment Log]))</f>
        <v/>
      </c>
      <c r="M20">
        <v>12</v>
      </c>
      <c r="N20" s="3">
        <f ca="1">_xlfn.XLOOKUP(View[[#This Row],[ID]],Opportunities[ID],Opportunities[NextMilestoneDate])-TODAY()</f>
        <v>27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625.73320000000012</v>
      </c>
      <c r="Q20" s="4">
        <f>_xlfn.XLOOKUP(View[[#This Row],[ID]],Opportunities[ID],Opportunities[Amount])/1000</f>
        <v>1564.3330000000001</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Backup &amp; Recovery System</v>
      </c>
      <c r="F21" s="50" t="str">
        <f>HYPERLINK(_xlfn.XLOOKUP(View[[#This Row],[ID]],Opportunities[ID],Opportunities[url]),_xlfn.XLOOKUP(View[[#This Row],[ID]],Opportunities[ID],Opportunities[Customer Name]))</f>
        <v>Publishing House</v>
      </c>
      <c r="G21" s="39" t="str">
        <f>_xlfn.XLOOKUP(View[[#This Row],[ID]],Opportunities[ID],Opportunities[DisplayStage])</f>
        <v>➂ - Proposal</v>
      </c>
      <c r="H21" s="1">
        <f>IF(pipelineType="Unweighted",_xlfn.XLOOKUP(View[[#This Row],[ID]],Opportunities[ID],Opportunities[Amount])/1000,_xlfn.XLOOKUP(View[[#This Row],[ID]],Opportunities[ID],Opportunities[Weighted])/1000)</f>
        <v>1520.502</v>
      </c>
      <c r="I21" s="28" t="str">
        <f>_xlfn.XLOOKUP(View[[#This Row],[ID]],Opportunities[ID],Opportunities[WinProbDisplay])</f>
        <v>← Medium</v>
      </c>
      <c r="J21" s="29">
        <f>View[[#This Row],[Estmated Revenue]]</f>
        <v>608.20080000000007</v>
      </c>
      <c r="K21" s="2">
        <f>_xlfn.XLOOKUP(View[[#This Row],[ID]],Opportunities[ID],Opportunities[Close])</f>
        <v>46113</v>
      </c>
      <c r="L21" s="25" t="str">
        <f>IF(_xlfn.XLOOKUP(View[[#This Row],[ID]],Opportunities[ID],Opportunities[Comment Log])=0,"",_xlfn.XLOOKUP(View[[#This Row],[ID]],Opportunities[ID],Opportunities[Comment Log]))</f>
        <v/>
      </c>
      <c r="M21">
        <v>27</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1" s="1">
        <f>_xlfn.XLOOKUP(View[[#This Row],[ID]],Opportunities[ID],Opportunities[Weighted])/1000</f>
        <v>608.20080000000007</v>
      </c>
      <c r="Q21" s="4">
        <f>_xlfn.XLOOKUP(View[[#This Row],[ID]],Opportunities[ID],Opportunities[Amount])/1000</f>
        <v>1520.502</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50" t="str">
        <f>HYPERLINK(_xlfn.XLOOKUP(View[[#This Row],[ID]],Opportunities[ID],Opportunities[url]),_xlfn.XLOOKUP(View[[#This Row],[ID]],Opportunities[ID],Opportunities[Customer Name]))</f>
        <v>Education First</v>
      </c>
      <c r="G22" s="39" t="str">
        <f>_xlfn.XLOOKUP(View[[#This Row],[ID]],Opportunities[ID],Opportunities[DisplayStage])</f>
        <v>➃ - Negotiation</v>
      </c>
      <c r="H22" s="1">
        <f>IF(pipelineType="Unweighted",_xlfn.XLOOKUP(View[[#This Row],[ID]],Opportunities[ID],Opportunities[Amount])/1000,_xlfn.XLOOKUP(View[[#This Row],[ID]],Opportunities[ID],Opportunities[Weighted])/1000)</f>
        <v>2045.7439999999999</v>
      </c>
      <c r="I22" s="28" t="str">
        <f>_xlfn.XLOOKUP(View[[#This Row],[ID]],Opportunities[ID],Opportunities[WinProbDisplay])</f>
        <v>← Medium</v>
      </c>
      <c r="J22" s="29">
        <f>View[[#This Row],[Estmated Revenue]]</f>
        <v>818.2976000000001</v>
      </c>
      <c r="K22" s="2">
        <f>_xlfn.XLOOKUP(View[[#This Row],[ID]],Opportunities[ID],Opportunities[Close])</f>
        <v>46119</v>
      </c>
      <c r="L22" s="25" t="str">
        <f>IF(_xlfn.XLOOKUP(View[[#This Row],[ID]],Opportunities[ID],Opportunities[Comment Log])=0,"",_xlfn.XLOOKUP(View[[#This Row],[ID]],Opportunities[ID],Opportunities[Comment Log]))</f>
        <v/>
      </c>
      <c r="M22">
        <v>30</v>
      </c>
      <c r="N22" s="3">
        <f ca="1">_xlfn.XLOOKUP(View[[#This Row],[ID]],Opportunities[ID],Opportunities[NextMilestoneDate])-TODAY()</f>
        <v>17</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2" s="1">
        <f>_xlfn.XLOOKUP(View[[#This Row],[ID]],Opportunities[ID],Opportunities[Weighted])/1000</f>
        <v>818.2976000000001</v>
      </c>
      <c r="Q22" s="4">
        <f>_xlfn.XLOOKUP(View[[#This Row],[ID]],Opportunities[ID],Opportunities[Amount])/1000</f>
        <v>2045.7439999999999</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50" t="str">
        <f>HYPERLINK(_xlfn.XLOOKUP(View[[#This Row],[ID]],Opportunities[ID],Opportunities[url]),_xlfn.XLOOKUP(View[[#This Row],[ID]],Opportunities[ID],Opportunities[Customer Name]))</f>
        <v>Pharmaceutical Research</v>
      </c>
      <c r="G23" s="39" t="str">
        <f>_xlfn.XLOOKUP(View[[#This Row],[ID]],Opportunities[ID],Opportunities[DisplayStage])</f>
        <v>➁ - Nurturing</v>
      </c>
      <c r="H23" s="1">
        <f>IF(pipelineType="Unweighted",_xlfn.XLOOKUP(View[[#This Row],[ID]],Opportunities[ID],Opportunities[Amount])/1000,_xlfn.XLOOKUP(View[[#This Row],[ID]],Opportunities[ID],Opportunities[Weighted])/1000)</f>
        <v>1465.7159999999999</v>
      </c>
      <c r="I23" s="28" t="str">
        <f>_xlfn.XLOOKUP(View[[#This Row],[ID]],Opportunities[ID],Opportunities[WinProbDisplay])</f>
        <v>← Medium</v>
      </c>
      <c r="J23" s="29">
        <f>View[[#This Row],[Estmated Revenue]]</f>
        <v>586.28640000000007</v>
      </c>
      <c r="K23" s="2">
        <f>_xlfn.XLOOKUP(View[[#This Row],[ID]],Opportunities[ID],Opportunities[Close])</f>
        <v>46120</v>
      </c>
      <c r="L23" s="25" t="str">
        <f>IF(_xlfn.XLOOKUP(View[[#This Row],[ID]],Opportunities[ID],Opportunities[Comment Log])=0,"",_xlfn.XLOOKUP(View[[#This Row],[ID]],Opportunities[ID],Opportunities[Comment Log]))</f>
        <v/>
      </c>
      <c r="M23">
        <v>16</v>
      </c>
      <c r="N23" s="3">
        <f ca="1">_xlfn.XLOOKUP(View[[#This Row],[ID]],Opportunities[ID],Opportunities[NextMilestoneDate])-TODAY()</f>
        <v>25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3" s="1">
        <f>_xlfn.XLOOKUP(View[[#This Row],[ID]],Opportunities[ID],Opportunities[Weighted])/1000</f>
        <v>586.28640000000007</v>
      </c>
      <c r="Q23" s="4">
        <f>_xlfn.XLOOKUP(View[[#This Row],[ID]],Opportunities[ID],Opportunities[Amount])/1000</f>
        <v>1465.7159999999999</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Performance Analytics Dashboard</v>
      </c>
      <c r="F24" s="50" t="str">
        <f>HYPERLINK(_xlfn.XLOOKUP(View[[#This Row],[ID]],Opportunities[ID],Opportunities[url]),_xlfn.XLOOKUP(View[[#This Row],[ID]],Opportunities[ID],Opportunities[Customer Name]))</f>
        <v>Agricultural Systems</v>
      </c>
      <c r="G24" s="39" t="str">
        <f>_xlfn.XLOOKUP(View[[#This Row],[ID]],Opportunities[ID],Opportunities[DisplayStage])</f>
        <v>➂ - Proposal</v>
      </c>
      <c r="H24" s="1">
        <f>IF(pipelineType="Unweighted",_xlfn.XLOOKUP(View[[#This Row],[ID]],Opportunities[ID],Opportunities[Amount])/1000,_xlfn.XLOOKUP(View[[#This Row],[ID]],Opportunities[ID],Opportunities[Weighted])/1000)</f>
        <v>1126.3150000000001</v>
      </c>
      <c r="I24" s="28" t="str">
        <f>_xlfn.XLOOKUP(View[[#This Row],[ID]],Opportunities[ID],Opportunities[WinProbDisplay])</f>
        <v>← Medium</v>
      </c>
      <c r="J24" s="29">
        <f>View[[#This Row],[Estmated Revenue]]</f>
        <v>450.52600000000001</v>
      </c>
      <c r="K24" s="2">
        <f>_xlfn.XLOOKUP(View[[#This Row],[ID]],Opportunities[ID],Opportunities[Close])</f>
        <v>46122</v>
      </c>
      <c r="L24" s="25" t="str">
        <f>IF(_xlfn.XLOOKUP(View[[#This Row],[ID]],Opportunities[ID],Opportunities[Comment Log])=0,"",_xlfn.XLOOKUP(View[[#This Row],[ID]],Opportunities[ID],Opportunities[Comment Log]))</f>
        <v/>
      </c>
      <c r="M24">
        <v>34</v>
      </c>
      <c r="N24" s="3">
        <f ca="1">_xlfn.XLOOKUP(View[[#This Row],[ID]],Opportunities[ID],Opportunities[NextMilestoneDate])-TODAY()</f>
        <v>42</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4" s="1">
        <f>_xlfn.XLOOKUP(View[[#This Row],[ID]],Opportunities[ID],Opportunities[Weighted])/1000</f>
        <v>450.52600000000001</v>
      </c>
      <c r="Q24" s="4">
        <f>_xlfn.XLOOKUP(View[[#This Row],[ID]],Opportunities[ID],Opportunities[Amount])/1000</f>
        <v>1126.3150000000001</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Marketing Automation Platform</v>
      </c>
      <c r="F25" s="50" t="str">
        <f>HYPERLINK(_xlfn.XLOOKUP(View[[#This Row],[ID]],Opportunities[ID],Opportunities[url]),_xlfn.XLOOKUP(View[[#This Row],[ID]],Opportunities[ID],Opportunities[Customer Name]))</f>
        <v>Real Estate Ventures</v>
      </c>
      <c r="G25" s="39" t="str">
        <f>_xlfn.XLOOKUP(View[[#This Row],[ID]],Opportunities[ID],Opportunities[DisplayStage])</f>
        <v>➅ - Closeout</v>
      </c>
      <c r="H25" s="1">
        <f>IF(pipelineType="Unweighted",_xlfn.XLOOKUP(View[[#This Row],[ID]],Opportunities[ID],Opportunities[Amount])/1000,_xlfn.XLOOKUP(View[[#This Row],[ID]],Opportunities[ID],Opportunities[Weighted])/1000)</f>
        <v>1354.527</v>
      </c>
      <c r="I25" s="28" t="str">
        <f>_xlfn.XLOOKUP(View[[#This Row],[ID]],Opportunities[ID],Opportunities[WinProbDisplay])</f>
        <v>↙ Low</v>
      </c>
      <c r="J25" s="29">
        <f>View[[#This Row],[Estmated Revenue]]</f>
        <v>270.90540000000004</v>
      </c>
      <c r="K25" s="2">
        <f>_xlfn.XLOOKUP(View[[#This Row],[ID]],Opportunities[ID],Opportunities[Close])</f>
        <v>46141</v>
      </c>
      <c r="L25" s="25" t="str">
        <f>IF(_xlfn.XLOOKUP(View[[#This Row],[ID]],Opportunities[ID],Opportunities[Comment Log])=0,"",_xlfn.XLOOKUP(View[[#This Row],[ID]],Opportunities[ID],Opportunities[Comment Log]))</f>
        <v/>
      </c>
      <c r="M25">
        <v>20</v>
      </c>
      <c r="N25" s="3">
        <f ca="1">_xlfn.XLOOKUP(View[[#This Row],[ID]],Opportunities[ID],Opportunities[NextMilestoneDate])-TODAY()</f>
        <v>14</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270.90540000000004</v>
      </c>
      <c r="Q25" s="4">
        <f>_xlfn.XLOOKUP(View[[#This Row],[ID]],Opportunities[ID],Opportunities[Amount])/1000</f>
        <v>1354.527</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Project Management Software</v>
      </c>
      <c r="F26" s="50" t="str">
        <f>HYPERLINK(_xlfn.XLOOKUP(View[[#This Row],[ID]],Opportunities[ID],Opportunities[url]),_xlfn.XLOOKUP(View[[#This Row],[ID]],Opportunities[ID],Opportunities[Customer Name]))</f>
        <v>Environmental Services</v>
      </c>
      <c r="G26" s="39" t="str">
        <f>_xlfn.XLOOKUP(View[[#This Row],[ID]],Opportunities[ID],Opportunities[DisplayStage])</f>
        <v>➃ - Negotiation</v>
      </c>
      <c r="H26" s="1">
        <f>IF(pipelineType="Unweighted",_xlfn.XLOOKUP(View[[#This Row],[ID]],Opportunities[ID],Opportunities[Amount])/1000,_xlfn.XLOOKUP(View[[#This Row],[ID]],Opportunities[ID],Opportunities[Weighted])/1000)</f>
        <v>1058.0360000000001</v>
      </c>
      <c r="I26" s="28" t="str">
        <f>_xlfn.XLOOKUP(View[[#This Row],[ID]],Opportunities[ID],Opportunities[WinProbDisplay])</f>
        <v>← Medium</v>
      </c>
      <c r="J26" s="29">
        <f>View[[#This Row],[Estmated Revenue]]</f>
        <v>423.21440000000001</v>
      </c>
      <c r="K26" s="2">
        <f>_xlfn.XLOOKUP(View[[#This Row],[ID]],Opportunities[ID],Opportunities[Close])</f>
        <v>46142</v>
      </c>
      <c r="L26" s="25" t="str">
        <f>IF(_xlfn.XLOOKUP(View[[#This Row],[ID]],Opportunities[ID],Opportunities[Comment Log])=0,"",_xlfn.XLOOKUP(View[[#This Row],[ID]],Opportunities[ID],Opportunities[Comment Log]))</f>
        <v/>
      </c>
      <c r="M26">
        <v>25</v>
      </c>
      <c r="N26" s="3">
        <f ca="1">_xlfn.XLOOKUP(View[[#This Row],[ID]],Opportunities[ID],Opportunities[NextMilestoneDate])-TODAY()</f>
        <v>55</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423.21440000000001</v>
      </c>
      <c r="Q26" s="4">
        <f>_xlfn.XLOOKUP(View[[#This Row],[ID]],Opportunities[ID],Opportunities[Amount])/1000</f>
        <v>1058.0360000000001</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ERP Implementation Project</v>
      </c>
      <c r="F27" s="50" t="str">
        <f>HYPERLINK(_xlfn.XLOOKUP(View[[#This Row],[ID]],Opportunities[ID],Opportunities[url]),_xlfn.XLOOKUP(View[[#This Row],[ID]],Opportunities[ID],Opportunities[Customer Name]))</f>
        <v>Chemical Processing</v>
      </c>
      <c r="G27" s="39" t="str">
        <f>_xlfn.XLOOKUP(View[[#This Row],[ID]],Opportunities[ID],Opportunities[DisplayStage])</f>
        <v>➃ - Negotiation</v>
      </c>
      <c r="H27" s="1">
        <f>IF(pipelineType="Unweighted",_xlfn.XLOOKUP(View[[#This Row],[ID]],Opportunities[ID],Opportunities[Amount])/1000,_xlfn.XLOOKUP(View[[#This Row],[ID]],Opportunities[ID],Opportunities[Weighted])/1000)</f>
        <v>2083.0970000000002</v>
      </c>
      <c r="I27" s="28" t="str">
        <f>_xlfn.XLOOKUP(View[[#This Row],[ID]],Opportunities[ID],Opportunities[WinProbDisplay])</f>
        <v>← Medium</v>
      </c>
      <c r="J27" s="29">
        <f>View[[#This Row],[Estmated Revenue]]</f>
        <v>833.23880000000008</v>
      </c>
      <c r="K27" s="2">
        <f>_xlfn.XLOOKUP(View[[#This Row],[ID]],Opportunities[ID],Opportunities[Close])</f>
        <v>46150</v>
      </c>
      <c r="L27" s="25" t="str">
        <f>IF(_xlfn.XLOOKUP(View[[#This Row],[ID]],Opportunities[ID],Opportunities[Comment Log])=0,"",_xlfn.XLOOKUP(View[[#This Row],[ID]],Opportunities[ID],Opportunities[Comment Log]))</f>
        <v xml:space="preserve">A Comment
</v>
      </c>
      <c r="M27">
        <v>1</v>
      </c>
      <c r="N27" s="3">
        <f ca="1">_xlfn.XLOOKUP(View[[#This Row],[ID]],Opportunities[ID],Opportunities[NextMilestoneDate])-TODAY()</f>
        <v>39</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833.23880000000008</v>
      </c>
      <c r="Q27" s="4">
        <f>_xlfn.XLOOKUP(View[[#This Row],[ID]],Opportunities[ID],Opportunities[Amount])/1000</f>
        <v>2083.0970000000002</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Compliance Management Tool</v>
      </c>
      <c r="F28" s="50" t="str">
        <f>HYPERLINK(_xlfn.XLOOKUP(View[[#This Row],[ID]],Opportunities[ID],Opportunities[url]),_xlfn.XLOOKUP(View[[#This Row],[ID]],Opportunities[ID],Opportunities[Customer Name]))</f>
        <v>Tech Solutions Inc</v>
      </c>
      <c r="G28" s="39" t="str">
        <f>_xlfn.XLOOKUP(View[[#This Row],[ID]],Opportunities[ID],Opportunities[DisplayStage])</f>
        <v>➀ - Lead Qualification</v>
      </c>
      <c r="H28" s="1">
        <f>IF(pipelineType="Unweighted",_xlfn.XLOOKUP(View[[#This Row],[ID]],Opportunities[ID],Opportunities[Amount])/1000,_xlfn.XLOOKUP(View[[#This Row],[ID]],Opportunities[ID],Opportunities[Weighted])/1000)</f>
        <v>1358.163</v>
      </c>
      <c r="I28" s="28" t="str">
        <f>_xlfn.XLOOKUP(View[[#This Row],[ID]],Opportunities[ID],Opportunities[WinProbDisplay])</f>
        <v>↙ Low</v>
      </c>
      <c r="J28" s="29">
        <f>View[[#This Row],[Estmated Revenue]]</f>
        <v>271.63260000000002</v>
      </c>
      <c r="K28" s="2">
        <f>_xlfn.XLOOKUP(View[[#This Row],[ID]],Opportunities[ID],Opportunities[Close])</f>
        <v>46154</v>
      </c>
      <c r="L28" s="25" t="str">
        <f>IF(_xlfn.XLOOKUP(View[[#This Row],[ID]],Opportunities[ID],Opportunities[Comment Log])=0,"",_xlfn.XLOOKUP(View[[#This Row],[ID]],Opportunities[ID],Opportunities[Comment Log]))</f>
        <v/>
      </c>
      <c r="M28">
        <v>24</v>
      </c>
      <c r="N28" s="3">
        <f ca="1">_xlfn.XLOOKUP(View[[#This Row],[ID]],Opportunities[ID],Opportunities[NextMilestoneDate])-TODAY()</f>
        <v>46</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271.63260000000002</v>
      </c>
      <c r="Q28" s="4">
        <f>_xlfn.XLOOKUP(View[[#This Row],[ID]],Opportunities[ID],Opportunities[Amount])/1000</f>
        <v>1358.163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Supply Chain Optimization</v>
      </c>
      <c r="F29" s="50" t="str">
        <f>HYPERLINK(_xlfn.XLOOKUP(View[[#This Row],[ID]],Opportunities[ID],Opportunities[url]),_xlfn.XLOOKUP(View[[#This Row],[ID]],Opportunities[ID],Opportunities[Customer Name]))</f>
        <v>Construction Dynamics</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1423.7950000000001</v>
      </c>
      <c r="I29" s="28" t="str">
        <f>_xlfn.XLOOKUP(View[[#This Row],[ID]],Opportunities[ID],Opportunities[WinProbDisplay])</f>
        <v>← Medium</v>
      </c>
      <c r="J29" s="29">
        <f>View[[#This Row],[Estmated Revenue]]</f>
        <v>569.51800000000003</v>
      </c>
      <c r="K29" s="2">
        <f>_xlfn.XLOOKUP(View[[#This Row],[ID]],Opportunities[ID],Opportunities[Close])</f>
        <v>46174</v>
      </c>
      <c r="L29" s="25" t="str">
        <f>IF(_xlfn.XLOOKUP(View[[#This Row],[ID]],Opportunities[ID],Opportunities[Comment Log])=0,"",_xlfn.XLOOKUP(View[[#This Row],[ID]],Opportunities[ID],Opportunities[Comment Log]))</f>
        <v/>
      </c>
      <c r="M29">
        <v>17</v>
      </c>
      <c r="N29" s="3">
        <f ca="1">_xlfn.XLOOKUP(View[[#This Row],[ID]],Opportunities[ID],Opportunities[NextMilestoneDate])-TODAY()</f>
        <v>19</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569.51800000000003</v>
      </c>
      <c r="Q29" s="4">
        <f>_xlfn.XLOOKUP(View[[#This Row],[ID]],Opportunities[ID],Opportunities[Amount])/1000</f>
        <v>1423.7950000000001</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Financial Planning Software</v>
      </c>
      <c r="F30" s="50" t="str">
        <f>HYPERLINK(_xlfn.XLOOKUP(View[[#This Row],[ID]],Opportunities[ID],Opportunities[url]),_xlfn.XLOOKUP(View[[#This Row],[ID]],Opportunities[ID],Opportunities[Customer Name]))</f>
        <v>Food Service Partners</v>
      </c>
      <c r="G30" s="39" t="str">
        <f>_xlfn.XLOOKUP(View[[#This Row],[ID]],Opportunities[ID],Opportunities[DisplayStage])</f>
        <v>➃ - Negotiation</v>
      </c>
      <c r="H30" s="1">
        <f>IF(pipelineType="Unweighted",_xlfn.XLOOKUP(View[[#This Row],[ID]],Opportunities[ID],Opportunities[Amount])/1000,_xlfn.XLOOKUP(View[[#This Row],[ID]],Opportunities[ID],Opportunities[Weighted])/1000)</f>
        <v>1498.5550000000001</v>
      </c>
      <c r="I30" s="28" t="str">
        <f>_xlfn.XLOOKUP(View[[#This Row],[ID]],Opportunities[ID],Opportunities[WinProbDisplay])</f>
        <v>← Medium</v>
      </c>
      <c r="J30" s="29">
        <f>View[[#This Row],[Estmated Revenue]]</f>
        <v>599.42200000000003</v>
      </c>
      <c r="K30" s="2">
        <f>_xlfn.XLOOKUP(View[[#This Row],[ID]],Opportunities[ID],Opportunities[Close])</f>
        <v>46195</v>
      </c>
      <c r="L30" s="25" t="str">
        <f>IF(_xlfn.XLOOKUP(View[[#This Row],[ID]],Opportunities[ID],Opportunities[Comment Log])=0,"",_xlfn.XLOOKUP(View[[#This Row],[ID]],Opportunities[ID],Opportunities[Comment Log]))</f>
        <v/>
      </c>
      <c r="M30">
        <v>18</v>
      </c>
      <c r="N30" s="3">
        <f ca="1">_xlfn.XLOOKUP(View[[#This Row],[ID]],Opportunities[ID],Opportunities[NextMilestoneDate])-TODAY()</f>
        <v>38</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599.42200000000003</v>
      </c>
      <c r="Q30" s="4">
        <f>_xlfn.XLOOKUP(View[[#This Row],[ID]],Opportunities[ID],Opportunities[Amount])/1000</f>
        <v>1498.5550000000001</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Fleet Management System</v>
      </c>
      <c r="F31" s="50" t="str">
        <f>HYPERLINK(_xlfn.XLOOKUP(View[[#This Row],[ID]],Opportunities[ID],Opportunities[url]),_xlfn.XLOOKUP(View[[#This Row],[ID]],Opportunities[ID],Opportunities[Customer Name]))</f>
        <v>ACME Corporation</v>
      </c>
      <c r="G31" s="39" t="str">
        <f>_xlfn.XLOOKUP(View[[#This Row],[ID]],Opportunities[ID],Opportunities[DisplayStage])</f>
        <v>➅ - Closeout</v>
      </c>
      <c r="H31" s="1">
        <f>IF(pipelineType="Unweighted",_xlfn.XLOOKUP(View[[#This Row],[ID]],Opportunities[ID],Opportunities[Amount])/1000,_xlfn.XLOOKUP(View[[#This Row],[ID]],Opportunities[ID],Opportunities[Weighted])/1000)</f>
        <v>470.25700000000001</v>
      </c>
      <c r="I31" s="28" t="str">
        <f>_xlfn.XLOOKUP(View[[#This Row],[ID]],Opportunities[ID],Opportunities[WinProbDisplay])</f>
        <v>↙ Low</v>
      </c>
      <c r="J31" s="29">
        <f>View[[#This Row],[Estmated Revenue]]</f>
        <v>94.051400000000015</v>
      </c>
      <c r="K31" s="2">
        <f>_xlfn.XLOOKUP(View[[#This Row],[ID]],Opportunities[ID],Opportunities[Close])</f>
        <v>46199</v>
      </c>
      <c r="L31" s="25" t="str">
        <f>IF(_xlfn.XLOOKUP(View[[#This Row],[ID]],Opportunities[ID],Opportunities[Comment Log])=0,"",_xlfn.XLOOKUP(View[[#This Row],[ID]],Opportunities[ID],Opportunities[Comment Log]))</f>
        <v/>
      </c>
      <c r="M31">
        <v>31</v>
      </c>
      <c r="N31" s="3">
        <f ca="1">_xlfn.XLOOKUP(View[[#This Row],[ID]],Opportunities[ID],Opportunities[NextMilestoneDate])-TODAY()</f>
        <v>43</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94.051400000000015</v>
      </c>
      <c r="Q31" s="4">
        <f>_xlfn.XLOOKUP(View[[#This Row],[ID]],Opportunities[ID],Opportunities[Amount])/1000</f>
        <v>470.25700000000001</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Social Media Management Tool</v>
      </c>
      <c r="F32" s="50" t="str">
        <f>HYPERLINK(_xlfn.XLOOKUP(View[[#This Row],[ID]],Opportunities[ID],Opportunities[url]),_xlfn.XLOOKUP(View[[#This Row],[ID]],Opportunities[ID],Opportunities[Customer Name]))</f>
        <v>ACME Corporation</v>
      </c>
      <c r="G32" s="39" t="str">
        <f>_xlfn.XLOOKUP(View[[#This Row],[ID]],Opportunities[ID],Opportunities[DisplayStage])</f>
        <v>➁ - Nurturing</v>
      </c>
      <c r="H32" s="1">
        <f>IF(pipelineType="Unweighted",_xlfn.XLOOKUP(View[[#This Row],[ID]],Opportunities[ID],Opportunities[Amount])/1000,_xlfn.XLOOKUP(View[[#This Row],[ID]],Opportunities[ID],Opportunities[Weighted])/1000)</f>
        <v>981.68200000000002</v>
      </c>
      <c r="I32" s="28" t="str">
        <f>_xlfn.XLOOKUP(View[[#This Row],[ID]],Opportunities[ID],Opportunities[WinProbDisplay])</f>
        <v>↙ Low</v>
      </c>
      <c r="J32" s="29">
        <f>View[[#This Row],[Estmated Revenue]]</f>
        <v>196.33640000000003</v>
      </c>
      <c r="K32" s="2">
        <f>_xlfn.XLOOKUP(View[[#This Row],[ID]],Opportunities[ID],Opportunities[Close])</f>
        <v>46205</v>
      </c>
      <c r="L32" s="25" t="str">
        <f>IF(_xlfn.XLOOKUP(View[[#This Row],[ID]],Opportunities[ID],Opportunities[Comment Log])=0,"",_xlfn.XLOOKUP(View[[#This Row],[ID]],Opportunities[ID],Opportunities[Comment Log]))</f>
        <v/>
      </c>
      <c r="M32">
        <v>29</v>
      </c>
      <c r="N32" s="3">
        <f ca="1">_xlfn.XLOOKUP(View[[#This Row],[ID]],Opportunities[ID],Opportunities[NextMilestoneDate])-TODAY()</f>
        <v>38</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2" s="1">
        <f>_xlfn.XLOOKUP(View[[#This Row],[ID]],Opportunities[ID],Opportunities[Weighted])/1000</f>
        <v>196.33640000000003</v>
      </c>
      <c r="Q32" s="4">
        <f>_xlfn.XLOOKUP(View[[#This Row],[ID]],Opportunities[ID],Opportunities[Amount])/1000</f>
        <v>981.68200000000002</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Document Management System</v>
      </c>
      <c r="F33" s="50" t="str">
        <f>HYPERLINK(_xlfn.XLOOKUP(View[[#This Row],[ID]],Opportunities[ID],Opportunities[url]),_xlfn.XLOOKUP(View[[#This Row],[ID]],Opportunities[ID],Opportunities[Customer Name]))</f>
        <v>Professional Services Group</v>
      </c>
      <c r="G33" s="39" t="str">
        <f>_xlfn.XLOOKUP(View[[#This Row],[ID]],Opportunities[ID],Opportunities[DisplayStage])</f>
        <v>➁ - Nurturing</v>
      </c>
      <c r="H33" s="1">
        <f>IF(pipelineType="Unweighted",_xlfn.XLOOKUP(View[[#This Row],[ID]],Opportunities[ID],Opportunities[Amount])/1000,_xlfn.XLOOKUP(View[[#This Row],[ID]],Opportunities[ID],Opportunities[Weighted])/1000)</f>
        <v>1115.403</v>
      </c>
      <c r="I33" s="28" t="str">
        <f>_xlfn.XLOOKUP(View[[#This Row],[ID]],Opportunities[ID],Opportunities[WinProbDisplay])</f>
        <v>↙ Low</v>
      </c>
      <c r="J33" s="29">
        <f>View[[#This Row],[Estmated Revenue]]</f>
        <v>223.0806</v>
      </c>
      <c r="K33" s="2">
        <f>_xlfn.XLOOKUP(View[[#This Row],[ID]],Opportunities[ID],Opportunities[Close])</f>
        <v>46233</v>
      </c>
      <c r="L33" s="25" t="str">
        <f>IF(_xlfn.XLOOKUP(View[[#This Row],[ID]],Opportunities[ID],Opportunities[Comment Log])=0,"",_xlfn.XLOOKUP(View[[#This Row],[ID]],Opportunities[ID],Opportunities[Comment Log]))</f>
        <v/>
      </c>
      <c r="M33">
        <v>14</v>
      </c>
      <c r="N33" s="3">
        <f ca="1">_xlfn.XLOOKUP(View[[#This Row],[ID]],Opportunities[ID],Opportunities[NextMilestoneDate])-TODAY()</f>
        <v>28</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3" s="1">
        <f>_xlfn.XLOOKUP(View[[#This Row],[ID]],Opportunities[ID],Opportunities[Weighted])/1000</f>
        <v>223.0806</v>
      </c>
      <c r="Q33" s="4">
        <f>_xlfn.XLOOKUP(View[[#This Row],[ID]],Opportunities[ID],Opportunities[Amount])/1000</f>
        <v>1115.403</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Video Conferencing Solution</v>
      </c>
      <c r="F34" s="50" t="str">
        <f>HYPERLINK(_xlfn.XLOOKUP(View[[#This Row],[ID]],Opportunities[ID],Opportunities[url]),_xlfn.XLOOKUP(View[[#This Row],[ID]],Opportunities[ID],Opportunities[Customer Name]))</f>
        <v>Education First</v>
      </c>
      <c r="G34" s="39" t="str">
        <f>_xlfn.XLOOKUP(View[[#This Row],[ID]],Opportunities[ID],Opportunities[DisplayStage])</f>
        <v>➂ - Proposal</v>
      </c>
      <c r="H34" s="1">
        <f>IF(pipelineType="Unweighted",_xlfn.XLOOKUP(View[[#This Row],[ID]],Opportunities[ID],Opportunities[Amount])/1000,_xlfn.XLOOKUP(View[[#This Row],[ID]],Opportunities[ID],Opportunities[Weighted])/1000)</f>
        <v>595.74699999999996</v>
      </c>
      <c r="I34" s="28" t="str">
        <f>_xlfn.XLOOKUP(View[[#This Row],[ID]],Opportunities[ID],Opportunities[WinProbDisplay])</f>
        <v>↙ Low</v>
      </c>
      <c r="J34" s="29">
        <f>View[[#This Row],[Estmated Revenue]]</f>
        <v>119.14940000000001</v>
      </c>
      <c r="K34" s="2">
        <f>_xlfn.XLOOKUP(View[[#This Row],[ID]],Opportunities[ID],Opportunities[Close])</f>
        <v>46254</v>
      </c>
      <c r="L34" s="25" t="str">
        <f>IF(_xlfn.XLOOKUP(View[[#This Row],[ID]],Opportunities[ID],Opportunities[Comment Log])=0,"",_xlfn.XLOOKUP(View[[#This Row],[ID]],Opportunities[ID],Opportunities[Comment Log]))</f>
        <v/>
      </c>
      <c r="M34">
        <v>26</v>
      </c>
      <c r="N34" s="3">
        <f ca="1">_xlfn.XLOOKUP(View[[#This Row],[ID]],Opportunities[ID],Opportunities[NextMilestoneDate])-TODAY()</f>
        <v>5</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4" s="1">
        <f>_xlfn.XLOOKUP(View[[#This Row],[ID]],Opportunities[ID],Opportunities[Weighted])/1000</f>
        <v>119.14940000000001</v>
      </c>
      <c r="Q34" s="4">
        <f>_xlfn.XLOOKUP(View[[#This Row],[ID]],Opportunities[ID],Opportunities[Amount])/1000</f>
        <v>595.74699999999996</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Environmental Monitoring Solution</v>
      </c>
      <c r="F35" s="50" t="str">
        <f>HYPERLINK(_xlfn.XLOOKUP(View[[#This Row],[ID]],Opportunities[ID],Opportunities[url]),_xlfn.XLOOKUP(View[[#This Row],[ID]],Opportunities[ID],Opportunities[Customer Name]))</f>
        <v>Transport Logistics</v>
      </c>
      <c r="G35" s="39" t="str">
        <f>_xlfn.XLOOKUP(View[[#This Row],[ID]],Opportunities[ID],Opportunities[DisplayStage])</f>
        <v>➅ - Closeout</v>
      </c>
      <c r="H35" s="1">
        <f>IF(pipelineType="Unweighted",_xlfn.XLOOKUP(View[[#This Row],[ID]],Opportunities[ID],Opportunities[Amount])/1000,_xlfn.XLOOKUP(View[[#This Row],[ID]],Opportunities[ID],Opportunities[Weighted])/1000)</f>
        <v>1808.27</v>
      </c>
      <c r="I35" s="28" t="str">
        <f>_xlfn.XLOOKUP(View[[#This Row],[ID]],Opportunities[ID],Opportunities[WinProbDisplay])</f>
        <v>← Medium</v>
      </c>
      <c r="J35" s="29">
        <f>View[[#This Row],[Estmated Revenue]]</f>
        <v>723.30799999999999</v>
      </c>
      <c r="K35" s="2">
        <f>_xlfn.XLOOKUP(View[[#This Row],[ID]],Opportunities[ID],Opportunities[Close])</f>
        <v>46255</v>
      </c>
      <c r="L35" s="25" t="str">
        <f>IF(_xlfn.XLOOKUP(View[[#This Row],[ID]],Opportunities[ID],Opportunities[Comment Log])=0,"",_xlfn.XLOOKUP(View[[#This Row],[ID]],Opportunities[ID],Opportunities[Comment Log]))</f>
        <v/>
      </c>
      <c r="M35">
        <v>32</v>
      </c>
      <c r="N35" s="3">
        <f ca="1">_xlfn.XLOOKUP(View[[#This Row],[ID]],Opportunities[ID],Opportunities[NextMilestoneDate])-TODAY()</f>
        <v>39</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5" s="1">
        <f>_xlfn.XLOOKUP(View[[#This Row],[ID]],Opportunities[ID],Opportunities[Weighted])/1000</f>
        <v>723.30799999999999</v>
      </c>
      <c r="Q35" s="4">
        <f>_xlfn.XLOOKUP(View[[#This Row],[ID]],Opportunities[ID],Opportunities[Amount])/1000</f>
        <v>1808.27</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Network Infrastructure Upgrade</v>
      </c>
      <c r="F36" s="50" t="str">
        <f>HYPERLINK(_xlfn.XLOOKUP(View[[#This Row],[ID]],Opportunities[ID],Opportunities[url]),_xlfn.XLOOKUP(View[[#This Row],[ID]],Opportunities[ID],Opportunities[Customer Name]))</f>
        <v>Global Industries</v>
      </c>
      <c r="G36" s="39" t="str">
        <f>_xlfn.XLOOKUP(View[[#This Row],[ID]],Opportunities[ID],Opportunities[DisplayStage])</f>
        <v>➀ - Lead Qualification</v>
      </c>
      <c r="H36" s="1">
        <f>IF(pipelineType="Unweighted",_xlfn.XLOOKUP(View[[#This Row],[ID]],Opportunities[ID],Opportunities[Amount])/1000,_xlfn.XLOOKUP(View[[#This Row],[ID]],Opportunities[ID],Opportunities[Weighted])/1000)</f>
        <v>1636.454</v>
      </c>
      <c r="I36" s="28" t="str">
        <f>_xlfn.XLOOKUP(View[[#This Row],[ID]],Opportunities[ID],Opportunities[WinProbDisplay])</f>
        <v>↙ Low</v>
      </c>
      <c r="J36" s="29">
        <f>View[[#This Row],[Estmated Revenue]]</f>
        <v>327.29080000000005</v>
      </c>
      <c r="K36" s="2">
        <f>_xlfn.XLOOKUP(View[[#This Row],[ID]],Opportunities[ID],Opportunities[Close])</f>
        <v>46266</v>
      </c>
      <c r="L36" s="25" t="str">
        <f>IF(_xlfn.XLOOKUP(View[[#This Row],[ID]],Opportunities[ID],Opportunities[Comment Log])=0,"",_xlfn.XLOOKUP(View[[#This Row],[ID]],Opportunities[ID],Opportunities[Comment Log]))</f>
        <v/>
      </c>
      <c r="M36">
        <v>7</v>
      </c>
      <c r="N36" s="3">
        <f ca="1">_xlfn.XLOOKUP(View[[#This Row],[ID]],Opportunities[ID],Opportunities[NextMilestoneDate])-TODAY()</f>
        <v>22</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327.29080000000005</v>
      </c>
      <c r="Q36" s="4">
        <f>_xlfn.XLOOKUP(View[[#This Row],[ID]],Opportunities[ID],Opportunities[Amount])/1000</f>
        <v>1636.454</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Healthcare Data Analytics Platform</v>
      </c>
      <c r="F37" s="50" t="str">
        <f>HYPERLINK(_xlfn.XLOOKUP(View[[#This Row],[ID]],Opportunities[ID],Opportunities[url]),_xlfn.XLOOKUP(View[[#This Row],[ID]],Opportunities[ID],Opportunities[Customer Name]))</f>
        <v>Security Solutions</v>
      </c>
      <c r="G37" s="39" t="str">
        <f>_xlfn.XLOOKUP(View[[#This Row],[ID]],Opportunities[ID],Opportunities[DisplayStage])</f>
        <v>➁ - Nurturing</v>
      </c>
      <c r="H37" s="1">
        <f>IF(pipelineType="Unweighted",_xlfn.XLOOKUP(View[[#This Row],[ID]],Opportunities[ID],Opportunities[Amount])/1000,_xlfn.XLOOKUP(View[[#This Row],[ID]],Opportunities[ID],Opportunities[Weighted])/1000)</f>
        <v>1541.0989999999999</v>
      </c>
      <c r="I37" s="28" t="str">
        <f>_xlfn.XLOOKUP(View[[#This Row],[ID]],Opportunities[ID],Opportunities[WinProbDisplay])</f>
        <v>← Medium</v>
      </c>
      <c r="J37" s="29">
        <f>View[[#This Row],[Estmated Revenue]]</f>
        <v>616.43959999999993</v>
      </c>
      <c r="K37" s="2">
        <f>_xlfn.XLOOKUP(View[[#This Row],[ID]],Opportunities[ID],Opportunities[Close])</f>
        <v>46280</v>
      </c>
      <c r="L37" s="25" t="str">
        <f>IF(_xlfn.XLOOKUP(View[[#This Row],[ID]],Opportunities[ID],Opportunities[Comment Log])=0,"",_xlfn.XLOOKUP(View[[#This Row],[ID]],Opportunities[ID],Opportunities[Comment Log]))</f>
        <v/>
      </c>
      <c r="M37">
        <v>5</v>
      </c>
      <c r="N37" s="3">
        <f ca="1">_xlfn.XLOOKUP(View[[#This Row],[ID]],Opportunities[ID],Opportunities[NextMilestoneDate])-TODAY()</f>
        <v>23</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616.43959999999993</v>
      </c>
      <c r="Q37" s="4">
        <f>_xlfn.XLOOKUP(View[[#This Row],[ID]],Opportunities[ID],Opportunities[Amount])/1000</f>
        <v>1541.0989999999999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Legacy System Modernization</v>
      </c>
      <c r="F38" s="50" t="str">
        <f>HYPERLINK(_xlfn.XLOOKUP(View[[#This Row],[ID]],Opportunities[ID],Opportunities[url]),_xlfn.XLOOKUP(View[[#This Row],[ID]],Opportunities[ID],Opportunities[Customer Name]))</f>
        <v>ACME Corporation</v>
      </c>
      <c r="G38" s="39" t="str">
        <f>_xlfn.XLOOKUP(View[[#This Row],[ID]],Opportunities[ID],Opportunities[DisplayStage])</f>
        <v>➀ - Lead Qualification</v>
      </c>
      <c r="H38" s="1">
        <f>IF(pipelineType="Unweighted",_xlfn.XLOOKUP(View[[#This Row],[ID]],Opportunities[ID],Opportunities[Amount])/1000,_xlfn.XLOOKUP(View[[#This Row],[ID]],Opportunities[ID],Opportunities[Weighted])/1000)</f>
        <v>1579.1559999999999</v>
      </c>
      <c r="I38" s="28" t="str">
        <f>_xlfn.XLOOKUP(View[[#This Row],[ID]],Opportunities[ID],Opportunities[WinProbDisplay])</f>
        <v>↖ High</v>
      </c>
      <c r="J38" s="29">
        <f>View[[#This Row],[Estmated Revenue]]</f>
        <v>1421.2404000000001</v>
      </c>
      <c r="K38" s="2">
        <f>_xlfn.XLOOKUP(View[[#This Row],[ID]],Opportunities[ID],Opportunities[Close])</f>
        <v>46309</v>
      </c>
      <c r="L38" s="25" t="str">
        <f>IF(_xlfn.XLOOKUP(View[[#This Row],[ID]],Opportunities[ID],Opportunities[Comment Log])=0,"",_xlfn.XLOOKUP(View[[#This Row],[ID]],Opportunities[ID],Opportunities[Comment Log]))</f>
        <v/>
      </c>
      <c r="M38">
        <v>38</v>
      </c>
      <c r="N38" s="3">
        <f ca="1">_xlfn.XLOOKUP(View[[#This Row],[ID]],Opportunities[ID],Opportunities[NextMilestoneDate])-TODAY()</f>
        <v>5</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8" s="1">
        <f>_xlfn.XLOOKUP(View[[#This Row],[ID]],Opportunities[ID],Opportunities[Weighted])/1000</f>
        <v>1421.2404000000001</v>
      </c>
      <c r="Q38" s="4">
        <f>_xlfn.XLOOKUP(View[[#This Row],[ID]],Opportunities[ID],Opportunities[Amount])/1000</f>
        <v>1579.1559999999999</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Workflow Automation Tool</v>
      </c>
      <c r="F39" s="50" t="str">
        <f>HYPERLINK(_xlfn.XLOOKUP(View[[#This Row],[ID]],Opportunities[ID],Opportunities[url]),_xlfn.XLOOKUP(View[[#This Row],[ID]],Opportunities[ID],Opportunities[Customer Name]))</f>
        <v>Insurance Specialists</v>
      </c>
      <c r="G39" s="39" t="str">
        <f>_xlfn.XLOOKUP(View[[#This Row],[ID]],Opportunities[ID],Opportunities[DisplayStage])</f>
        <v>➄ - Project Execution</v>
      </c>
      <c r="H39" s="1">
        <f>IF(pipelineType="Unweighted",_xlfn.XLOOKUP(View[[#This Row],[ID]],Opportunities[ID],Opportunities[Amount])/1000,_xlfn.XLOOKUP(View[[#This Row],[ID]],Opportunities[ID],Opportunities[Weighted])/1000)</f>
        <v>599.77499999999998</v>
      </c>
      <c r="I39" s="28" t="str">
        <f>_xlfn.XLOOKUP(View[[#This Row],[ID]],Opportunities[ID],Opportunities[WinProbDisplay])</f>
        <v>← Medium</v>
      </c>
      <c r="J39" s="29">
        <f>View[[#This Row],[Estmated Revenue]]</f>
        <v>239.91</v>
      </c>
      <c r="K39" s="2">
        <f>_xlfn.XLOOKUP(View[[#This Row],[ID]],Opportunities[ID],Opportunities[Close])</f>
        <v>46309</v>
      </c>
      <c r="L39" s="25" t="str">
        <f>IF(_xlfn.XLOOKUP(View[[#This Row],[ID]],Opportunities[ID],Opportunities[Comment Log])=0,"",_xlfn.XLOOKUP(View[[#This Row],[ID]],Opportunities[ID],Opportunities[Comment Log]))</f>
        <v/>
      </c>
      <c r="M39">
        <v>35</v>
      </c>
      <c r="N39" s="3">
        <f ca="1">_xlfn.XLOOKUP(View[[#This Row],[ID]],Opportunities[ID],Opportunities[NextMilestoneDate])-TODAY()</f>
        <v>13</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9" s="1">
        <f>_xlfn.XLOOKUP(View[[#This Row],[ID]],Opportunities[ID],Opportunities[Weighted])/1000</f>
        <v>239.91</v>
      </c>
      <c r="Q39" s="4">
        <f>_xlfn.XLOOKUP(View[[#This Row],[ID]],Opportunities[ID],Opportunities[Amount])/1000</f>
        <v>599.77499999999998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50" t="str">
        <f>HYPERLINK(_xlfn.XLOOKUP(View[[#This Row],[ID]],Opportunities[ID],Opportunities[url]),_xlfn.XLOOKUP(View[[#This Row],[ID]],Opportunities[ID],Opportunities[Customer Name]))</f>
        <v>Global Industries</v>
      </c>
      <c r="G40" s="39" t="str">
        <f>_xlfn.XLOOKUP(View[[#This Row],[ID]],Opportunities[ID],Opportunities[DisplayStage])</f>
        <v>➄ - Project Execution</v>
      </c>
      <c r="H40" s="1">
        <f>IF(pipelineType="Unweighted",_xlfn.XLOOKUP(View[[#This Row],[ID]],Opportunities[ID],Opportunities[Amount])/1000,_xlfn.XLOOKUP(View[[#This Row],[ID]],Opportunities[ID],Opportunities[Weighted])/1000)</f>
        <v>1698.5060000000001</v>
      </c>
      <c r="I40" s="28" t="str">
        <f>_xlfn.XLOOKUP(View[[#This Row],[ID]],Opportunities[ID],Opportunities[WinProbDisplay])</f>
        <v>↖ High</v>
      </c>
      <c r="J40" s="29">
        <f>View[[#This Row],[Estmated Revenue]]</f>
        <v>1528.6554000000001</v>
      </c>
      <c r="K40" s="2">
        <f>_xlfn.XLOOKUP(View[[#This Row],[ID]],Opportunities[ID],Opportunities[Close])</f>
        <v>46324</v>
      </c>
      <c r="L40" s="25" t="str">
        <f>IF(_xlfn.XLOOKUP(View[[#This Row],[ID]],Opportunities[ID],Opportunities[Comment Log])=0,"",_xlfn.XLOOKUP(View[[#This Row],[ID]],Opportunities[ID],Opportunities[Comment Log]))</f>
        <v/>
      </c>
      <c r="M40">
        <v>22</v>
      </c>
      <c r="N40" s="3">
        <f ca="1">_xlfn.XLOOKUP(View[[#This Row],[ID]],Opportunities[ID],Opportunities[NextMilestoneDate])-TODAY()</f>
        <v>17</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0" s="1">
        <f>_xlfn.XLOOKUP(View[[#This Row],[ID]],Opportunities[ID],Opportunities[Weighted])/1000</f>
        <v>1528.6554000000001</v>
      </c>
      <c r="Q40" s="4">
        <f>_xlfn.XLOOKUP(View[[#This Row],[ID]],Opportunities[ID],Opportunities[Amount])/1000</f>
        <v>1698.5060000000001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Website Redesign Project</v>
      </c>
      <c r="F41" s="50" t="str">
        <f>HYPERLINK(_xlfn.XLOOKUP(View[[#This Row],[ID]],Opportunities[ID],Opportunities[url]),_xlfn.XLOOKUP(View[[#This Row],[ID]],Opportunities[ID],Opportunities[Customer Name]))</f>
        <v>Transport Logistics</v>
      </c>
      <c r="G41" s="39" t="str">
        <f>_xlfn.XLOOKUP(View[[#This Row],[ID]],Opportunities[ID],Opportunities[DisplayStage])</f>
        <v>➁ - Nurturing</v>
      </c>
      <c r="H41" s="1">
        <f>IF(pipelineType="Unweighted",_xlfn.XLOOKUP(View[[#This Row],[ID]],Opportunities[ID],Opportunities[Amount])/1000,_xlfn.XLOOKUP(View[[#This Row],[ID]],Opportunities[ID],Opportunities[Weighted])/1000)</f>
        <v>1099.635</v>
      </c>
      <c r="I41" s="28" t="str">
        <f>_xlfn.XLOOKUP(View[[#This Row],[ID]],Opportunities[ID],Opportunities[WinProbDisplay])</f>
        <v>↖ High</v>
      </c>
      <c r="J41" s="29">
        <f>View[[#This Row],[Estmated Revenue]]</f>
        <v>989.67150000000004</v>
      </c>
      <c r="K41" s="2">
        <f>_xlfn.XLOOKUP(View[[#This Row],[ID]],Opportunities[ID],Opportunities[Close])</f>
        <v>46336</v>
      </c>
      <c r="L41" s="25" t="str">
        <f>IF(_xlfn.XLOOKUP(View[[#This Row],[ID]],Opportunities[ID],Opportunities[Comment Log])=0,"",_xlfn.XLOOKUP(View[[#This Row],[ID]],Opportunities[ID],Opportunities[Comment Log]))</f>
        <v/>
      </c>
      <c r="M41">
        <v>28</v>
      </c>
      <c r="N41" s="3">
        <f ca="1">_xlfn.XLOOKUP(View[[#This Row],[ID]],Opportunities[ID],Opportunities[NextMilestoneDate])-TODAY()</f>
        <v>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1" s="1">
        <f>_xlfn.XLOOKUP(View[[#This Row],[ID]],Opportunities[ID],Opportunities[Weighted])/1000</f>
        <v>989.67150000000004</v>
      </c>
      <c r="Q41" s="4">
        <f>_xlfn.XLOOKUP(View[[#This Row],[ID]],Opportunities[ID],Opportunities[Amount])/1000</f>
        <v>1099.635</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Security Assessment &amp; Audit</v>
      </c>
      <c r="F42" s="50" t="str">
        <f>HYPERLINK(_xlfn.XLOOKUP(View[[#This Row],[ID]],Opportunities[ID],Opportunities[url]),_xlfn.XLOOKUP(View[[#This Row],[ID]],Opportunities[ID],Opportunities[Customer Name]))</f>
        <v>Textile Manufacturing</v>
      </c>
      <c r="G42" s="39" t="str">
        <f>_xlfn.XLOOKUP(View[[#This Row],[ID]],Opportunities[ID],Opportunities[DisplayStage])</f>
        <v>➄ - Project Execution</v>
      </c>
      <c r="H42" s="1">
        <f>IF(pipelineType="Unweighted",_xlfn.XLOOKUP(View[[#This Row],[ID]],Opportunities[ID],Opportunities[Amount])/1000,_xlfn.XLOOKUP(View[[#This Row],[ID]],Opportunities[ID],Opportunities[Weighted])/1000)</f>
        <v>1447.4190000000001</v>
      </c>
      <c r="I42" s="28" t="str">
        <f>_xlfn.XLOOKUP(View[[#This Row],[ID]],Opportunities[ID],Opportunities[WinProbDisplay])</f>
        <v>↖ High</v>
      </c>
      <c r="J42" s="29">
        <f>View[[#This Row],[Estmated Revenue]]</f>
        <v>1302.6771000000001</v>
      </c>
      <c r="K42" s="2">
        <f>_xlfn.XLOOKUP(View[[#This Row],[ID]],Opportunities[ID],Opportunities[Close])</f>
        <v>46336</v>
      </c>
      <c r="L42" s="25" t="str">
        <f>IF(_xlfn.XLOOKUP(View[[#This Row],[ID]],Opportunities[ID],Opportunities[Comment Log])=0,"",_xlfn.XLOOKUP(View[[#This Row],[ID]],Opportunities[ID],Opportunities[Comment Log]))</f>
        <v/>
      </c>
      <c r="M42">
        <v>3</v>
      </c>
      <c r="N42" s="3">
        <f ca="1">_xlfn.XLOOKUP(View[[#This Row],[ID]],Opportunities[ID],Opportunities[NextMilestoneDate])-TODAY()</f>
        <v>22</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1302.6771000000001</v>
      </c>
      <c r="Q42" s="4">
        <f>_xlfn.XLOOKUP(View[[#This Row],[ID]],Opportunities[ID],Opportunities[Amount])/1000</f>
        <v>1447.4190000000001</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Machine Learning Implementation</v>
      </c>
      <c r="F43" s="50" t="str">
        <f>HYPERLINK(_xlfn.XLOOKUP(View[[#This Row],[ID]],Opportunities[ID],Opportunities[url]),_xlfn.XLOOKUP(View[[#This Row],[ID]],Opportunities[ID],Opportunities[Customer Name]))</f>
        <v>Tech Solutions Inc</v>
      </c>
      <c r="G43" s="39" t="str">
        <f>_xlfn.XLOOKUP(View[[#This Row],[ID]],Opportunities[ID],Opportunities[DisplayStage])</f>
        <v>➁ - Nurturing</v>
      </c>
      <c r="H43" s="1">
        <f>IF(pipelineType="Unweighted",_xlfn.XLOOKUP(View[[#This Row],[ID]],Opportunities[ID],Opportunities[Amount])/1000,_xlfn.XLOOKUP(View[[#This Row],[ID]],Opportunities[ID],Opportunities[Weighted])/1000)</f>
        <v>1291.8979999999999</v>
      </c>
      <c r="I43" s="28" t="str">
        <f>_xlfn.XLOOKUP(View[[#This Row],[ID]],Opportunities[ID],Opportunities[WinProbDisplay])</f>
        <v>↙ Low</v>
      </c>
      <c r="J43" s="29">
        <f>View[[#This Row],[Estmated Revenue]]</f>
        <v>258.37959999999998</v>
      </c>
      <c r="K43" s="2">
        <f>_xlfn.XLOOKUP(View[[#This Row],[ID]],Opportunities[ID],Opportunities[Close])</f>
        <v>46372</v>
      </c>
      <c r="L43" s="25" t="str">
        <f>IF(_xlfn.XLOOKUP(View[[#This Row],[ID]],Opportunities[ID],Opportunities[Comment Log])=0,"",_xlfn.XLOOKUP(View[[#This Row],[ID]],Opportunities[ID],Opportunities[Comment Log]))</f>
        <v/>
      </c>
      <c r="M43">
        <v>40</v>
      </c>
      <c r="N43" s="3">
        <f ca="1">_xlfn.XLOOKUP(View[[#This Row],[ID]],Opportunities[ID],Opportunities[NextMilestoneDate])-TODAY()</f>
        <v>16</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258.37959999999998</v>
      </c>
      <c r="Q43" s="4">
        <f>_xlfn.XLOOKUP(View[[#This Row],[ID]],Opportunities[ID],Opportunities[Amount])/1000</f>
        <v>1291.8979999999999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Cloud Migration Initiative</v>
      </c>
      <c r="F44" s="50" t="str">
        <f>HYPERLINK(_xlfn.XLOOKUP(View[[#This Row],[ID]],Opportunities[ID],Opportunities[url]),_xlfn.XLOOKUP(View[[#This Row],[ID]],Opportunities[ID],Opportunities[Customer Name]))</f>
        <v>Construction Dynamics</v>
      </c>
      <c r="G44" s="39" t="str">
        <f>_xlfn.XLOOKUP(View[[#This Row],[ID]],Opportunities[ID],Opportunities[DisplayStage])</f>
        <v>➂ - Proposal</v>
      </c>
      <c r="H44" s="1">
        <f>IF(pipelineType="Unweighted",_xlfn.XLOOKUP(View[[#This Row],[ID]],Opportunities[ID],Opportunities[Amount])/1000,_xlfn.XLOOKUP(View[[#This Row],[ID]],Opportunities[ID],Opportunities[Weighted])/1000)</f>
        <v>1002.795</v>
      </c>
      <c r="I44" s="28" t="str">
        <f>_xlfn.XLOOKUP(View[[#This Row],[ID]],Opportunities[ID],Opportunities[WinProbDisplay])</f>
        <v>↙ Low</v>
      </c>
      <c r="J44" s="29">
        <f>View[[#This Row],[Estmated Revenue]]</f>
        <v>200.559</v>
      </c>
      <c r="K44" s="2">
        <f>_xlfn.XLOOKUP(View[[#This Row],[ID]],Opportunities[ID],Opportunities[Close])</f>
        <v>46381</v>
      </c>
      <c r="L44" s="25" t="str">
        <f>IF(_xlfn.XLOOKUP(View[[#This Row],[ID]],Opportunities[ID],Opportunities[Comment Log])=0,"",_xlfn.XLOOKUP(View[[#This Row],[ID]],Opportunities[ID],Opportunities[Comment Log]))</f>
        <v/>
      </c>
      <c r="M44">
        <v>2</v>
      </c>
      <c r="N44" s="3">
        <f ca="1">_xlfn.XLOOKUP(View[[#This Row],[ID]],Opportunities[ID],Opportunities[NextMilestoneDate])-TODAY()</f>
        <v>43</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200.559</v>
      </c>
      <c r="Q44" s="4">
        <f>_xlfn.XLOOKUP(View[[#This Row],[ID]],Opportunities[ID],Opportunities[Amount])/1000</f>
        <v>1002.795</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Integration Services Project</v>
      </c>
      <c r="F45" s="50" t="str">
        <f>HYPERLINK(_xlfn.XLOOKUP(View[[#This Row],[ID]],Opportunities[ID],Opportunities[url]),_xlfn.XLOOKUP(View[[#This Row],[ID]],Opportunities[ID],Opportunities[Customer Name]))</f>
        <v>Telecommunications Inc</v>
      </c>
      <c r="G45" s="39" t="str">
        <f>_xlfn.XLOOKUP(View[[#This Row],[ID]],Opportunities[ID],Opportunities[DisplayStage])</f>
        <v>➁ - Nurturing</v>
      </c>
      <c r="H45" s="1">
        <f>IF(pipelineType="Unweighted",_xlfn.XLOOKUP(View[[#This Row],[ID]],Opportunities[ID],Opportunities[Amount])/1000,_xlfn.XLOOKUP(View[[#This Row],[ID]],Opportunities[ID],Opportunities[Weighted])/1000)</f>
        <v>1969.2739999999999</v>
      </c>
      <c r="I45" s="28" t="str">
        <f>_xlfn.XLOOKUP(View[[#This Row],[ID]],Opportunities[ID],Opportunities[WinProbDisplay])</f>
        <v>← Medium</v>
      </c>
      <c r="J45" s="29">
        <f>View[[#This Row],[Estmated Revenue]]</f>
        <v>787.70960000000014</v>
      </c>
      <c r="K45" s="2">
        <f>_xlfn.XLOOKUP(View[[#This Row],[ID]],Opportunities[ID],Opportunities[Close])</f>
        <v>46386</v>
      </c>
      <c r="L45" s="25" t="str">
        <f>IF(_xlfn.XLOOKUP(View[[#This Row],[ID]],Opportunities[ID],Opportunities[Comment Log])=0,"",_xlfn.XLOOKUP(View[[#This Row],[ID]],Opportunities[ID],Opportunities[Comment Log]))</f>
        <v/>
      </c>
      <c r="M45">
        <v>36</v>
      </c>
      <c r="N45" s="3">
        <f ca="1">_xlfn.XLOOKUP(View[[#This Row],[ID]],Opportunities[ID],Opportunities[NextMilestoneDate])-TODAY()</f>
        <v>49</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787.70960000000014</v>
      </c>
      <c r="Q45" s="4">
        <f>_xlfn.XLOOKUP(View[[#This Row],[ID]],Opportunities[ID],Opportunities[Amount])/1000</f>
        <v>1969.2739999999999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CRM System Upgrade</v>
      </c>
      <c r="F46" s="50" t="str">
        <f>HYPERLINK(_xlfn.XLOOKUP(View[[#This Row],[ID]],Opportunities[ID],Opportunities[url]),_xlfn.XLOOKUP(View[[#This Row],[ID]],Opportunities[ID],Opportunities[Customer Name]))</f>
        <v>ACME Corporation</v>
      </c>
      <c r="G46" s="39" t="str">
        <f>_xlfn.XLOOKUP(View[[#This Row],[ID]],Opportunities[ID],Opportunities[DisplayStage])</f>
        <v>➂ - Proposal</v>
      </c>
      <c r="H46" s="1">
        <f>IF(pipelineType="Unweighted",_xlfn.XLOOKUP(View[[#This Row],[ID]],Opportunities[ID],Opportunities[Amount])/1000,_xlfn.XLOOKUP(View[[#This Row],[ID]],Opportunities[ID],Opportunities[Weighted])/1000)</f>
        <v>1104.873</v>
      </c>
      <c r="I46" s="28" t="str">
        <f>_xlfn.XLOOKUP(View[[#This Row],[ID]],Opportunities[ID],Opportunities[WinProbDisplay])</f>
        <v>↙ Low</v>
      </c>
      <c r="J46" s="29">
        <f>View[[#This Row],[Estmated Revenue]]</f>
        <v>220.97460000000001</v>
      </c>
      <c r="K46" s="2">
        <f>_xlfn.XLOOKUP(View[[#This Row],[ID]],Opportunities[ID],Opportunities[Close])</f>
        <v>46386</v>
      </c>
      <c r="L46" s="25" t="str">
        <f>IF(_xlfn.XLOOKUP(View[[#This Row],[ID]],Opportunities[ID],Opportunities[Comment Log])=0,"",_xlfn.XLOOKUP(View[[#This Row],[ID]],Opportunities[ID],Opportunities[Comment Log]))</f>
        <v/>
      </c>
      <c r="M46">
        <v>21</v>
      </c>
      <c r="N46" s="3">
        <f ca="1">_xlfn.XLOOKUP(View[[#This Row],[ID]],Opportunities[ID],Opportunities[NextMilestoneDate])-TODAY()</f>
        <v>22</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220.97460000000001</v>
      </c>
      <c r="Q46" s="4">
        <f>_xlfn.XLOOKUP(View[[#This Row],[ID]],Opportunities[ID],Opportunities[Amount])/1000</f>
        <v>1104.873</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Safety Management System</v>
      </c>
      <c r="F47" s="50" t="str">
        <f>HYPERLINK(_xlfn.XLOOKUP(View[[#This Row],[ID]],Opportunities[ID],Opportunities[url]),_xlfn.XLOOKUP(View[[#This Row],[ID]],Opportunities[ID],Opportunities[Customer Name]))</f>
        <v>Professional Services Group</v>
      </c>
      <c r="G47" s="39" t="str">
        <f>_xlfn.XLOOKUP(View[[#This Row],[ID]],Opportunities[ID],Opportunities[DisplayStage])</f>
        <v>➃ - Negotiation</v>
      </c>
      <c r="H47" s="1">
        <f>IF(pipelineType="Unweighted",_xlfn.XLOOKUP(View[[#This Row],[ID]],Opportunities[ID],Opportunities[Amount])/1000,_xlfn.XLOOKUP(View[[#This Row],[ID]],Opportunities[ID],Opportunities[Weighted])/1000)</f>
        <v>482.03300000000002</v>
      </c>
      <c r="I47" s="28" t="str">
        <f>_xlfn.XLOOKUP(View[[#This Row],[ID]],Opportunities[ID],Opportunities[WinProbDisplay])</f>
        <v>← Medium</v>
      </c>
      <c r="J47" s="29">
        <f>View[[#This Row],[Estmated Revenue]]</f>
        <v>192.81320000000002</v>
      </c>
      <c r="K47" s="2">
        <f>_xlfn.XLOOKUP(View[[#This Row],[ID]],Opportunities[ID],Opportunities[Close])</f>
        <v>46387</v>
      </c>
      <c r="L47" s="25" t="str">
        <f>IF(_xlfn.XLOOKUP(View[[#This Row],[ID]],Opportunities[ID],Opportunities[Comment Log])=0,"",_xlfn.XLOOKUP(View[[#This Row],[ID]],Opportunities[ID],Opportunities[Comment Log]))</f>
        <v/>
      </c>
      <c r="M47">
        <v>33</v>
      </c>
      <c r="N47" s="3">
        <f ca="1">_xlfn.XLOOKUP(View[[#This Row],[ID]],Opportunities[ID],Opportunities[NextMilestoneDate])-TODAY()</f>
        <v>55</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192.81320000000002</v>
      </c>
      <c r="Q47" s="4">
        <f>_xlfn.XLOOKUP(View[[#This Row],[ID]],Opportunities[ID],Opportunities[Amount])/1000</f>
        <v>482.03300000000002</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abSelected="1" workbookViewId="0">
      <selection activeCell="J3" sqref="J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431</v>
      </c>
      <c r="C1" s="20" t="s">
        <v>48</v>
      </c>
      <c r="D1" s="31">
        <v>45839</v>
      </c>
      <c r="G1" s="20" t="s">
        <v>50</v>
      </c>
      <c r="H1" s="32" t="s">
        <v>51</v>
      </c>
      <c r="J1" s="52" t="s">
        <v>434</v>
      </c>
      <c r="K1" s="47" t="s">
        <v>432</v>
      </c>
    </row>
    <row r="2" spans="1:19" x14ac:dyDescent="0.25">
      <c r="A2" s="51" t="str">
        <f>HYPERLINK("https://github.com/pgaljan/funneler/blob/main/docs/manual-deploy.md","Citizen Developer Guide")</f>
        <v>Citizen Developer Guide</v>
      </c>
      <c r="G2" s="20" t="s">
        <v>148</v>
      </c>
      <c r="H2" s="30" t="s">
        <v>398</v>
      </c>
      <c r="J2" s="53" t="s">
        <v>444</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crmCustomers</v>
      </c>
      <c r="J3" s="53" t="s">
        <v>435</v>
      </c>
      <c r="K3" s="48" t="str" cm="1">
        <f t="array" ref="K3">"./Deploy-Lists.ps1"&amp; psAftermetter</f>
        <v>./Deploy-Lists.ps1 -SiteUrl "https://cleansheet5.sharepoint.com/sites/SalesFunnel/" -ListPrefix "crm"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crmOpportunities</v>
      </c>
      <c r="K4" s="48" t="str" cm="1">
        <f t="array" ref="K4">"./Set-Required-Fields.ps1" &amp;psAftermetter</f>
        <v>./Set-Required-Fields.ps1 -SiteUrl "https://cleansheet5.sharepoint.com/sites/SalesFunnel/" -ListPrefix "crm"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"crm"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"crm" -ClientId "4f2cadf3-cdfe-4c73-819d-6e8141ad5b51"</v>
      </c>
    </row>
    <row r="7" spans="1:19" x14ac:dyDescent="0.25">
      <c r="A7" s="39"/>
      <c r="K7" s="47" t="s">
        <v>433</v>
      </c>
    </row>
    <row r="8" spans="1:19" x14ac:dyDescent="0.25">
      <c r="A8" s="39"/>
      <c r="K8" s="48" t="str" cm="1">
        <f t="array" ref="K8">"./Audit-List-Security.ps1"&amp;psAftermetter</f>
        <v>./Audit-List-Security.ps1 -SiteUrl "https://cleansheet5.sharepoint.com/sites/SalesFunnel/" -ListPrefix "crm" -ClientId "4f2cadf3-cdfe-4c73-819d-6e8141ad5b51"</v>
      </c>
    </row>
    <row r="9" spans="1:19" x14ac:dyDescent="0.25">
      <c r="K9" s="48" t="str" cm="1">
        <f t="array" ref="K9">"./Delete-Lists.ps1"&amp;psAftermetter</f>
        <v>./Delete-Lists.ps1 -SiteUrl "https://cleansheet5.sharepoint.com/sites/SalesFunnel/" -ListPrefix "crm" -ClientId "4f2cadf3-cdfe-4c73-819d-6e8141ad5b51"</v>
      </c>
    </row>
    <row r="11" spans="1:19" x14ac:dyDescent="0.25">
      <c r="I11" s="34"/>
    </row>
    <row r="12" spans="1:19" x14ac:dyDescent="0.25">
      <c r="I12" s="34"/>
      <c r="P12" s="12" t="s">
        <v>33</v>
      </c>
      <c r="Q12" s="12" t="s">
        <v>437</v>
      </c>
      <c r="R12" s="12" t="s">
        <v>91</v>
      </c>
      <c r="S12" s="12" t="s">
        <v>382</v>
      </c>
    </row>
    <row r="13" spans="1:19" ht="20.25" x14ac:dyDescent="0.3">
      <c r="I13" s="34"/>
      <c r="P13" s="34">
        <v>1</v>
      </c>
      <c r="Q13" s="54" t="s">
        <v>438</v>
      </c>
      <c r="R13" s="34" t="s">
        <v>20</v>
      </c>
      <c r="S13" s="34" t="str">
        <f>stage[[#This Row],[Symbol]]&amp;" - "&amp;stage[[#This Row],[Stage Name]]</f>
        <v>➀ - Lead Qualification</v>
      </c>
    </row>
    <row r="14" spans="1:19" ht="20.25" x14ac:dyDescent="0.3">
      <c r="I14" s="34"/>
      <c r="P14" s="34">
        <v>2</v>
      </c>
      <c r="Q14" s="54" t="s">
        <v>439</v>
      </c>
      <c r="R14" s="34" t="s">
        <v>23</v>
      </c>
      <c r="S14" s="34" t="str">
        <f>stage[[#This Row],[Symbol]]&amp;" - "&amp;stage[[#This Row],[Stage Name]]</f>
        <v>➁ - Nurturing</v>
      </c>
    </row>
    <row r="15" spans="1:19" ht="20.25" x14ac:dyDescent="0.3">
      <c r="H15" s="34"/>
      <c r="P15" s="34">
        <v>3</v>
      </c>
      <c r="Q15" s="54" t="s">
        <v>440</v>
      </c>
      <c r="R15" s="34" t="s">
        <v>22</v>
      </c>
      <c r="S15" s="34" t="str">
        <f>stage[[#This Row],[Symbol]]&amp;" - "&amp;stage[[#This Row],[Stage Name]]</f>
        <v>➂ - Proposal</v>
      </c>
    </row>
    <row r="16" spans="1:19" ht="20.25" x14ac:dyDescent="0.3">
      <c r="H16" s="34"/>
      <c r="P16" s="34">
        <v>4</v>
      </c>
      <c r="Q16" s="54" t="s">
        <v>441</v>
      </c>
      <c r="R16" s="34" t="s">
        <v>18</v>
      </c>
      <c r="S16" s="34" t="str">
        <f>stage[[#This Row],[Symbol]]&amp;" - "&amp;stage[[#This Row],[Stage Name]]</f>
        <v>➃ - Negotiation</v>
      </c>
    </row>
    <row r="17" spans="16:19" ht="20.25" x14ac:dyDescent="0.3">
      <c r="P17" s="34">
        <v>5</v>
      </c>
      <c r="Q17" s="54" t="s">
        <v>442</v>
      </c>
      <c r="R17" s="34" t="s">
        <v>21</v>
      </c>
      <c r="S17" s="34" t="str">
        <f>stage[[#This Row],[Symbol]]&amp;" - "&amp;stage[[#This Row],[Stage Name]]</f>
        <v>➄ - Project Execution</v>
      </c>
    </row>
    <row r="18" spans="16:19" ht="20.25" x14ac:dyDescent="0.3">
      <c r="P18" s="34">
        <v>6</v>
      </c>
      <c r="Q18" s="54" t="s">
        <v>443</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A41"/>
  <sheetViews>
    <sheetView topLeftCell="O1" zoomScale="85" zoomScaleNormal="85" workbookViewId="0">
      <selection activeCell="AA6" sqref="AA6"/>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7109375"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17.85546875" bestFit="1" customWidth="1"/>
    <col min="27" max="27" width="17.7109375"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27"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436</v>
      </c>
      <c r="AA1" t="s">
        <v>28</v>
      </c>
    </row>
    <row r="2" spans="1:27" x14ac:dyDescent="0.25">
      <c r="A2">
        <v>1</v>
      </c>
      <c r="B2" t="s">
        <v>96</v>
      </c>
      <c r="C2" t="s">
        <v>19</v>
      </c>
      <c r="D2" t="s">
        <v>18</v>
      </c>
      <c r="E2">
        <v>2083097</v>
      </c>
      <c r="F2" t="s">
        <v>87</v>
      </c>
      <c r="G2" s="41">
        <v>46150</v>
      </c>
      <c r="H2" s="41">
        <v>45919</v>
      </c>
      <c r="I2" t="s">
        <v>101</v>
      </c>
      <c r="J2">
        <v>25</v>
      </c>
      <c r="K2" t="s">
        <v>399</v>
      </c>
      <c r="L2" t="s">
        <v>109</v>
      </c>
      <c r="M2" t="str">
        <f>" FY"&amp;RIGHT(IF(MONTH(Opportunities[[#This Row],[Close]])&gt;=7,YEAR(Opportunities[[#This Row],[Close]])+1,YEAR(Opportunities[[#This Row],[Close]])),2)&amp;"-Q"&amp;IF(MONTH(Opportunities[[#This Row],[Close]])&gt;=7,CEILING((MONTH(Opportunities[[#This Row],[Close]])-6)/3,1),CEILING((MONTH(Opportunities[[#This Row],[Close]])+6)/3,1))</f>
        <v xml:space="preserve"> FY26-Q4</v>
      </c>
      <c r="N2" t="str">
        <f>"CY"&amp;RIGHT(YEAR(Opportunities[[#This Row],[Close]]),2)&amp;"-Q"&amp;ROUNDUP(MONTH(Opportunities[[#This Row],[Close]])/3, 0)</f>
        <v>CY26-Q2</v>
      </c>
      <c r="O2" t="str">
        <f>siteUrl&amp;"/Lists/"&amp;oppList&amp;"/DispForm.aspx?ID="&amp;Opportunities[[#This Row],[ID]]</f>
        <v>https://cleansheet5.sharepoint.com/sites/SalesFunnel//Lists/crmOpportunities/DispForm.aspx?ID=1</v>
      </c>
      <c r="P2">
        <f>_xlfn.XLOOKUP(Opportunities[[#This Row],[Stage]],stage[Stage Name],stage[Index],"")</f>
        <v>4</v>
      </c>
      <c r="Q2" t="str">
        <f>_xlfn.XLOOKUP(Opportunities[[#This Row],[StageNumber]],stage[Index],stage[Display])</f>
        <v>➃ - Negotiation</v>
      </c>
      <c r="R2">
        <f>Opportunities[[#This Row],[Amount]]*_xlfn.XLOOKUP(Opportunities[[#This Row],[Probability]],prob[Win Probability],prob[Value])</f>
        <v>833238.8</v>
      </c>
      <c r="S2" t="str" cm="1">
        <f t="array" ref="S2">_xlfn.SWITCH(Opportunities[[#This Row],[Status]],"At Risk","⚠","Active","✓","⮾")</f>
        <v>✓</v>
      </c>
      <c r="T2" t="str">
        <f>_xlfn.XLOOKUP(Opportunities[[#This Row],[CustomerId]],Customers[Id],Customers[Customer Name])</f>
        <v>Chemical Processing</v>
      </c>
      <c r="U2" t="str">
        <f>_xlfn.XLOOKUP(Opportunities[[#This Row],[CustomerId]],Customers[Id],Customers[Url])</f>
        <v>https://chemicalprocessing.com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(ERP Implementation Project)
 $2.1m • Negotiation • Owner: Dr. Tech Advisor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 t="str" cm="1">
        <f t="array" ref="Z2">_xlfn.SWITCH(Opportunities[[#This Row],[Probability]],"High","↖","Medium","←","Low","↙")&amp;" " &amp;Opportunities[[#This Row],[Probability]]</f>
        <v>← Medium</v>
      </c>
      <c r="AA2" s="55" t="b">
        <f>Opportunities[[#This Row],[WinProbDisplay]]="↖ High"</f>
        <v>0</v>
      </c>
    </row>
    <row r="3" spans="1:27" x14ac:dyDescent="0.25">
      <c r="A3">
        <v>2</v>
      </c>
      <c r="B3" t="s">
        <v>99</v>
      </c>
      <c r="C3" t="s">
        <v>25</v>
      </c>
      <c r="D3" t="s">
        <v>22</v>
      </c>
      <c r="E3">
        <v>1002795</v>
      </c>
      <c r="F3" t="s">
        <v>89</v>
      </c>
      <c r="G3" s="41">
        <v>46381</v>
      </c>
      <c r="H3" s="41">
        <v>45923</v>
      </c>
      <c r="I3" t="s">
        <v>151</v>
      </c>
      <c r="J3">
        <v>9</v>
      </c>
      <c r="L3" t="s">
        <v>106</v>
      </c>
      <c r="M3" t="str">
        <f>" FY"&amp;RIGHT(IF(MONTH(Opportunities[[#This Row],[Close]])&gt;=7,YEAR(Opportunities[[#This Row],[Close]])+1,YEAR(Opportunities[[#This Row],[Close]])),2)&amp;"-Q"&amp;IF(MONTH(Opportunities[[#This Row],[Close]])&gt;=7,CEILING((MONTH(Opportunities[[#This Row],[Close]])-6)/3,1),CEILING((MONTH(Opportunities[[#This Row],[Close]])+6)/3,1))</f>
        <v xml:space="preserve"> FY27-Q2</v>
      </c>
      <c r="N3" t="str">
        <f>"CY"&amp;RIGHT(YEAR(Opportunities[[#This Row],[Close]]),2)&amp;"-Q"&amp;ROUNDUP(MONTH(Opportunities[[#This Row],[Close]])/3, 0)</f>
        <v>CY26-Q4</v>
      </c>
      <c r="O3" t="str">
        <f>siteUrl&amp;"/Lists/"&amp;oppList&amp;"/DispForm.aspx?ID="&amp;Opportunities[[#This Row],[ID]]</f>
        <v>https://cleansheet5.sharepoint.com/sites/SalesFunnel//Lists/crmOpportunities/DispForm.aspx?ID=2</v>
      </c>
      <c r="P3">
        <f>_xlfn.XLOOKUP(Opportunities[[#This Row],[Stage]],stage[Stage Name],stage[Index],"")</f>
        <v>3</v>
      </c>
      <c r="Q3" t="str">
        <f>_xlfn.XLOOKUP(Opportunities[[#This Row],[StageNumber]],stage[Index],stage[Display])</f>
        <v>➂ - Proposal</v>
      </c>
      <c r="R3">
        <f>Opportunities[[#This Row],[Amount]]*_xlfn.XLOOKUP(Opportunities[[#This Row],[Probability]],prob[Win Probability],prob[Value])</f>
        <v>200559</v>
      </c>
      <c r="S3" t="str" cm="1">
        <f t="array" ref="S3">_xlfn.SWITCH(Opportunities[[#This Row],[Status]],"At Risk","⚠","Active","✓","⮾")</f>
        <v>⮾</v>
      </c>
      <c r="T3" t="str">
        <f>_xlfn.XLOOKUP(Opportunities[[#This Row],[CustomerId]],Customers[Id],Customers[Customer Name])</f>
        <v>Construction Dynamics</v>
      </c>
      <c r="U3" t="str">
        <f>_xlfn.XLOOKUP(Opportunities[[#This Row],[CustomerId]],Customers[Id],Customers[Url])</f>
        <v>https://constructiondynamics.com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(Cloud Migration Initiative)
 $1.0m • Proposal • Owner: Lisa Engineer</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 t="str" cm="1">
        <f t="array" ref="Z3">_xlfn.SWITCH(Opportunities[[#This Row],[Probability]],"High","↖","Medium","←","Low","↙")&amp;" " &amp;Opportunities[[#This Row],[Probability]]</f>
        <v>↙ Low</v>
      </c>
      <c r="AA3" s="55" t="b">
        <f>Opportunities[[#This Row],[WinProbDisplay]]="↖ High"</f>
        <v>0</v>
      </c>
    </row>
    <row r="4" spans="1:27" x14ac:dyDescent="0.25">
      <c r="A4">
        <v>3</v>
      </c>
      <c r="B4" t="s">
        <v>102</v>
      </c>
      <c r="C4" t="s">
        <v>19</v>
      </c>
      <c r="D4" t="s">
        <v>21</v>
      </c>
      <c r="E4">
        <v>1447419</v>
      </c>
      <c r="F4" t="s">
        <v>88</v>
      </c>
      <c r="G4" s="41">
        <v>46336</v>
      </c>
      <c r="H4" s="41">
        <v>45902</v>
      </c>
      <c r="I4" t="s">
        <v>104</v>
      </c>
      <c r="J4">
        <v>21</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FY27-Q2</v>
      </c>
      <c r="N4" t="str">
        <f>"CY"&amp;RIGHT(YEAR(Opportunities[[#This Row],[Close]]),2)&amp;"-Q"&amp;ROUNDUP(MONTH(Opportunities[[#This Row],[Close]])/3, 0)</f>
        <v>CY26-Q4</v>
      </c>
      <c r="O4" t="str">
        <f>siteUrl&amp;"/Lists/"&amp;oppList&amp;"/DispForm.aspx?ID="&amp;Opportunities[[#This Row],[ID]]</f>
        <v>https://cleansheet5.sharepoint.com/sites/SalesFunnel//Lists/crmOpportunities/DispForm.aspx?ID=3</v>
      </c>
      <c r="P4">
        <f>_xlfn.XLOOKUP(Opportunities[[#This Row],[Stage]],stage[Stage Name],stage[Index],"")</f>
        <v>5</v>
      </c>
      <c r="Q4" t="str">
        <f>_xlfn.XLOOKUP(Opportunities[[#This Row],[StageNumber]],stage[Index],stage[Display])</f>
        <v>➄ - Project Execution</v>
      </c>
      <c r="R4">
        <f>Opportunities[[#This Row],[Amount]]*_xlfn.XLOOKUP(Opportunities[[#This Row],[Probability]],prob[Win Probability],prob[Value])</f>
        <v>1302677.1000000001</v>
      </c>
      <c r="S4" t="str" cm="1">
        <f t="array" ref="S4">_xlfn.SWITCH(Opportunities[[#This Row],[Status]],"At Risk","⚠","Active","✓","⮾")</f>
        <v>✓</v>
      </c>
      <c r="T4" t="str">
        <f>_xlfn.XLOOKUP(Opportunities[[#This Row],[CustomerId]],Customers[Id],Customers[Customer Name])</f>
        <v>Textile Manufacturing</v>
      </c>
      <c r="U4" t="str">
        <f>_xlfn.XLOOKUP(Opportunities[[#This Row],[CustomerId]],Customers[Id],Customers[Url])</f>
        <v>https://textilemanufacturing.com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(Security Assessment &amp; Audit)
 $1.4m • Project Execution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 t="str" cm="1">
        <f t="array" ref="Z4">_xlfn.SWITCH(Opportunities[[#This Row],[Probability]],"High","↖","Medium","←","Low","↙")&amp;" " &amp;Opportunities[[#This Row],[Probability]]</f>
        <v>↖ High</v>
      </c>
      <c r="AA4" s="55" t="b">
        <f>Opportunities[[#This Row],[WinProbDisplay]]="↖ High"</f>
        <v>1</v>
      </c>
    </row>
    <row r="5" spans="1:27" x14ac:dyDescent="0.25">
      <c r="A5">
        <v>4</v>
      </c>
      <c r="B5" t="s">
        <v>105</v>
      </c>
      <c r="C5" t="s">
        <v>19</v>
      </c>
      <c r="D5" t="s">
        <v>24</v>
      </c>
      <c r="E5">
        <v>1089503</v>
      </c>
      <c r="F5" t="s">
        <v>87</v>
      </c>
      <c r="G5" s="41">
        <v>45910</v>
      </c>
      <c r="H5" s="41">
        <v>45921</v>
      </c>
      <c r="I5" t="s">
        <v>98</v>
      </c>
      <c r="J5">
        <v>2</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https://cleansheet5.sharepoint.com/sites/SalesFunnel//Lists/crmOpportunities/DispForm.aspx?ID=4</v>
      </c>
      <c r="P5">
        <f>_xlfn.XLOOKUP(Opportunities[[#This Row],[Stage]],stage[Stage Name],stage[Index],"")</f>
        <v>6</v>
      </c>
      <c r="Q5" t="str">
        <f>_xlfn.XLOOKUP(Opportunities[[#This Row],[StageNumber]],stage[Index],stage[Display])</f>
        <v>➅ - Closeout</v>
      </c>
      <c r="R5">
        <f>Opportunities[[#This Row],[Amount]]*_xlfn.XLOOKUP(Opportunities[[#This Row],[Probability]],prob[Win Probability],prob[Value])</f>
        <v>435801.2</v>
      </c>
      <c r="S5" t="str" cm="1">
        <f t="array" ref="S5">_xlfn.SWITCH(Opportunities[[#This Row],[Status]],"At Risk","⚠","Active","✓","⮾")</f>
        <v>✓</v>
      </c>
      <c r="T5" t="str">
        <f>_xlfn.XLOOKUP(Opportunities[[#This Row],[CustomerId]],Customers[Id],Customers[Customer Name])</f>
        <v>Global Industries</v>
      </c>
      <c r="U5" t="str">
        <f>_xlfn.XLOOKUP(Opportunities[[#This Row],[CustomerId]],Customers[Id],Customers[Url])</f>
        <v>https://globalindustries.com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(Manufacturing Automation System)
 $1.1m • Closeout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5" t="str" cm="1">
        <f t="array" ref="Z5">_xlfn.SWITCH(Opportunities[[#This Row],[Probability]],"High","↖","Medium","←","Low","↙")&amp;" " &amp;Opportunities[[#This Row],[Probability]]</f>
        <v>← Medium</v>
      </c>
      <c r="AA5" s="55" t="b">
        <f>Opportunities[[#This Row],[WinProbDisplay]]="↖ High"</f>
        <v>0</v>
      </c>
    </row>
    <row r="6" spans="1:27" x14ac:dyDescent="0.25">
      <c r="A6">
        <v>5</v>
      </c>
      <c r="B6" t="s">
        <v>108</v>
      </c>
      <c r="C6" t="s">
        <v>19</v>
      </c>
      <c r="D6" t="s">
        <v>23</v>
      </c>
      <c r="E6">
        <v>1541099</v>
      </c>
      <c r="F6" t="s">
        <v>87</v>
      </c>
      <c r="G6" s="41">
        <v>46280</v>
      </c>
      <c r="H6" s="41">
        <v>45903</v>
      </c>
      <c r="I6" t="s">
        <v>104</v>
      </c>
      <c r="J6">
        <v>24</v>
      </c>
      <c r="L6" t="s">
        <v>400</v>
      </c>
      <c r="M6" t="str">
        <f>" FY"&amp;RIGHT(IF(MONTH(Opportunities[[#This Row],[Close]])&gt;=7,YEAR(Opportunities[[#This Row],[Close]])+1,YEAR(Opportunities[[#This Row],[Close]])),2)&amp;"-Q"&amp;IF(MONTH(Opportunities[[#This Row],[Close]])&gt;=7,CEILING((MONTH(Opportunities[[#This Row],[Close]])-6)/3,1),CEILING((MONTH(Opportunities[[#This Row],[Close]])+6)/3,1))</f>
        <v xml:space="preserve"> FY27-Q1</v>
      </c>
      <c r="N6" t="str">
        <f>"CY"&amp;RIGHT(YEAR(Opportunities[[#This Row],[Close]]),2)&amp;"-Q"&amp;ROUNDUP(MONTH(Opportunities[[#This Row],[Close]])/3, 0)</f>
        <v>CY26-Q3</v>
      </c>
      <c r="O6" t="str">
        <f>siteUrl&amp;"/Lists/"&amp;oppList&amp;"/DispForm.aspx?ID="&amp;Opportunities[[#This Row],[ID]]</f>
        <v>https://cleansheet5.sharepoint.com/sites/SalesFunnel//Lists/crmOpportunities/DispForm.aspx?ID=5</v>
      </c>
      <c r="P6">
        <f>_xlfn.XLOOKUP(Opportunities[[#This Row],[Stage]],stage[Stage Name],stage[Index],"")</f>
        <v>2</v>
      </c>
      <c r="Q6" t="str">
        <f>_xlfn.XLOOKUP(Opportunities[[#This Row],[StageNumber]],stage[Index],stage[Display])</f>
        <v>➁ - Nurturing</v>
      </c>
      <c r="R6">
        <f>Opportunities[[#This Row],[Amount]]*_xlfn.XLOOKUP(Opportunities[[#This Row],[Probability]],prob[Win Probability],prob[Value])</f>
        <v>616439.6</v>
      </c>
      <c r="S6" t="str" cm="1">
        <f t="array" ref="S6">_xlfn.SWITCH(Opportunities[[#This Row],[Status]],"At Risk","⚠","Active","✓","⮾")</f>
        <v>✓</v>
      </c>
      <c r="T6" t="str">
        <f>_xlfn.XLOOKUP(Opportunities[[#This Row],[CustomerId]],Customers[Id],Customers[Customer Name])</f>
        <v>Security Solutions</v>
      </c>
      <c r="U6" t="str">
        <f>_xlfn.XLOOKUP(Opportunities[[#This Row],[CustomerId]],Customers[Id],Customers[Url])</f>
        <v>https://securitysolutions.com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(Healthcare Data Analytics Platform)
 $1.5m • Nurturing • Owner: Amanda Sales</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6" t="str" cm="1">
        <f t="array" ref="Z6">_xlfn.SWITCH(Opportunities[[#This Row],[Probability]],"High","↖","Medium","←","Low","↙")&amp;" " &amp;Opportunities[[#This Row],[Probability]]</f>
        <v>← Medium</v>
      </c>
      <c r="AA6" s="55" t="b">
        <f>Opportunities[[#This Row],[WinProbDisplay]]="↖ High"</f>
        <v>0</v>
      </c>
    </row>
    <row r="7" spans="1:27" x14ac:dyDescent="0.25">
      <c r="A7">
        <v>6</v>
      </c>
      <c r="B7" t="s">
        <v>152</v>
      </c>
      <c r="C7" t="s">
        <v>19</v>
      </c>
      <c r="D7" t="s">
        <v>22</v>
      </c>
      <c r="E7">
        <v>1668120</v>
      </c>
      <c r="F7" t="s">
        <v>89</v>
      </c>
      <c r="G7" s="41">
        <v>45938</v>
      </c>
      <c r="H7" s="41">
        <v>45937</v>
      </c>
      <c r="I7" t="s">
        <v>156</v>
      </c>
      <c r="J7">
        <v>14</v>
      </c>
      <c r="L7" t="s">
        <v>109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https://cleansheet5.sharepoint.com/sites/SalesFunnel//Lists/crmOpportunities/DispForm.aspx?ID=6</v>
      </c>
      <c r="P7">
        <f>_xlfn.XLOOKUP(Opportunities[[#This Row],[Stage]],stage[Stage Name],stage[Index],"")</f>
        <v>3</v>
      </c>
      <c r="Q7" t="str">
        <f>_xlfn.XLOOKUP(Opportunities[[#This Row],[StageNumber]],stage[Index],stage[Display])</f>
        <v>➂ - Proposal</v>
      </c>
      <c r="R7">
        <f>Opportunities[[#This Row],[Amount]]*_xlfn.XLOOKUP(Opportunities[[#This Row],[Probability]],prob[Win Probability],prob[Value])</f>
        <v>333624</v>
      </c>
      <c r="S7" t="str" cm="1">
        <f t="array" ref="S7">_xlfn.SWITCH(Opportunities[[#This Row],[Status]],"At Risk","⚠","Active","✓","⮾")</f>
        <v>✓</v>
      </c>
      <c r="T7" t="str">
        <f>_xlfn.XLOOKUP(Opportunities[[#This Row],[CustomerId]],Customers[Id],Customers[Customer Name])</f>
        <v>Media Communications</v>
      </c>
      <c r="U7" t="str">
        <f>_xlfn.XLOOKUP(Opportunities[[#This Row],[CustomerId]],Customers[Id],Customers[Url])</f>
        <v>https://mediacommunications.com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(Digital Transformation Project)
 $1.7m • Proposal • Owner: Dr. Tech Advisor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c r="AA7" s="55" t="b">
        <f>Opportunities[[#This Row],[WinProbDisplay]]="↖ High"</f>
        <v>0</v>
      </c>
    </row>
    <row r="8" spans="1:27" x14ac:dyDescent="0.25">
      <c r="A8">
        <v>7</v>
      </c>
      <c r="B8" t="s">
        <v>154</v>
      </c>
      <c r="C8" t="s">
        <v>19</v>
      </c>
      <c r="D8" t="s">
        <v>20</v>
      </c>
      <c r="E8">
        <v>1636454</v>
      </c>
      <c r="F8" t="s">
        <v>89</v>
      </c>
      <c r="G8" s="41">
        <v>46266</v>
      </c>
      <c r="H8" s="41">
        <v>45902</v>
      </c>
      <c r="I8" t="s">
        <v>164</v>
      </c>
      <c r="J8">
        <v>2</v>
      </c>
      <c r="L8" t="s">
        <v>150</v>
      </c>
      <c r="M8" t="str">
        <f>" FY"&amp;RIGHT(IF(MONTH(Opportunities[[#This Row],[Close]])&gt;=7,YEAR(Opportunities[[#This Row],[Close]])+1,YEAR(Opportunities[[#This Row],[Close]])),2)&amp;"-Q"&amp;IF(MONTH(Opportunities[[#This Row],[Close]])&gt;=7,CEILING((MONTH(Opportunities[[#This Row],[Close]])-6)/3,1),CEILING((MONTH(Opportunities[[#This Row],[Close]])+6)/3,1))</f>
        <v xml:space="preserve"> FY27-Q1</v>
      </c>
      <c r="N8" t="str">
        <f>"CY"&amp;RIGHT(YEAR(Opportunities[[#This Row],[Close]]),2)&amp;"-Q"&amp;ROUNDUP(MONTH(Opportunities[[#This Row],[Close]])/3, 0)</f>
        <v>CY26-Q3</v>
      </c>
      <c r="O8" t="str">
        <f>siteUrl&amp;"/Lists/"&amp;oppList&amp;"/DispForm.aspx?ID="&amp;Opportunities[[#This Row],[ID]]</f>
        <v>https://cleansheet5.sharepoint.com/sites/SalesFunnel//Lists/crmOpportunities/DispForm.aspx?ID=7</v>
      </c>
      <c r="P8">
        <f>_xlfn.XLOOKUP(Opportunities[[#This Row],[Stage]],stage[Stage Name],stage[Index],"")</f>
        <v>1</v>
      </c>
      <c r="Q8" t="str">
        <f>_xlfn.XLOOKUP(Opportunities[[#This Row],[StageNumber]],stage[Index],stage[Display])</f>
        <v>➀ - Lead Qualification</v>
      </c>
      <c r="R8">
        <f>Opportunities[[#This Row],[Amount]]*_xlfn.XLOOKUP(Opportunities[[#This Row],[Probability]],prob[Win Probability],prob[Value])</f>
        <v>327290.80000000005</v>
      </c>
      <c r="S8" t="str" cm="1">
        <f t="array" ref="S8">_xlfn.SWITCH(Opportunities[[#This Row],[Status]],"At Risk","⚠","Active","✓","⮾")</f>
        <v>✓</v>
      </c>
      <c r="T8" t="str">
        <f>_xlfn.XLOOKUP(Opportunities[[#This Row],[CustomerId]],Customers[Id],Customers[Customer Name])</f>
        <v>Global Industries</v>
      </c>
      <c r="U8" t="str">
        <f>_xlfn.XLOOKUP(Opportunities[[#This Row],[CustomerId]],Customers[Id],Customers[Url])</f>
        <v>https://globalindustries.com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(Network Infrastructure Upgrade)
 $1.6m • Lead Qualification • Owner: Jennifer PM</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8" t="str" cm="1">
        <f t="array" ref="Z8">_xlfn.SWITCH(Opportunities[[#This Row],[Probability]],"High","↖","Medium","←","Low","↙")&amp;" " &amp;Opportunities[[#This Row],[Probability]]</f>
        <v>↙ Low</v>
      </c>
      <c r="AA8" s="55" t="b">
        <f>Opportunities[[#This Row],[WinProbDisplay]]="↖ High"</f>
        <v>0</v>
      </c>
    </row>
    <row r="9" spans="1:27" x14ac:dyDescent="0.25">
      <c r="A9">
        <v>8</v>
      </c>
      <c r="B9" t="s">
        <v>157</v>
      </c>
      <c r="C9" t="s">
        <v>19</v>
      </c>
      <c r="D9" t="s">
        <v>20</v>
      </c>
      <c r="E9">
        <v>1592360</v>
      </c>
      <c r="F9" t="s">
        <v>89</v>
      </c>
      <c r="G9" s="41">
        <v>45930</v>
      </c>
      <c r="H9" s="41">
        <v>45909</v>
      </c>
      <c r="I9" t="s">
        <v>158</v>
      </c>
      <c r="J9">
        <v>23</v>
      </c>
      <c r="L9" t="s">
        <v>106</v>
      </c>
      <c r="M9" t="str">
        <f>" FY"&amp;RIGHT(IF(MONTH(Opportunities[[#This Row],[Close]])&gt;=7,YEAR(Opportunities[[#This Row],[Close]])+1,YEAR(Opportunities[[#This Row],[Close]])),2)&amp;"-Q"&amp;IF(MONTH(Opportunities[[#This Row],[Close]])&gt;=7,CEILING((MONTH(Opportunities[[#This Row],[Close]])-6)/3,1),CEILING((MONTH(Opportunities[[#This Row],[Close]])+6)/3,1))</f>
        <v xml:space="preserve"> FY26-Q1</v>
      </c>
      <c r="N9" t="str">
        <f>"CY"&amp;RIGHT(YEAR(Opportunities[[#This Row],[Close]]),2)&amp;"-Q"&amp;ROUNDUP(MONTH(Opportunities[[#This Row],[Close]])/3, 0)</f>
        <v>CY25-Q3</v>
      </c>
      <c r="O9" t="str">
        <f>siteUrl&amp;"/Lists/"&amp;oppList&amp;"/DispForm.aspx?ID="&amp;Opportunities[[#This Row],[ID]]</f>
        <v>https://cleansheet5.sharepoint.com/sites/SalesFunnel//Lists/crmOpportunities/DispForm.aspx?ID=8</v>
      </c>
      <c r="P9">
        <f>_xlfn.XLOOKUP(Opportunities[[#This Row],[Stage]],stage[Stage Name],stage[Index],"")</f>
        <v>1</v>
      </c>
      <c r="Q9" t="str">
        <f>_xlfn.XLOOKUP(Opportunities[[#This Row],[StageNumber]],stage[Index],stage[Display])</f>
        <v>➀ - Lead Qualification</v>
      </c>
      <c r="R9">
        <f>Opportunities[[#This Row],[Amount]]*_xlfn.XLOOKUP(Opportunities[[#This Row],[Probability]],prob[Win Probability],prob[Value])</f>
        <v>318472</v>
      </c>
      <c r="S9" t="str" cm="1">
        <f t="array" ref="S9">_xlfn.SWITCH(Opportunities[[#This Row],[Status]],"At Risk","⚠","Active","✓","⮾")</f>
        <v>✓</v>
      </c>
      <c r="T9" t="str">
        <f>_xlfn.XLOOKUP(Opportunities[[#This Row],[CustomerId]],Customers[Id],Customers[Customer Name])</f>
        <v>Sports &amp; Recreation</v>
      </c>
      <c r="U9" t="str">
        <f>_xlfn.XLOOKUP(Opportunities[[#This Row],[CustomerId]],Customers[Id],Customers[Url])</f>
        <v>https://sportsrecreation.com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(Business Intelligence Solution)
 $1.6m • Lead Qualification • Owner: Lisa Engineer</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9" t="str" cm="1">
        <f t="array" ref="Z9">_xlfn.SWITCH(Opportunities[[#This Row],[Probability]],"High","↖","Medium","←","Low","↙")&amp;" " &amp;Opportunities[[#This Row],[Probability]]</f>
        <v>↙ Low</v>
      </c>
      <c r="AA9" s="55" t="b">
        <f>Opportunities[[#This Row],[WinProbDisplay]]="↖ High"</f>
        <v>0</v>
      </c>
    </row>
    <row r="10" spans="1:27" x14ac:dyDescent="0.25">
      <c r="A10">
        <v>9</v>
      </c>
      <c r="B10" t="s">
        <v>159</v>
      </c>
      <c r="C10" t="s">
        <v>19</v>
      </c>
      <c r="D10" t="s">
        <v>21</v>
      </c>
      <c r="E10">
        <v>908711</v>
      </c>
      <c r="F10" t="s">
        <v>88</v>
      </c>
      <c r="G10" s="41">
        <v>46104</v>
      </c>
      <c r="H10" s="41">
        <v>45903</v>
      </c>
      <c r="I10" t="s">
        <v>101</v>
      </c>
      <c r="J10">
        <v>19</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siteUrl&amp;"/Lists/"&amp;oppList&amp;"/DispForm.aspx?ID="&amp;Opportunities[[#This Row],[ID]]</f>
        <v>https://cleansheet5.sharepoint.com/sites/SalesFunnel//Lists/crmOpportunities/DispForm.aspx?ID=9</v>
      </c>
      <c r="P10">
        <f>_xlfn.XLOOKUP(Opportunities[[#This Row],[Stage]],stage[Stage Name],stage[Index],"")</f>
        <v>5</v>
      </c>
      <c r="Q10" t="str">
        <f>_xlfn.XLOOKUP(Opportunities[[#This Row],[StageNumber]],stage[Index],stage[Display])</f>
        <v>➄ - Project Execution</v>
      </c>
      <c r="R10">
        <f>Opportunities[[#This Row],[Amount]]*_xlfn.XLOOKUP(Opportunities[[#This Row],[Probability]],prob[Win Probability],prob[Value])</f>
        <v>817839.9</v>
      </c>
      <c r="S10" t="str" cm="1">
        <f t="array" ref="S10">_xlfn.SWITCH(Opportunities[[#This Row],[Status]],"At Risk","⚠","Active","✓","⮾")</f>
        <v>✓</v>
      </c>
      <c r="T10" t="str">
        <f>_xlfn.XLOOKUP(Opportunities[[#This Row],[CustomerId]],Customers[Id],Customers[Customer Name])</f>
        <v>Hotel Management Group</v>
      </c>
      <c r="U10" t="str">
        <f>_xlfn.XLOOKUP(Opportunities[[#This Row],[CustomerId]],Customers[Id],Customers[Url])</f>
        <v>https://hotelmanagement.com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(Customer Portal Development)
 $0.9m • Project Execution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0" t="str" cm="1">
        <f t="array" ref="Z10">_xlfn.SWITCH(Opportunities[[#This Row],[Probability]],"High","↖","Medium","←","Low","↙")&amp;" " &amp;Opportunities[[#This Row],[Probability]]</f>
        <v>↖ High</v>
      </c>
      <c r="AA10" s="55" t="b">
        <f>Opportunities[[#This Row],[WinProbDisplay]]="↖ High"</f>
        <v>1</v>
      </c>
    </row>
    <row r="11" spans="1:27" x14ac:dyDescent="0.25">
      <c r="A11">
        <v>10</v>
      </c>
      <c r="B11" t="s">
        <v>160</v>
      </c>
      <c r="C11" t="s">
        <v>19</v>
      </c>
      <c r="D11" t="s">
        <v>18</v>
      </c>
      <c r="E11">
        <v>1542697</v>
      </c>
      <c r="F11" t="s">
        <v>89</v>
      </c>
      <c r="G11" s="41">
        <v>45929</v>
      </c>
      <c r="H11" s="41">
        <v>45936</v>
      </c>
      <c r="I11" t="s">
        <v>153</v>
      </c>
      <c r="J11">
        <v>30</v>
      </c>
      <c r="L11" t="s">
        <v>171</v>
      </c>
      <c r="M11" t="str">
        <f>" FY"&amp;RIGHT(IF(MONTH(Opportunities[[#This Row],[Close]])&gt;=7,YEAR(Opportunities[[#This Row],[Close]])+1,YEAR(Opportunities[[#This Row],[Close]])),2)&amp;"-Q"&amp;IF(MONTH(Opportunities[[#This Row],[Close]])&gt;=7,CEILING((MONTH(Opportunities[[#This Row],[Close]])-6)/3,1),CEILING((MONTH(Opportunities[[#This Row],[Close]])+6)/3,1))</f>
        <v xml:space="preserve"> FY26-Q1</v>
      </c>
      <c r="N11" t="str">
        <f>"CY"&amp;RIGHT(YEAR(Opportunities[[#This Row],[Close]]),2)&amp;"-Q"&amp;ROUNDUP(MONTH(Opportunities[[#This Row],[Close]])/3, 0)</f>
        <v>CY25-Q3</v>
      </c>
      <c r="O11" t="str">
        <f>siteUrl&amp;"/Lists/"&amp;oppList&amp;"/DispForm.aspx?ID="&amp;Opportunities[[#This Row],[ID]]</f>
        <v>https://cleansheet5.sharepoint.com/sites/SalesFunnel//Lists/crmOpportunities/DispForm.aspx?ID=10</v>
      </c>
      <c r="P11">
        <f>_xlfn.XLOOKUP(Opportunities[[#This Row],[Stage]],stage[Stage Name],stage[Index],"")</f>
        <v>4</v>
      </c>
      <c r="Q11" t="str">
        <f>_xlfn.XLOOKUP(Opportunities[[#This Row],[StageNumber]],stage[Index],stage[Display])</f>
        <v>➃ - Negotiation</v>
      </c>
      <c r="R11">
        <f>Opportunities[[#This Row],[Amount]]*_xlfn.XLOOKUP(Opportunities[[#This Row],[Probability]],prob[Win Probability],prob[Value])</f>
        <v>308539.40000000002</v>
      </c>
      <c r="S11" t="str" cm="1">
        <f t="array" ref="S11">_xlfn.SWITCH(Opportunities[[#This Row],[Status]],"At Risk","⚠","Active","✓","⮾")</f>
        <v>✓</v>
      </c>
      <c r="T11" t="str">
        <f>_xlfn.XLOOKUP(Opportunities[[#This Row],[CustomerId]],Customers[Id],Customers[Customer Name])</f>
        <v>Consulting Experts</v>
      </c>
      <c r="U11" t="str">
        <f>_xlfn.XLOOKUP(Opportunities[[#This Row],[CustomerId]],Customers[Id],Customers[Url])</f>
        <v>https://consultingexperts.com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$1.5m • Negotiation • Owner: David Specialist</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1" t="str" cm="1">
        <f t="array" ref="Z11">_xlfn.SWITCH(Opportunities[[#This Row],[Probability]],"High","↖","Medium","←","Low","↙")&amp;" " &amp;Opportunities[[#This Row],[Probability]]</f>
        <v>↙ Low</v>
      </c>
      <c r="AA11" s="55" t="b">
        <f>Opportunities[[#This Row],[WinProbDisplay]]="↖ High"</f>
        <v>0</v>
      </c>
    </row>
    <row r="12" spans="1:27" x14ac:dyDescent="0.25">
      <c r="A12">
        <v>11</v>
      </c>
      <c r="B12" t="s">
        <v>161</v>
      </c>
      <c r="C12" t="s">
        <v>19</v>
      </c>
      <c r="D12" t="s">
        <v>22</v>
      </c>
      <c r="E12">
        <v>1092830</v>
      </c>
      <c r="F12" t="s">
        <v>89</v>
      </c>
      <c r="G12" s="41">
        <v>46078</v>
      </c>
      <c r="H12" s="41">
        <v>45894</v>
      </c>
      <c r="I12" t="s">
        <v>110</v>
      </c>
      <c r="J12">
        <v>12</v>
      </c>
      <c r="L12" t="s">
        <v>155</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https://cleansheet5.sharepoint.com/sites/SalesFunnel//Lists/crmOpportunities/DispForm.aspx?ID=11</v>
      </c>
      <c r="P12">
        <f>_xlfn.XLOOKUP(Opportunities[[#This Row],[Stage]],stage[Stage Name],stage[Index],"")</f>
        <v>3</v>
      </c>
      <c r="Q12" t="str">
        <f>_xlfn.XLOOKUP(Opportunities[[#This Row],[StageNumber]],stage[Index],stage[Display])</f>
        <v>➂ - Proposal</v>
      </c>
      <c r="R12">
        <f>Opportunities[[#This Row],[Amount]]*_xlfn.XLOOKUP(Opportunities[[#This Row],[Probability]],prob[Win Probability],prob[Value])</f>
        <v>218566</v>
      </c>
      <c r="S12" t="str" cm="1">
        <f t="array" ref="S12">_xlfn.SWITCH(Opportunities[[#This Row],[Status]],"At Risk","⚠","Active","✓","⮾")</f>
        <v>✓</v>
      </c>
      <c r="T12" t="str">
        <f>_xlfn.XLOOKUP(Opportunities[[#This Row],[CustomerId]],Customers[Id],Customers[Customer Name])</f>
        <v>Food Service Partners</v>
      </c>
      <c r="U12" t="str">
        <f>_xlfn.XLOOKUP(Opportunities[[#This Row],[CustomerId]],Customers[Id],Customers[Url])</f>
        <v>https://foodservicepartners.com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 Center Consolidation)
 $1.1m • Proposal • Owner: Maria Coordinator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2" t="str" cm="1">
        <f t="array" ref="Z12">_xlfn.SWITCH(Opportunities[[#This Row],[Probability]],"High","↖","Medium","←","Low","↙")&amp;" " &amp;Opportunities[[#This Row],[Probability]]</f>
        <v>↙ Low</v>
      </c>
      <c r="AA12" s="55" t="b">
        <f>Opportunities[[#This Row],[WinProbDisplay]]="↖ High"</f>
        <v>0</v>
      </c>
    </row>
    <row r="13" spans="1:27" x14ac:dyDescent="0.25">
      <c r="A13">
        <v>12</v>
      </c>
      <c r="B13" t="s">
        <v>163</v>
      </c>
      <c r="C13" t="s">
        <v>19</v>
      </c>
      <c r="D13" t="s">
        <v>24</v>
      </c>
      <c r="E13">
        <v>1564333</v>
      </c>
      <c r="F13" t="s">
        <v>87</v>
      </c>
      <c r="G13" s="41">
        <v>46112</v>
      </c>
      <c r="H13" s="41">
        <v>45907</v>
      </c>
      <c r="I13" t="s">
        <v>104</v>
      </c>
      <c r="J13">
        <v>15</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https://cleansheet5.sharepoint.com/sites/SalesFunnel//Lists/crmOpportunities/DispForm.aspx?ID=12</v>
      </c>
      <c r="P13">
        <f>_xlfn.XLOOKUP(Opportunities[[#This Row],[Stage]],stage[Stage Name],stage[Index],"")</f>
        <v>6</v>
      </c>
      <c r="Q13" t="str">
        <f>_xlfn.XLOOKUP(Opportunities[[#This Row],[StageNumber]],stage[Index],stage[Display])</f>
        <v>➅ - Closeout</v>
      </c>
      <c r="R13">
        <f>Opportunities[[#This Row],[Amount]]*_xlfn.XLOOKUP(Opportunities[[#This Row],[Probability]],prob[Win Probability],prob[Value])</f>
        <v>625733.20000000007</v>
      </c>
      <c r="S13" t="str" cm="1">
        <f t="array" ref="S13">_xlfn.SWITCH(Opportunities[[#This Row],[Status]],"At Risk","⚠","Active","✓","⮾")</f>
        <v>✓</v>
      </c>
      <c r="T13" t="str">
        <f>_xlfn.XLOOKUP(Opportunities[[#This Row],[CustomerId]],Customers[Id],Customers[Customer Name])</f>
        <v>Pharmaceutical Research</v>
      </c>
      <c r="U13" t="str">
        <f>_xlfn.XLOOKUP(Opportunities[[#This Row],[CustomerId]],Customers[Id],Customers[Url])</f>
        <v>https://pharmresearch.com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(Cybersecurity Enhancement)
 $1.6m • Closeout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Medium</v>
      </c>
      <c r="AA13" s="55" t="b">
        <f>Opportunities[[#This Row],[WinProbDisplay]]="↖ High"</f>
        <v>0</v>
      </c>
    </row>
    <row r="14" spans="1:27" x14ac:dyDescent="0.25">
      <c r="A14">
        <v>13</v>
      </c>
      <c r="B14" t="s">
        <v>165</v>
      </c>
      <c r="C14" t="s">
        <v>19</v>
      </c>
      <c r="D14" t="s">
        <v>18</v>
      </c>
      <c r="E14">
        <v>1177356</v>
      </c>
      <c r="F14" t="s">
        <v>88</v>
      </c>
      <c r="G14" s="41">
        <v>45995</v>
      </c>
      <c r="H14" s="41">
        <v>45910</v>
      </c>
      <c r="I14" t="s">
        <v>104</v>
      </c>
      <c r="J14">
        <v>27</v>
      </c>
      <c r="L14" t="s">
        <v>150</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https://cleansheet5.sharepoint.com/sites/SalesFunnel//Lists/crmOpportunities/DispForm.aspx?ID=13</v>
      </c>
      <c r="P14">
        <f>_xlfn.XLOOKUP(Opportunities[[#This Row],[Stage]],stage[Stage Name],stage[Index],"")</f>
        <v>4</v>
      </c>
      <c r="Q14" t="str">
        <f>_xlfn.XLOOKUP(Opportunities[[#This Row],[StageNumber]],stage[Index],stage[Display])</f>
        <v>➃ - Negotiation</v>
      </c>
      <c r="R14">
        <f>Opportunities[[#This Row],[Amount]]*_xlfn.XLOOKUP(Opportunities[[#This Row],[Probability]],prob[Win Probability],prob[Value])</f>
        <v>1059620.4000000001</v>
      </c>
      <c r="S14" t="str" cm="1">
        <f t="array" ref="S14">_xlfn.SWITCH(Opportunities[[#This Row],[Status]],"At Risk","⚠","Active","✓","⮾")</f>
        <v>✓</v>
      </c>
      <c r="T14" t="str">
        <f>_xlfn.XLOOKUP(Opportunities[[#This Row],[CustomerId]],Customers[Id],Customers[Customer Name])</f>
        <v>Mining Operations</v>
      </c>
      <c r="U14" t="str">
        <f>_xlfn.XLOOKUP(Opportunities[[#This Row],[CustomerId]],Customers[Id],Customers[Url])</f>
        <v>https://miningoperations.com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(E-commerce Platform)
 $1.2m • Negotiation • Owner: Jennifer PM</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14" t="str" cm="1">
        <f t="array" ref="Z14">_xlfn.SWITCH(Opportunities[[#This Row],[Probability]],"High","↖","Medium","←","Low","↙")&amp;" " &amp;Opportunities[[#This Row],[Probability]]</f>
        <v>↖ High</v>
      </c>
      <c r="AA14" s="55" t="b">
        <f>Opportunities[[#This Row],[WinProbDisplay]]="↖ High"</f>
        <v>1</v>
      </c>
    </row>
    <row r="15" spans="1:27" x14ac:dyDescent="0.25">
      <c r="A15">
        <v>14</v>
      </c>
      <c r="B15" t="s">
        <v>166</v>
      </c>
      <c r="C15" t="s">
        <v>19</v>
      </c>
      <c r="D15" t="s">
        <v>23</v>
      </c>
      <c r="E15">
        <v>1115403</v>
      </c>
      <c r="F15" t="s">
        <v>89</v>
      </c>
      <c r="G15" s="41">
        <v>46233</v>
      </c>
      <c r="H15" s="41">
        <v>45908</v>
      </c>
      <c r="I15" t="s">
        <v>158</v>
      </c>
      <c r="J15">
        <v>13</v>
      </c>
      <c r="L15" t="s">
        <v>400</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https://cleansheet5.sharepoint.com/sites/SalesFunnel//Lists/crmOpportunities/DispForm.aspx?ID=14</v>
      </c>
      <c r="P15">
        <f>_xlfn.XLOOKUP(Opportunities[[#This Row],[Stage]],stage[Stage Name],stage[Index],"")</f>
        <v>2</v>
      </c>
      <c r="Q15" t="str">
        <f>_xlfn.XLOOKUP(Opportunities[[#This Row],[StageNumber]],stage[Index],stage[Display])</f>
        <v>➁ - Nurturing</v>
      </c>
      <c r="R15">
        <f>Opportunities[[#This Row],[Amount]]*_xlfn.XLOOKUP(Opportunities[[#This Row],[Probability]],prob[Win Probability],prob[Value])</f>
        <v>223080.6</v>
      </c>
      <c r="S15" t="str" cm="1">
        <f t="array" ref="S15">_xlfn.SWITCH(Opportunities[[#This Row],[Status]],"At Risk","⚠","Active","✓","⮾")</f>
        <v>✓</v>
      </c>
      <c r="T15" t="str">
        <f>_xlfn.XLOOKUP(Opportunities[[#This Row],[CustomerId]],Customers[Id],Customers[Customer Name])</f>
        <v>Professional Services Group</v>
      </c>
      <c r="U15" t="str">
        <f>_xlfn.XLOOKUP(Opportunities[[#This Row],[CustomerId]],Customers[Id],Customers[Url])</f>
        <v>https://professionalservices.com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(Document Management System)
 $1.1m • Nurturing • Owner: Amanda Sales</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c r="AA15" s="55" t="b">
        <f>Opportunities[[#This Row],[WinProbDisplay]]="↖ High"</f>
        <v>0</v>
      </c>
    </row>
    <row r="16" spans="1:27" x14ac:dyDescent="0.25">
      <c r="A16">
        <v>15</v>
      </c>
      <c r="B16" t="s">
        <v>167</v>
      </c>
      <c r="C16" t="s">
        <v>19</v>
      </c>
      <c r="D16" t="s">
        <v>21</v>
      </c>
      <c r="E16">
        <v>1088461</v>
      </c>
      <c r="F16" t="s">
        <v>88</v>
      </c>
      <c r="G16" s="41">
        <v>45891</v>
      </c>
      <c r="H16" s="41">
        <v>45898</v>
      </c>
      <c r="I16" t="s">
        <v>156</v>
      </c>
      <c r="J16">
        <v>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FY26-Q1</v>
      </c>
      <c r="N16" t="str">
        <f>"CY"&amp;RIGHT(YEAR(Opportunities[[#This Row],[Close]]),2)&amp;"-Q"&amp;ROUNDUP(MONTH(Opportunities[[#This Row],[Close]])/3, 0)</f>
        <v>CY25-Q3</v>
      </c>
      <c r="O16" t="str">
        <f>siteUrl&amp;"/Lists/"&amp;oppList&amp;"/DispForm.aspx?ID="&amp;Opportunities[[#This Row],[ID]]</f>
        <v>https://cleansheet5.sharepoint.com/sites/SalesFunnel//Lists/crmOpportunities/DispForm.aspx?ID=15</v>
      </c>
      <c r="P16">
        <f>_xlfn.XLOOKUP(Opportunities[[#This Row],[Stage]],stage[Stage Name],stage[Index],"")</f>
        <v>5</v>
      </c>
      <c r="Q16" t="str">
        <f>_xlfn.XLOOKUP(Opportunities[[#This Row],[StageNumber]],stage[Index],stage[Display])</f>
        <v>➄ - Project Execution</v>
      </c>
      <c r="R16">
        <f>Opportunities[[#This Row],[Amount]]*_xlfn.XLOOKUP(Opportunities[[#This Row],[Probability]],prob[Win Probability],prob[Value])</f>
        <v>979614.9</v>
      </c>
      <c r="S16" t="str" cm="1">
        <f t="array" ref="S16">_xlfn.SWITCH(Opportunities[[#This Row],[Status]],"At Risk","⚠","Active","✓","⮾")</f>
        <v>✓</v>
      </c>
      <c r="T16" t="str">
        <f>_xlfn.XLOOKUP(Opportunities[[#This Row],[CustomerId]],Customers[Id],Customers[Customer Name])</f>
        <v>Tech Solutions Inc</v>
      </c>
      <c r="U16" t="str">
        <f>_xlfn.XLOOKUP(Opportunities[[#This Row],[CustomerId]],Customers[Id],Customers[Url])</f>
        <v>https://techsolutions.com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(Training &amp; Development Program)
 $1.1m • Project Execution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6" t="str" cm="1">
        <f t="array" ref="Z16">_xlfn.SWITCH(Opportunities[[#This Row],[Probability]],"High","↖","Medium","←","Low","↙")&amp;" " &amp;Opportunities[[#This Row],[Probability]]</f>
        <v>↖ High</v>
      </c>
      <c r="AA16" s="55" t="b">
        <f>Opportunities[[#This Row],[WinProbDisplay]]="↖ High"</f>
        <v>1</v>
      </c>
    </row>
    <row r="17" spans="1:27" x14ac:dyDescent="0.25">
      <c r="A17">
        <v>16</v>
      </c>
      <c r="B17" t="s">
        <v>168</v>
      </c>
      <c r="C17" t="s">
        <v>17</v>
      </c>
      <c r="D17" t="s">
        <v>23</v>
      </c>
      <c r="E17">
        <v>1465716</v>
      </c>
      <c r="F17" t="s">
        <v>87</v>
      </c>
      <c r="G17" s="41">
        <v>46120</v>
      </c>
      <c r="H17" s="41">
        <v>45905</v>
      </c>
      <c r="I17" t="s">
        <v>153</v>
      </c>
      <c r="J17">
        <v>15</v>
      </c>
      <c r="L17" t="s">
        <v>109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siteUrl&amp;"/Lists/"&amp;oppList&amp;"/DispForm.aspx?ID="&amp;Opportunities[[#This Row],[ID]]</f>
        <v>https://cleansheet5.sharepoint.com/sites/SalesFunnel//Lists/crmOpportunities/DispForm.aspx?ID=16</v>
      </c>
      <c r="P17">
        <f>_xlfn.XLOOKUP(Opportunities[[#This Row],[Stage]],stage[Stage Name],stage[Index],"")</f>
        <v>2</v>
      </c>
      <c r="Q17" t="str">
        <f>_xlfn.XLOOKUP(Opportunities[[#This Row],[StageNumber]],stage[Index],stage[Display])</f>
        <v>➁ - Nurturing</v>
      </c>
      <c r="R17">
        <f>Opportunities[[#This Row],[Amount]]*_xlfn.XLOOKUP(Opportunities[[#This Row],[Probability]],prob[Win Probability],prob[Value])</f>
        <v>586286.4</v>
      </c>
      <c r="S17" t="str" cm="1">
        <f t="array" ref="S17">_xlfn.SWITCH(Opportunities[[#This Row],[Status]],"At Risk","⚠","Active","✓","⮾")</f>
        <v>⚠</v>
      </c>
      <c r="T17" t="str">
        <f>_xlfn.XLOOKUP(Opportunities[[#This Row],[CustomerId]],Customers[Id],Customers[Customer Name])</f>
        <v>Pharmaceutical Research</v>
      </c>
      <c r="U17" t="str">
        <f>_xlfn.XLOOKUP(Opportunities[[#This Row],[CustomerId]],Customers[Id],Customers[Url])</f>
        <v>https://pharmresearch.com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(Quality Management System)
 $1.5m • Nurturing • Owner: Dr. Tech Advisor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7" t="str" cm="1">
        <f t="array" ref="Z17">_xlfn.SWITCH(Opportunities[[#This Row],[Probability]],"High","↖","Medium","←","Low","↙")&amp;" " &amp;Opportunities[[#This Row],[Probability]]</f>
        <v>← Medium</v>
      </c>
      <c r="AA17" s="55" t="b">
        <f>Opportunities[[#This Row],[WinProbDisplay]]="↖ High"</f>
        <v>0</v>
      </c>
    </row>
    <row r="18" spans="1:27" x14ac:dyDescent="0.25">
      <c r="A18">
        <v>17</v>
      </c>
      <c r="B18" t="s">
        <v>169</v>
      </c>
      <c r="C18" t="s">
        <v>19</v>
      </c>
      <c r="D18" t="s">
        <v>20</v>
      </c>
      <c r="E18">
        <v>1423795</v>
      </c>
      <c r="F18" t="s">
        <v>87</v>
      </c>
      <c r="G18" s="41">
        <v>46174</v>
      </c>
      <c r="H18" s="41">
        <v>45899</v>
      </c>
      <c r="I18" t="s">
        <v>104</v>
      </c>
      <c r="J18">
        <v>9</v>
      </c>
      <c r="L18" t="s">
        <v>97</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https://cleansheet5.sharepoint.com/sites/SalesFunnel//Lists/crmOpportunities/DispForm.aspx?ID=17</v>
      </c>
      <c r="P18">
        <f>_xlfn.XLOOKUP(Opportunities[[#This Row],[Stage]],stage[Stage Name],stage[Index],"")</f>
        <v>1</v>
      </c>
      <c r="Q18" t="str">
        <f>_xlfn.XLOOKUP(Opportunities[[#This Row],[StageNumber]],stage[Index],stage[Display])</f>
        <v>➀ - Lead Qualification</v>
      </c>
      <c r="R18">
        <f>Opportunities[[#This Row],[Amount]]*_xlfn.XLOOKUP(Opportunities[[#This Row],[Probability]],prob[Win Probability],prob[Value])</f>
        <v>569518</v>
      </c>
      <c r="S18" t="str" cm="1">
        <f t="array" ref="S18">_xlfn.SWITCH(Opportunities[[#This Row],[Status]],"At Risk","⚠","Active","✓","⮾")</f>
        <v>✓</v>
      </c>
      <c r="T18" t="str">
        <f>_xlfn.XLOOKUP(Opportunities[[#This Row],[CustomerId]],Customers[Id],Customers[Customer Name])</f>
        <v>Construction Dynamics</v>
      </c>
      <c r="U18" t="str">
        <f>_xlfn.XLOOKUP(Opportunities[[#This Row],[CustomerId]],Customers[Id],Customers[Url])</f>
        <v>https://constructiondynamics.com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(Supply Chain Optimization)
 $1.4m • Lead Qualification • Owner: John Manager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Medium</v>
      </c>
      <c r="AA18" s="55" t="b">
        <f>Opportunities[[#This Row],[WinProbDisplay]]="↖ High"</f>
        <v>0</v>
      </c>
    </row>
    <row r="19" spans="1:27" x14ac:dyDescent="0.25">
      <c r="A19">
        <v>18</v>
      </c>
      <c r="B19" t="s">
        <v>170</v>
      </c>
      <c r="C19" t="s">
        <v>19</v>
      </c>
      <c r="D19" t="s">
        <v>18</v>
      </c>
      <c r="E19">
        <v>1498555</v>
      </c>
      <c r="F19" t="s">
        <v>87</v>
      </c>
      <c r="G19" s="41">
        <v>46195</v>
      </c>
      <c r="H19" s="41">
        <v>45918</v>
      </c>
      <c r="I19" t="s">
        <v>156</v>
      </c>
      <c r="J19">
        <v>12</v>
      </c>
      <c r="L19" t="s">
        <v>400</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https://cleansheet5.sharepoint.com/sites/SalesFunnel//Lists/crmOpportunities/DispForm.aspx?ID=18</v>
      </c>
      <c r="P19">
        <f>_xlfn.XLOOKUP(Opportunities[[#This Row],[Stage]],stage[Stage Name],stage[Index],"")</f>
        <v>4</v>
      </c>
      <c r="Q19" t="str">
        <f>_xlfn.XLOOKUP(Opportunities[[#This Row],[StageNumber]],stage[Index],stage[Display])</f>
        <v>➃ - Negotiation</v>
      </c>
      <c r="R19">
        <f>Opportunities[[#This Row],[Amount]]*_xlfn.XLOOKUP(Opportunities[[#This Row],[Probability]],prob[Win Probability],prob[Value])</f>
        <v>599422</v>
      </c>
      <c r="S19" t="str" cm="1">
        <f t="array" ref="S19">_xlfn.SWITCH(Opportunities[[#This Row],[Status]],"At Risk","⚠","Active","✓","⮾")</f>
        <v>✓</v>
      </c>
      <c r="T19" t="str">
        <f>_xlfn.XLOOKUP(Opportunities[[#This Row],[CustomerId]],Customers[Id],Customers[Customer Name])</f>
        <v>Food Service Partners</v>
      </c>
      <c r="U19" t="str">
        <f>_xlfn.XLOOKUP(Opportunities[[#This Row],[CustomerId]],Customers[Id],Customers[Url])</f>
        <v>https://foodservicepartners.com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(Financial Planning Software)
 $1.5m • Negotiation • Owner: Amanda Sales</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9" t="str" cm="1">
        <f t="array" ref="Z19">_xlfn.SWITCH(Opportunities[[#This Row],[Probability]],"High","↖","Medium","←","Low","↙")&amp;" " &amp;Opportunities[[#This Row],[Probability]]</f>
        <v>← Medium</v>
      </c>
      <c r="AA19" s="55" t="b">
        <f>Opportunities[[#This Row],[WinProbDisplay]]="↖ High"</f>
        <v>0</v>
      </c>
    </row>
    <row r="20" spans="1:27" x14ac:dyDescent="0.25">
      <c r="A20">
        <v>19</v>
      </c>
      <c r="B20" t="s">
        <v>172</v>
      </c>
      <c r="C20" t="s">
        <v>17</v>
      </c>
      <c r="D20" t="s">
        <v>20</v>
      </c>
      <c r="E20">
        <v>994273</v>
      </c>
      <c r="F20" t="s">
        <v>89</v>
      </c>
      <c r="G20" s="41">
        <v>45919</v>
      </c>
      <c r="H20" s="41">
        <v>45926</v>
      </c>
      <c r="I20" t="s">
        <v>104</v>
      </c>
      <c r="J20">
        <v>14</v>
      </c>
      <c r="L20" t="s">
        <v>109</v>
      </c>
      <c r="M20" t="str">
        <f>" FY"&amp;RIGHT(IF(MONTH(Opportunities[[#This Row],[Close]])&gt;=7,YEAR(Opportunities[[#This Row],[Close]])+1,YEAR(Opportunities[[#This Row],[Close]])),2)&amp;"-Q"&amp;IF(MONTH(Opportunities[[#This Row],[Close]])&gt;=7,CEILING((MONTH(Opportunities[[#This Row],[Close]])-6)/3,1),CEILING((MONTH(Opportunities[[#This Row],[Close]])+6)/3,1))</f>
        <v xml:space="preserve"> FY26-Q1</v>
      </c>
      <c r="N20" t="str">
        <f>"CY"&amp;RIGHT(YEAR(Opportunities[[#This Row],[Close]]),2)&amp;"-Q"&amp;ROUNDUP(MONTH(Opportunities[[#This Row],[Close]])/3, 0)</f>
        <v>CY25-Q3</v>
      </c>
      <c r="O20" t="str">
        <f>siteUrl&amp;"/Lists/"&amp;oppList&amp;"/DispForm.aspx?ID="&amp;Opportunities[[#This Row],[ID]]</f>
        <v>https://cleansheet5.sharepoint.com/sites/SalesFunnel//Lists/crmOpportunities/DispForm.aspx?ID=19</v>
      </c>
      <c r="P20">
        <f>_xlfn.XLOOKUP(Opportunities[[#This Row],[Stage]],stage[Stage Name],stage[Index],"")</f>
        <v>1</v>
      </c>
      <c r="Q20" t="str">
        <f>_xlfn.XLOOKUP(Opportunities[[#This Row],[StageNumber]],stage[Index],stage[Display])</f>
        <v>➀ - Lead Qualification</v>
      </c>
      <c r="R20">
        <f>Opportunities[[#This Row],[Amount]]*_xlfn.XLOOKUP(Opportunities[[#This Row],[Probability]],prob[Win Probability],prob[Value])</f>
        <v>198854.6</v>
      </c>
      <c r="S20" t="str" cm="1">
        <f t="array" ref="S20">_xlfn.SWITCH(Opportunities[[#This Row],[Status]],"At Risk","⚠","Active","✓","⮾")</f>
        <v>⚠</v>
      </c>
      <c r="T20" t="str">
        <f>_xlfn.XLOOKUP(Opportunities[[#This Row],[CustomerId]],Customers[Id],Customers[Customer Name])</f>
        <v>Media Communications</v>
      </c>
      <c r="U20" t="str">
        <f>_xlfn.XLOOKUP(Opportunities[[#This Row],[CustomerId]],Customers[Id],Customers[Url])</f>
        <v>https://mediacommunications.com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(HR Management System)
 $1.0m • Lead Qualification • Owner: Dr. Tech Advisor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0" t="str" cm="1">
        <f t="array" ref="Z20">_xlfn.SWITCH(Opportunities[[#This Row],[Probability]],"High","↖","Medium","←","Low","↙")&amp;" " &amp;Opportunities[[#This Row],[Probability]]</f>
        <v>↙ Low</v>
      </c>
      <c r="AA20" s="55" t="b">
        <f>Opportunities[[#This Row],[WinProbDisplay]]="↖ High"</f>
        <v>0</v>
      </c>
    </row>
    <row r="21" spans="1:27" x14ac:dyDescent="0.25">
      <c r="A21">
        <v>20</v>
      </c>
      <c r="B21" t="s">
        <v>173</v>
      </c>
      <c r="C21" t="s">
        <v>19</v>
      </c>
      <c r="D21" t="s">
        <v>24</v>
      </c>
      <c r="E21">
        <v>1354527</v>
      </c>
      <c r="F21" t="s">
        <v>89</v>
      </c>
      <c r="G21" s="41">
        <v>46141</v>
      </c>
      <c r="H21" s="41">
        <v>45894</v>
      </c>
      <c r="I21" t="s">
        <v>153</v>
      </c>
      <c r="J21">
        <v>16</v>
      </c>
      <c r="L21" t="s">
        <v>109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270905.40000000002</v>
      </c>
      <c r="S21" t="str" cm="1">
        <f t="array" ref="S21">_xlfn.SWITCH(Opportunities[[#This Row],[Status]],"At Risk","⚠","Active","✓","⮾")</f>
        <v>✓</v>
      </c>
      <c r="T21" t="str">
        <f>_xlfn.XLOOKUP(Opportunities[[#This Row],[CustomerId]],Customers[Id],Customers[Customer Name])</f>
        <v>Real Estate Ventures</v>
      </c>
      <c r="U21" t="str">
        <f>_xlfn.XLOOKUP(Opportunities[[#This Row],[CustomerId]],Customers[Id],Customers[Url])</f>
        <v>https://realestateventures.com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(Marketing Automation Platform)
 $1.4m • Closeout • Owner: Dr. Tech Advisor</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Low</v>
      </c>
      <c r="AA21" s="55" t="b">
        <f>Opportunities[[#This Row],[WinProbDisplay]]="↖ High"</f>
        <v>0</v>
      </c>
    </row>
    <row r="22" spans="1:27" x14ac:dyDescent="0.25">
      <c r="A22">
        <v>21</v>
      </c>
      <c r="B22" t="s">
        <v>174</v>
      </c>
      <c r="C22" t="s">
        <v>19</v>
      </c>
      <c r="D22" t="s">
        <v>22</v>
      </c>
      <c r="E22">
        <v>1104873</v>
      </c>
      <c r="F22" t="s">
        <v>89</v>
      </c>
      <c r="G22" s="41">
        <v>46386</v>
      </c>
      <c r="H22" s="41">
        <v>45902</v>
      </c>
      <c r="I22" t="s">
        <v>153</v>
      </c>
      <c r="J22">
        <v>1</v>
      </c>
      <c r="L22" t="s">
        <v>155</v>
      </c>
      <c r="M22" t="str">
        <f>" FY"&amp;RIGHT(IF(MONTH(Opportunities[[#This Row],[Close]])&gt;=7,YEAR(Opportunities[[#This Row],[Close]])+1,YEAR(Opportunities[[#This Row],[Close]])),2)&amp;"-Q"&amp;IF(MONTH(Opportunities[[#This Row],[Close]])&gt;=7,CEILING((MONTH(Opportunities[[#This Row],[Close]])-6)/3,1),CEILING((MONTH(Opportunities[[#This Row],[Close]])+6)/3,1))</f>
        <v xml:space="preserve"> FY27-Q2</v>
      </c>
      <c r="N22" t="str">
        <f>"CY"&amp;RIGHT(YEAR(Opportunities[[#This Row],[Close]]),2)&amp;"-Q"&amp;ROUNDUP(MONTH(Opportunities[[#This Row],[Close]])/3, 0)</f>
        <v>CY26-Q4</v>
      </c>
      <c r="O22" t="str">
        <f>siteUrl&amp;"/Lists/"&amp;oppList&amp;"/DispForm.aspx?ID="&amp;Opportunities[[#This Row],[ID]]</f>
        <v>https://cleansheet5.sharepoint.com/sites/SalesFunnel//Lists/crmOpportunities/DispForm.aspx?ID=21</v>
      </c>
      <c r="P22">
        <f>_xlfn.XLOOKUP(Opportunities[[#This Row],[Stage]],stage[Stage Name],stage[Index],"")</f>
        <v>3</v>
      </c>
      <c r="Q22" t="str">
        <f>_xlfn.XLOOKUP(Opportunities[[#This Row],[StageNumber]],stage[Index],stage[Display])</f>
        <v>➂ - Proposal</v>
      </c>
      <c r="R22">
        <f>Opportunities[[#This Row],[Amount]]*_xlfn.XLOOKUP(Opportunities[[#This Row],[Probability]],prob[Win Probability],prob[Value])</f>
        <v>220974.6</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$1.1m • Proposal • Owner: Maria Coordinator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2" t="str" cm="1">
        <f t="array" ref="Z22">_xlfn.SWITCH(Opportunities[[#This Row],[Probability]],"High","↖","Medium","←","Low","↙")&amp;" " &amp;Opportunities[[#This Row],[Probability]]</f>
        <v>↙ Low</v>
      </c>
      <c r="AA22" s="55" t="b">
        <f>Opportunities[[#This Row],[WinProbDisplay]]="↖ High"</f>
        <v>0</v>
      </c>
    </row>
    <row r="23" spans="1:27" x14ac:dyDescent="0.25">
      <c r="A23">
        <v>22</v>
      </c>
      <c r="B23" t="s">
        <v>175</v>
      </c>
      <c r="C23" t="s">
        <v>19</v>
      </c>
      <c r="D23" t="s">
        <v>21</v>
      </c>
      <c r="E23">
        <v>1698506</v>
      </c>
      <c r="F23" t="s">
        <v>88</v>
      </c>
      <c r="G23" s="41">
        <v>46324</v>
      </c>
      <c r="H23" s="41">
        <v>45897</v>
      </c>
      <c r="I23" t="s">
        <v>98</v>
      </c>
      <c r="J23">
        <v>2</v>
      </c>
      <c r="L23" t="s">
        <v>103</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https://cleansheet5.sharepoint.com/sites/SalesFunnel//Lists/crmOpportunities/DispForm.aspx?ID=22</v>
      </c>
      <c r="P23">
        <f>_xlfn.XLOOKUP(Opportunities[[#This Row],[Stage]],stage[Stage Name],stage[Index],"")</f>
        <v>5</v>
      </c>
      <c r="Q23" t="str">
        <f>_xlfn.XLOOKUP(Opportunities[[#This Row],[StageNumber]],stage[Index],stage[Display])</f>
        <v>➄ - Project Execution</v>
      </c>
      <c r="R23">
        <f>Opportunities[[#This Row],[Amount]]*_xlfn.XLOOKUP(Opportunities[[#This Row],[Probability]],prob[Win Probability],prob[Value])</f>
        <v>1528655.4000000001</v>
      </c>
      <c r="S23" t="str" cm="1">
        <f t="array" ref="S23">_xlfn.SWITCH(Opportunities[[#This Row],[Status]],"At Risk","⚠","Active","✓","⮾")</f>
        <v>✓</v>
      </c>
      <c r="T23" t="str">
        <f>_xlfn.XLOOKUP(Opportunities[[#This Row],[CustomerId]],Customers[Id],Customers[Customer Name])</f>
        <v>Global Industries</v>
      </c>
      <c r="U23" t="str">
        <f>_xlfn.XLOOKUP(Opportunities[[#This Row],[CustomerId]],Customers[Id],Customers[Url])</f>
        <v>https://globalindustries.com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(Inventory Management Solution)
 $1.7m • Project Execution • Owner: Mike Consultant</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High</v>
      </c>
      <c r="AA23" s="55" t="b">
        <f>Opportunities[[#This Row],[WinProbDisplay]]="↖ High"</f>
        <v>1</v>
      </c>
    </row>
    <row r="24" spans="1:27" x14ac:dyDescent="0.25">
      <c r="A24">
        <v>23</v>
      </c>
      <c r="B24" t="s">
        <v>176</v>
      </c>
      <c r="C24" t="s">
        <v>17</v>
      </c>
      <c r="D24" t="s">
        <v>24</v>
      </c>
      <c r="E24">
        <v>2153351</v>
      </c>
      <c r="F24" t="s">
        <v>87</v>
      </c>
      <c r="G24" s="41">
        <v>45951</v>
      </c>
      <c r="H24" s="41">
        <v>45927</v>
      </c>
      <c r="I24" t="s">
        <v>156</v>
      </c>
      <c r="J24">
        <v>20</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siteUrl&amp;"/Lists/"&amp;oppList&amp;"/DispForm.aspx?ID="&amp;Opportunities[[#This Row],[ID]]</f>
        <v>https://cleansheet5.sharepoint.com/sites/SalesFunnel//Lists/crmOpportunities/DispForm.aspx?ID=23</v>
      </c>
      <c r="P24">
        <f>_xlfn.XLOOKUP(Opportunities[[#This Row],[Stage]],stage[Stage Name],stage[Index],"")</f>
        <v>6</v>
      </c>
      <c r="Q24" t="str">
        <f>_xlfn.XLOOKUP(Opportunities[[#This Row],[StageNumber]],stage[Index],stage[Display])</f>
        <v>➅ - Closeout</v>
      </c>
      <c r="R24">
        <f>Opportunities[[#This Row],[Amount]]*_xlfn.XLOOKUP(Opportunities[[#This Row],[Probability]],prob[Win Probability],prob[Value])</f>
        <v>861340.4</v>
      </c>
      <c r="S24" t="str" cm="1">
        <f t="array" ref="S24">_xlfn.SWITCH(Opportunities[[#This Row],[Status]],"At Risk","⚠","Active","✓","⮾")</f>
        <v>⚠</v>
      </c>
      <c r="T24" t="str">
        <f>_xlfn.XLOOKUP(Opportunities[[#This Row],[CustomerId]],Customers[Id],Customers[Customer Name])</f>
        <v>Automotive Parts Plus</v>
      </c>
      <c r="U24" t="str">
        <f>_xlfn.XLOOKUP(Opportunities[[#This Row],[CustomerId]],Customers[Id],Customers[Url])</f>
        <v>https://autopartsplus.com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(Point of Sale System)
 $2.2m • Closeout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4" t="str" cm="1">
        <f t="array" ref="Z24">_xlfn.SWITCH(Opportunities[[#This Row],[Probability]],"High","↖","Medium","←","Low","↙")&amp;" " &amp;Opportunities[[#This Row],[Probability]]</f>
        <v>← Medium</v>
      </c>
      <c r="AA24" s="55" t="b">
        <f>Opportunities[[#This Row],[WinProbDisplay]]="↖ High"</f>
        <v>0</v>
      </c>
    </row>
    <row r="25" spans="1:27" x14ac:dyDescent="0.25">
      <c r="A25">
        <v>24</v>
      </c>
      <c r="B25" t="s">
        <v>177</v>
      </c>
      <c r="C25" t="s">
        <v>19</v>
      </c>
      <c r="D25" t="s">
        <v>20</v>
      </c>
      <c r="E25">
        <v>1358163</v>
      </c>
      <c r="F25" t="s">
        <v>89</v>
      </c>
      <c r="G25" s="41">
        <v>46154</v>
      </c>
      <c r="H25" s="41">
        <v>45926</v>
      </c>
      <c r="I25" t="s">
        <v>151</v>
      </c>
      <c r="J25">
        <v>3</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siteUrl&amp;"/Lists/"&amp;oppList&amp;"/DispForm.aspx?ID="&amp;Opportunities[[#This Row],[ID]]</f>
        <v>https://cleansheet5.sharepoint.com/sites/SalesFunnel//Lists/crmOpportunities/DispForm.aspx?ID=24</v>
      </c>
      <c r="P25">
        <f>_xlfn.XLOOKUP(Opportunities[[#This Row],[Stage]],stage[Stage Name],stage[Index],"")</f>
        <v>1</v>
      </c>
      <c r="Q25" t="str">
        <f>_xlfn.XLOOKUP(Opportunities[[#This Row],[StageNumber]],stage[Index],stage[Display])</f>
        <v>➀ - Lead Qualification</v>
      </c>
      <c r="R25">
        <f>Opportunities[[#This Row],[Amount]]*_xlfn.XLOOKUP(Opportunities[[#This Row],[Probability]],prob[Win Probability],prob[Value])</f>
        <v>271632.60000000003</v>
      </c>
      <c r="S25" t="str" cm="1">
        <f t="array" ref="S25">_xlfn.SWITCH(Opportunities[[#This Row],[Status]],"At Risk","⚠","Active","✓","⮾")</f>
        <v>✓</v>
      </c>
      <c r="T25" t="str">
        <f>_xlfn.XLOOKUP(Opportunities[[#This Row],[CustomerId]],Customers[Id],Customers[Customer Name])</f>
        <v>Tech Solutions Inc</v>
      </c>
      <c r="U25" t="str">
        <f>_xlfn.XLOOKUP(Opportunities[[#This Row],[CustomerId]],Customers[Id],Customers[Url])</f>
        <v>https://techsolutions.com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(Compliance Management Tool)
 $1.4m • Lead Qualification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5" t="str" cm="1">
        <f t="array" ref="Z25">_xlfn.SWITCH(Opportunities[[#This Row],[Probability]],"High","↖","Medium","←","Low","↙")&amp;" " &amp;Opportunities[[#This Row],[Probability]]</f>
        <v>↙ Low</v>
      </c>
      <c r="AA25" s="55" t="b">
        <f>Opportunities[[#This Row],[WinProbDisplay]]="↖ High"</f>
        <v>0</v>
      </c>
    </row>
    <row r="26" spans="1:27" x14ac:dyDescent="0.25">
      <c r="A26">
        <v>25</v>
      </c>
      <c r="B26" t="s">
        <v>178</v>
      </c>
      <c r="C26" t="s">
        <v>17</v>
      </c>
      <c r="D26" t="s">
        <v>18</v>
      </c>
      <c r="E26">
        <v>1058036</v>
      </c>
      <c r="F26" t="s">
        <v>87</v>
      </c>
      <c r="G26" s="41">
        <v>46142</v>
      </c>
      <c r="H26" s="41">
        <v>45935</v>
      </c>
      <c r="I26" t="s">
        <v>158</v>
      </c>
      <c r="J26">
        <v>22</v>
      </c>
      <c r="L26" t="s">
        <v>400</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siteUrl&amp;"/Lists/"&amp;oppList&amp;"/DispForm.aspx?ID="&amp;Opportunities[[#This Row],[ID]]</f>
        <v>https://cleansheet5.sharepoint.com/sites/SalesFunnel//Lists/crmOpportunities/DispForm.aspx?ID=25</v>
      </c>
      <c r="P26">
        <f>_xlfn.XLOOKUP(Opportunities[[#This Row],[Stage]],stage[Stage Name],stage[Index],"")</f>
        <v>4</v>
      </c>
      <c r="Q26" t="str">
        <f>_xlfn.XLOOKUP(Opportunities[[#This Row],[StageNumber]],stage[Index],stage[Display])</f>
        <v>➃ - Negotiation</v>
      </c>
      <c r="R26">
        <f>Opportunities[[#This Row],[Amount]]*_xlfn.XLOOKUP(Opportunities[[#This Row],[Probability]],prob[Win Probability],prob[Value])</f>
        <v>423214.4</v>
      </c>
      <c r="S26" t="str" cm="1">
        <f t="array" ref="S26">_xlfn.SWITCH(Opportunities[[#This Row],[Status]],"At Risk","⚠","Active","✓","⮾")</f>
        <v>⚠</v>
      </c>
      <c r="T26" t="str">
        <f>_xlfn.XLOOKUP(Opportunities[[#This Row],[CustomerId]],Customers[Id],Customers[Customer Name])</f>
        <v>Environmental Services</v>
      </c>
      <c r="U26" t="str">
        <f>_xlfn.XLOOKUP(Opportunities[[#This Row],[CustomerId]],Customers[Id],Customers[Url])</f>
        <v>https://environmentalservices.com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(Project Management Software)
 $1.1m • Negotiation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6" t="str" cm="1">
        <f t="array" ref="Z26">_xlfn.SWITCH(Opportunities[[#This Row],[Probability]],"High","↖","Medium","←","Low","↙")&amp;" " &amp;Opportunities[[#This Row],[Probability]]</f>
        <v>← Medium</v>
      </c>
      <c r="AA26" s="55" t="b">
        <f>Opportunities[[#This Row],[WinProbDisplay]]="↖ High"</f>
        <v>0</v>
      </c>
    </row>
    <row r="27" spans="1:27" x14ac:dyDescent="0.25">
      <c r="A27">
        <v>26</v>
      </c>
      <c r="B27" t="s">
        <v>179</v>
      </c>
      <c r="C27" t="s">
        <v>19</v>
      </c>
      <c r="D27" t="s">
        <v>22</v>
      </c>
      <c r="E27">
        <v>595747</v>
      </c>
      <c r="F27" t="s">
        <v>89</v>
      </c>
      <c r="G27" s="41">
        <v>46254</v>
      </c>
      <c r="H27" s="41">
        <v>45885</v>
      </c>
      <c r="I27" t="s">
        <v>158</v>
      </c>
      <c r="J27">
        <v>10</v>
      </c>
      <c r="L27" t="s">
        <v>171</v>
      </c>
      <c r="M27" t="str">
        <f>" FY"&amp;RIGHT(IF(MONTH(Opportunities[[#This Row],[Close]])&gt;=7,YEAR(Opportunities[[#This Row],[Close]])+1,YEAR(Opportunities[[#This Row],[Close]])),2)&amp;"-Q"&amp;IF(MONTH(Opportunities[[#This Row],[Close]])&gt;=7,CEILING((MONTH(Opportunities[[#This Row],[Close]])-6)/3,1),CEILING((MONTH(Opportunities[[#This Row],[Close]])+6)/3,1))</f>
        <v xml:space="preserve"> FY27-Q1</v>
      </c>
      <c r="N27" t="str">
        <f>"CY"&amp;RIGHT(YEAR(Opportunities[[#This Row],[Close]]),2)&amp;"-Q"&amp;ROUNDUP(MONTH(Opportunities[[#This Row],[Close]])/3, 0)</f>
        <v>CY26-Q3</v>
      </c>
      <c r="O27" t="str">
        <f>siteUrl&amp;"/Lists/"&amp;oppList&amp;"/DispForm.aspx?ID="&amp;Opportunities[[#This Row],[ID]]</f>
        <v>https://cleansheet5.sharepoint.com/sites/SalesFunnel//Lists/crmOpportunities/DispForm.aspx?ID=26</v>
      </c>
      <c r="P27">
        <f>_xlfn.XLOOKUP(Opportunities[[#This Row],[Stage]],stage[Stage Name],stage[Index],"")</f>
        <v>3</v>
      </c>
      <c r="Q27" t="str">
        <f>_xlfn.XLOOKUP(Opportunities[[#This Row],[StageNumber]],stage[Index],stage[Display])</f>
        <v>➂ - Proposal</v>
      </c>
      <c r="R27">
        <f>Opportunities[[#This Row],[Amount]]*_xlfn.XLOOKUP(Opportunities[[#This Row],[Probability]],prob[Win Probability],prob[Value])</f>
        <v>119149.40000000001</v>
      </c>
      <c r="S27" t="str" cm="1">
        <f t="array" ref="S27">_xlfn.SWITCH(Opportunities[[#This Row],[Status]],"At Risk","⚠","Active","✓","⮾")</f>
        <v>✓</v>
      </c>
      <c r="T27" t="str">
        <f>_xlfn.XLOOKUP(Opportunities[[#This Row],[CustomerId]],Customers[Id],Customers[Customer Name])</f>
        <v>Education First</v>
      </c>
      <c r="U27" t="str">
        <f>_xlfn.XLOOKUP(Opportunities[[#This Row],[CustomerId]],Customers[Id],Customers[Url])</f>
        <v>https://educationfirst.com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(Video Conferencing Solution)
 $0.6m • Proposal • Owner: David Specialist</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7" t="str" cm="1">
        <f t="array" ref="Z27">_xlfn.SWITCH(Opportunities[[#This Row],[Probability]],"High","↖","Medium","←","Low","↙")&amp;" " &amp;Opportunities[[#This Row],[Probability]]</f>
        <v>↙ Low</v>
      </c>
      <c r="AA27" s="55" t="b">
        <f>Opportunities[[#This Row],[WinProbDisplay]]="↖ High"</f>
        <v>0</v>
      </c>
    </row>
    <row r="28" spans="1:27" x14ac:dyDescent="0.25">
      <c r="A28">
        <v>27</v>
      </c>
      <c r="B28" t="s">
        <v>180</v>
      </c>
      <c r="C28" t="s">
        <v>19</v>
      </c>
      <c r="D28" t="s">
        <v>22</v>
      </c>
      <c r="E28">
        <v>1520502</v>
      </c>
      <c r="F28" t="s">
        <v>87</v>
      </c>
      <c r="G28" s="41">
        <v>46113</v>
      </c>
      <c r="H28" s="41">
        <v>45930</v>
      </c>
      <c r="I28" t="s">
        <v>156</v>
      </c>
      <c r="J28">
        <v>26</v>
      </c>
      <c r="L28" t="s">
        <v>109</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https://cleansheet5.sharepoint.com/sites/SalesFunnel//Lists/crmOpportunities/DispForm.aspx?ID=27</v>
      </c>
      <c r="P28">
        <f>_xlfn.XLOOKUP(Opportunities[[#This Row],[Stage]],stage[Stage Name],stage[Index],"")</f>
        <v>3</v>
      </c>
      <c r="Q28" t="str">
        <f>_xlfn.XLOOKUP(Opportunities[[#This Row],[StageNumber]],stage[Index],stage[Display])</f>
        <v>➂ - Proposal</v>
      </c>
      <c r="R28">
        <f>Opportunities[[#This Row],[Amount]]*_xlfn.XLOOKUP(Opportunities[[#This Row],[Probability]],prob[Win Probability],prob[Value])</f>
        <v>608200.80000000005</v>
      </c>
      <c r="S28" t="str" cm="1">
        <f t="array" ref="S28">_xlfn.SWITCH(Opportunities[[#This Row],[Status]],"At Risk","⚠","Active","✓","⮾")</f>
        <v>✓</v>
      </c>
      <c r="T28" t="str">
        <f>_xlfn.XLOOKUP(Opportunities[[#This Row],[CustomerId]],Customers[Id],Customers[Customer Name])</f>
        <v>Publishing House</v>
      </c>
      <c r="U28" t="str">
        <f>_xlfn.XLOOKUP(Opportunities[[#This Row],[CustomerId]],Customers[Id],Customers[Url])</f>
        <v>https://publishinghouse.com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(Backup &amp; Recovery System)
 $1.5m • Proposal • Owner: Dr. Tech Advisor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c r="AA28" s="55" t="b">
        <f>Opportunities[[#This Row],[WinProbDisplay]]="↖ High"</f>
        <v>0</v>
      </c>
    </row>
    <row r="29" spans="1:27" x14ac:dyDescent="0.25">
      <c r="A29">
        <v>28</v>
      </c>
      <c r="B29" t="s">
        <v>181</v>
      </c>
      <c r="C29" t="s">
        <v>17</v>
      </c>
      <c r="D29" t="s">
        <v>23</v>
      </c>
      <c r="E29">
        <v>1099635</v>
      </c>
      <c r="F29" t="s">
        <v>88</v>
      </c>
      <c r="G29" s="41">
        <v>46336</v>
      </c>
      <c r="H29" s="41">
        <v>45889</v>
      </c>
      <c r="I29" t="s">
        <v>151</v>
      </c>
      <c r="J29">
        <v>11</v>
      </c>
      <c r="L29" t="s">
        <v>100</v>
      </c>
      <c r="M29" t="str">
        <f>" FY"&amp;RIGHT(IF(MONTH(Opportunities[[#This Row],[Close]])&gt;=7,YEAR(Opportunities[[#This Row],[Close]])+1,YEAR(Opportunities[[#This Row],[Close]])),2)&amp;"-Q"&amp;IF(MONTH(Opportunities[[#This Row],[Close]])&gt;=7,CEILING((MONTH(Opportunities[[#This Row],[Close]])-6)/3,1),CEILING((MONTH(Opportunities[[#This Row],[Close]])+6)/3,1))</f>
        <v xml:space="preserve"> FY27-Q2</v>
      </c>
      <c r="N29" t="str">
        <f>"CY"&amp;RIGHT(YEAR(Opportunities[[#This Row],[Close]]),2)&amp;"-Q"&amp;ROUNDUP(MONTH(Opportunities[[#This Row],[Close]])/3, 0)</f>
        <v>CY26-Q4</v>
      </c>
      <c r="O29" t="str">
        <f>siteUrl&amp;"/Lists/"&amp;oppList&amp;"/DispForm.aspx?ID="&amp;Opportunities[[#This Row],[ID]]</f>
        <v>https://cleansheet5.sharepoint.com/sites/SalesFunnel//Lists/crmOpportunities/DispForm.aspx?ID=28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989671.5</v>
      </c>
      <c r="S29" t="str" cm="1">
        <f t="array" ref="S29">_xlfn.SWITCH(Opportunities[[#This Row],[Status]],"At Risk","⚠","Active","✓","⮾")</f>
        <v>⚠</v>
      </c>
      <c r="T29" t="str">
        <f>_xlfn.XLOOKUP(Opportunities[[#This Row],[CustomerId]],Customers[Id],Customers[Customer Name])</f>
        <v>Transport Logistics</v>
      </c>
      <c r="U29" t="str">
        <f>_xlfn.XLOOKUP(Opportunities[[#This Row],[CustomerId]],Customers[Id],Customers[Url])</f>
        <v>https://transportlogistics.com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(Website Redesign Project)
 $1.1m • Nurturing • Owner: Sarah Director</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9" t="str" cm="1">
        <f t="array" ref="Z29">_xlfn.SWITCH(Opportunities[[#This Row],[Probability]],"High","↖","Medium","←","Low","↙")&amp;" " &amp;Opportunities[[#This Row],[Probability]]</f>
        <v>↖ High</v>
      </c>
      <c r="AA29" s="55" t="b">
        <f>Opportunities[[#This Row],[WinProbDisplay]]="↖ High"</f>
        <v>1</v>
      </c>
    </row>
    <row r="30" spans="1:27" x14ac:dyDescent="0.25">
      <c r="A30">
        <v>29</v>
      </c>
      <c r="B30" t="s">
        <v>182</v>
      </c>
      <c r="C30" t="s">
        <v>19</v>
      </c>
      <c r="D30" t="s">
        <v>23</v>
      </c>
      <c r="E30">
        <v>981682</v>
      </c>
      <c r="F30" t="s">
        <v>89</v>
      </c>
      <c r="G30" s="41">
        <v>46205</v>
      </c>
      <c r="H30" s="41">
        <v>45918</v>
      </c>
      <c r="I30" t="s">
        <v>104</v>
      </c>
      <c r="J30">
        <v>1</v>
      </c>
      <c r="L30" t="s">
        <v>103</v>
      </c>
      <c r="M30" t="str">
        <f>" FY"&amp;RIGHT(IF(MONTH(Opportunities[[#This Row],[Close]])&gt;=7,YEAR(Opportunities[[#This Row],[Close]])+1,YEAR(Opportunities[[#This Row],[Close]])),2)&amp;"-Q"&amp;IF(MONTH(Opportunities[[#This Row],[Close]])&gt;=7,CEILING((MONTH(Opportunities[[#This Row],[Close]])-6)/3,1),CEILING((MONTH(Opportunities[[#This Row],[Close]])+6)/3,1))</f>
        <v xml:space="preserve"> FY27-Q1</v>
      </c>
      <c r="N30" t="str">
        <f>"CY"&amp;RIGHT(YEAR(Opportunities[[#This Row],[Close]]),2)&amp;"-Q"&amp;ROUNDUP(MONTH(Opportunities[[#This Row],[Close]])/3, 0)</f>
        <v>CY26-Q3</v>
      </c>
      <c r="O30" t="str">
        <f>siteUrl&amp;"/Lists/"&amp;oppList&amp;"/DispForm.aspx?ID="&amp;Opportunities[[#This Row],[ID]]</f>
        <v>https://cleansheet5.sharepoint.com/sites/SalesFunnel//Lists/crmOpportunities/DispForm.aspx?ID=29</v>
      </c>
      <c r="P30">
        <f>_xlfn.XLOOKUP(Opportunities[[#This Row],[Stage]],stage[Stage Name],stage[Index],"")</f>
        <v>2</v>
      </c>
      <c r="Q30" t="str">
        <f>_xlfn.XLOOKUP(Opportunities[[#This Row],[StageNumber]],stage[Index],stage[Display])</f>
        <v>➁ - Nurturing</v>
      </c>
      <c r="R30">
        <f>Opportunities[[#This Row],[Amount]]*_xlfn.XLOOKUP(Opportunities[[#This Row],[Probability]],prob[Win Probability],prob[Value])</f>
        <v>196336.40000000002</v>
      </c>
      <c r="S30" t="str" cm="1">
        <f t="array" ref="S30">_xlfn.SWITCH(Opportunities[[#This Row],[Status]],"At Risk","⚠","Active","✓","⮾")</f>
        <v>✓</v>
      </c>
      <c r="T30" t="str">
        <f>_xlfn.XLOOKUP(Opportunities[[#This Row],[CustomerId]],Customers[Id],Customers[Customer Name])</f>
        <v>ACME Corporation</v>
      </c>
      <c r="U30" t="str">
        <f>_xlfn.XLOOKUP(Opportunities[[#This Row],[CustomerId]],Customers[Id],Customers[Url])</f>
        <v>https://acme.com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(Social Media Management Tool)
 $1.0m • Nurturing • Owner: Mike Consultant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0" t="str" cm="1">
        <f t="array" ref="Z30">_xlfn.SWITCH(Opportunities[[#This Row],[Probability]],"High","↖","Medium","←","Low","↙")&amp;" " &amp;Opportunities[[#This Row],[Probability]]</f>
        <v>↙ Low</v>
      </c>
      <c r="AA30" s="55" t="b">
        <f>Opportunities[[#This Row],[WinProbDisplay]]="↖ High"</f>
        <v>0</v>
      </c>
    </row>
    <row r="31" spans="1:27" x14ac:dyDescent="0.25">
      <c r="A31">
        <v>30</v>
      </c>
      <c r="B31" t="s">
        <v>183</v>
      </c>
      <c r="C31" t="s">
        <v>19</v>
      </c>
      <c r="D31" t="s">
        <v>18</v>
      </c>
      <c r="E31">
        <v>2045744</v>
      </c>
      <c r="F31" t="s">
        <v>87</v>
      </c>
      <c r="G31" s="41">
        <v>46119</v>
      </c>
      <c r="H31" s="41">
        <v>45897</v>
      </c>
      <c r="I31" t="s">
        <v>110</v>
      </c>
      <c r="J31">
        <v>10</v>
      </c>
      <c r="L31" t="s">
        <v>162</v>
      </c>
      <c r="M31" t="str">
        <f>" FY"&amp;RIGHT(IF(MONTH(Opportunities[[#This Row],[Close]])&gt;=7,YEAR(Opportunities[[#This Row],[Close]])+1,YEAR(Opportunities[[#This Row],[Close]])),2)&amp;"-Q"&amp;IF(MONTH(Opportunities[[#This Row],[Close]])&gt;=7,CEILING((MONTH(Opportunities[[#This Row],[Close]])-6)/3,1),CEILING((MONTH(Opportunities[[#This Row],[Close]])+6)/3,1))</f>
        <v xml:space="preserve"> FY26-Q4</v>
      </c>
      <c r="N31" t="str">
        <f>"CY"&amp;RIGHT(YEAR(Opportunities[[#This Row],[Close]]),2)&amp;"-Q"&amp;ROUNDUP(MONTH(Opportunities[[#This Row],[Close]])/3, 0)</f>
        <v>CY26-Q2</v>
      </c>
      <c r="O31" t="str">
        <f>siteUrl&amp;"/Lists/"&amp;oppList&amp;"/DispForm.aspx?ID="&amp;Opportunities[[#This Row],[ID]]</f>
        <v>https://cleansheet5.sharepoint.com/sites/SalesFunnel//Lists/crmOpportunities/DispForm.aspx?ID=30</v>
      </c>
      <c r="P31">
        <f>_xlfn.XLOOKUP(Opportunities[[#This Row],[Stage]],stage[Stage Name],stage[Index],"")</f>
        <v>4</v>
      </c>
      <c r="Q31" t="str">
        <f>_xlfn.XLOOKUP(Opportunities[[#This Row],[StageNumber]],stage[Index],stage[Display])</f>
        <v>➃ - Negotiation</v>
      </c>
      <c r="R31">
        <f>Opportunities[[#This Row],[Amount]]*_xlfn.XLOOKUP(Opportunities[[#This Row],[Probability]],prob[Win Probability],prob[Value])</f>
        <v>818297.60000000009</v>
      </c>
      <c r="S31" t="str" cm="1">
        <f t="array" ref="S31">_xlfn.SWITCH(Opportunities[[#This Row],[Status]],"At Risk","⚠","Active","✓","⮾")</f>
        <v>✓</v>
      </c>
      <c r="T31" t="str">
        <f>_xlfn.XLOOKUP(Opportunities[[#This Row],[CustomerId]],Customers[Id],Customers[Customer Name])</f>
        <v>Education First</v>
      </c>
      <c r="U31" t="str">
        <f>_xlfn.XLOOKUP(Opportunities[[#This Row],[CustomerId]],Customers[Id],Customers[Url])</f>
        <v>https://educationfirst.com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(Customer Service Platform)
 $2.0m • Negotiation • Owner: Robert Analyst</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1" t="str" cm="1">
        <f t="array" ref="Z31">_xlfn.SWITCH(Opportunities[[#This Row],[Probability]],"High","↖","Medium","←","Low","↙")&amp;" " &amp;Opportunities[[#This Row],[Probability]]</f>
        <v>← Medium</v>
      </c>
      <c r="AA31" s="55" t="b">
        <f>Opportunities[[#This Row],[WinProbDisplay]]="↖ High"</f>
        <v>0</v>
      </c>
    </row>
    <row r="32" spans="1:27" x14ac:dyDescent="0.25">
      <c r="A32">
        <v>31</v>
      </c>
      <c r="B32" t="s">
        <v>184</v>
      </c>
      <c r="C32" t="s">
        <v>19</v>
      </c>
      <c r="D32" t="s">
        <v>24</v>
      </c>
      <c r="E32">
        <v>470257</v>
      </c>
      <c r="F32" t="s">
        <v>89</v>
      </c>
      <c r="G32" s="41">
        <v>46199</v>
      </c>
      <c r="H32" s="41">
        <v>45923</v>
      </c>
      <c r="I32" t="s">
        <v>98</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FY26-Q4</v>
      </c>
      <c r="N32" t="str">
        <f>"CY"&amp;RIGHT(YEAR(Opportunities[[#This Row],[Close]]),2)&amp;"-Q"&amp;ROUNDUP(MONTH(Opportunities[[#This Row],[Close]])/3, 0)</f>
        <v>CY26-Q2</v>
      </c>
      <c r="O32" t="str">
        <f>siteUrl&amp;"/Lists/"&amp;oppList&amp;"/DispForm.aspx?ID="&amp;Opportunities[[#This Row],[ID]]</f>
        <v>https://cleansheet5.sharepoint.com/sites/SalesFunnel//Lists/crmOpportunities/DispForm.aspx?ID=31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94051.400000000009</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$0.5m • Closeout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2" t="str" cm="1">
        <f t="array" ref="Z32">_xlfn.SWITCH(Opportunities[[#This Row],[Probability]],"High","↖","Medium","←","Low","↙")&amp;" " &amp;Opportunities[[#This Row],[Probability]]</f>
        <v>↙ Low</v>
      </c>
      <c r="AA32" s="55" t="b">
        <f>Opportunities[[#This Row],[WinProbDisplay]]="↖ High"</f>
        <v>0</v>
      </c>
    </row>
    <row r="33" spans="1:27" x14ac:dyDescent="0.25">
      <c r="A33">
        <v>32</v>
      </c>
      <c r="B33" t="s">
        <v>185</v>
      </c>
      <c r="C33" t="s">
        <v>19</v>
      </c>
      <c r="D33" t="s">
        <v>24</v>
      </c>
      <c r="E33">
        <v>1808270</v>
      </c>
      <c r="F33" t="s">
        <v>87</v>
      </c>
      <c r="G33" s="41">
        <v>46255</v>
      </c>
      <c r="H33" s="41">
        <v>45919</v>
      </c>
      <c r="I33" t="s">
        <v>98</v>
      </c>
      <c r="J33">
        <v>11</v>
      </c>
      <c r="L33" t="s">
        <v>150</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https://cleansheet5.sharepoint.com/sites/SalesFunnel//Lists/crmOpportunities/DispForm.aspx?ID=32</v>
      </c>
      <c r="P33">
        <f>_xlfn.XLOOKUP(Opportunities[[#This Row],[Stage]],stage[Stage Name],stage[Index],"")</f>
        <v>6</v>
      </c>
      <c r="Q33" t="str">
        <f>_xlfn.XLOOKUP(Opportunities[[#This Row],[StageNumber]],stage[Index],stage[Display])</f>
        <v>➅ - Closeout</v>
      </c>
      <c r="R33">
        <f>Opportunities[[#This Row],[Amount]]*_xlfn.XLOOKUP(Opportunities[[#This Row],[Probability]],prob[Win Probability],prob[Value])</f>
        <v>723308</v>
      </c>
      <c r="S33" t="str" cm="1">
        <f t="array" ref="S33">_xlfn.SWITCH(Opportunities[[#This Row],[Status]],"At Risk","⚠","Active","✓","⮾")</f>
        <v>✓</v>
      </c>
      <c r="T33" t="str">
        <f>_xlfn.XLOOKUP(Opportunities[[#This Row],[CustomerId]],Customers[Id],Customers[Customer Name])</f>
        <v>Transport Logistics</v>
      </c>
      <c r="U33" t="str">
        <f>_xlfn.XLOOKUP(Opportunities[[#This Row],[CustomerId]],Customers[Id],Customers[Url])</f>
        <v>https://transportlogistics.com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(Environmental Monitoring Solution)
 $1.8m • Closeout • Owner: Jennifer PM</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c r="AA33" s="55" t="b">
        <f>Opportunities[[#This Row],[WinProbDisplay]]="↖ High"</f>
        <v>0</v>
      </c>
    </row>
    <row r="34" spans="1:27" x14ac:dyDescent="0.25">
      <c r="A34">
        <v>33</v>
      </c>
      <c r="B34" t="s">
        <v>186</v>
      </c>
      <c r="C34" t="s">
        <v>19</v>
      </c>
      <c r="D34" t="s">
        <v>18</v>
      </c>
      <c r="E34">
        <v>482033</v>
      </c>
      <c r="F34" t="s">
        <v>87</v>
      </c>
      <c r="G34" s="41">
        <v>46387</v>
      </c>
      <c r="H34" s="41">
        <v>45935</v>
      </c>
      <c r="I34" t="s">
        <v>156</v>
      </c>
      <c r="J34">
        <v>13</v>
      </c>
      <c r="L34" t="s">
        <v>97</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siteUrl&amp;"/Lists/"&amp;oppList&amp;"/DispForm.aspx?ID="&amp;Opportunities[[#This Row],[ID]]</f>
        <v>https://cleansheet5.sharepoint.com/sites/SalesFunnel//Lists/crmOpportunities/DispForm.aspx?ID=33</v>
      </c>
      <c r="P34">
        <f>_xlfn.XLOOKUP(Opportunities[[#This Row],[Stage]],stage[Stage Name],stage[Index],"")</f>
        <v>4</v>
      </c>
      <c r="Q34" t="str">
        <f>_xlfn.XLOOKUP(Opportunities[[#This Row],[StageNumber]],stage[Index],stage[Display])</f>
        <v>➃ - Negotiation</v>
      </c>
      <c r="R34">
        <f>Opportunities[[#This Row],[Amount]]*_xlfn.XLOOKUP(Opportunities[[#This Row],[Probability]],prob[Win Probability],prob[Value])</f>
        <v>192813.2</v>
      </c>
      <c r="S34" t="str" cm="1">
        <f t="array" ref="S34">_xlfn.SWITCH(Opportunities[[#This Row],[Status]],"At Risk","⚠","Active","✓","⮾")</f>
        <v>✓</v>
      </c>
      <c r="T34" t="str">
        <f>_xlfn.XLOOKUP(Opportunities[[#This Row],[CustomerId]],Customers[Id],Customers[Customer Name])</f>
        <v>Professional Services Group</v>
      </c>
      <c r="U34" t="str">
        <f>_xlfn.XLOOKUP(Opportunities[[#This Row],[CustomerId]],Customers[Id],Customers[Url])</f>
        <v>https://professionalservices.com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(Safety Management System)
 $0.5m • Negotiation • Owner: John Manager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4" t="str" cm="1">
        <f t="array" ref="Z34">_xlfn.SWITCH(Opportunities[[#This Row],[Probability]],"High","↖","Medium","←","Low","↙")&amp;" " &amp;Opportunities[[#This Row],[Probability]]</f>
        <v>← Medium</v>
      </c>
      <c r="AA34" s="55" t="b">
        <f>Opportunities[[#This Row],[WinProbDisplay]]="↖ High"</f>
        <v>0</v>
      </c>
    </row>
    <row r="35" spans="1:27" x14ac:dyDescent="0.25">
      <c r="A35">
        <v>34</v>
      </c>
      <c r="B35" t="s">
        <v>187</v>
      </c>
      <c r="C35" t="s">
        <v>19</v>
      </c>
      <c r="D35" t="s">
        <v>22</v>
      </c>
      <c r="E35">
        <v>1126315</v>
      </c>
      <c r="F35" t="s">
        <v>87</v>
      </c>
      <c r="G35" s="41">
        <v>46122</v>
      </c>
      <c r="H35" s="41">
        <v>45922</v>
      </c>
      <c r="I35" t="s">
        <v>156</v>
      </c>
      <c r="J35">
        <v>18</v>
      </c>
      <c r="L35" t="s">
        <v>155</v>
      </c>
      <c r="M35" t="str">
        <f>" FY"&amp;RIGHT(IF(MONTH(Opportunities[[#This Row],[Close]])&gt;=7,YEAR(Opportunities[[#This Row],[Close]])+1,YEAR(Opportunities[[#This Row],[Close]])),2)&amp;"-Q"&amp;IF(MONTH(Opportunities[[#This Row],[Close]])&gt;=7,CEILING((MONTH(Opportunities[[#This Row],[Close]])-6)/3,1),CEILING((MONTH(Opportunities[[#This Row],[Close]])+6)/3,1))</f>
        <v xml:space="preserve"> FY26-Q4</v>
      </c>
      <c r="N35" t="str">
        <f>"CY"&amp;RIGHT(YEAR(Opportunities[[#This Row],[Close]]),2)&amp;"-Q"&amp;ROUNDUP(MONTH(Opportunities[[#This Row],[Close]])/3, 0)</f>
        <v>CY26-Q2</v>
      </c>
      <c r="O35" t="str">
        <f>siteUrl&amp;"/Lists/"&amp;oppList&amp;"/DispForm.aspx?ID="&amp;Opportunities[[#This Row],[ID]]</f>
        <v>https://cleansheet5.sharepoint.com/sites/SalesFunnel//Lists/crmOpportunities/DispForm.aspx?ID=34</v>
      </c>
      <c r="P35">
        <f>_xlfn.XLOOKUP(Opportunities[[#This Row],[Stage]],stage[Stage Name],stage[Index],"")</f>
        <v>3</v>
      </c>
      <c r="Q35" t="str">
        <f>_xlfn.XLOOKUP(Opportunities[[#This Row],[StageNumber]],stage[Index],stage[Display])</f>
        <v>➂ - Proposal</v>
      </c>
      <c r="R35">
        <f>Opportunities[[#This Row],[Amount]]*_xlfn.XLOOKUP(Opportunities[[#This Row],[Probability]],prob[Win Probability],prob[Value])</f>
        <v>450526</v>
      </c>
      <c r="S35" t="str" cm="1">
        <f t="array" ref="S35">_xlfn.SWITCH(Opportunities[[#This Row],[Status]],"At Risk","⚠","Active","✓","⮾")</f>
        <v>✓</v>
      </c>
      <c r="T35" t="str">
        <f>_xlfn.XLOOKUP(Opportunities[[#This Row],[CustomerId]],Customers[Id],Customers[Customer Name])</f>
        <v>Agricultural Systems</v>
      </c>
      <c r="U35" t="str">
        <f>_xlfn.XLOOKUP(Opportunities[[#This Row],[CustomerId]],Customers[Id],Customers[Url])</f>
        <v>https://agriculturalsystems.com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(Performance Analytics Dashboard)
 $1.1m • Proposal • Owner: Maria Coordinator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5" t="str" cm="1">
        <f t="array" ref="Z35">_xlfn.SWITCH(Opportunities[[#This Row],[Probability]],"High","↖","Medium","←","Low","↙")&amp;" " &amp;Opportunities[[#This Row],[Probability]]</f>
        <v>← Medium</v>
      </c>
      <c r="AA35" s="55" t="b">
        <f>Opportunities[[#This Row],[WinProbDisplay]]="↖ High"</f>
        <v>0</v>
      </c>
    </row>
    <row r="36" spans="1:27" x14ac:dyDescent="0.25">
      <c r="A36">
        <v>35</v>
      </c>
      <c r="B36" t="s">
        <v>188</v>
      </c>
      <c r="C36" t="s">
        <v>19</v>
      </c>
      <c r="D36" t="s">
        <v>21</v>
      </c>
      <c r="E36">
        <v>599775</v>
      </c>
      <c r="F36" t="s">
        <v>87</v>
      </c>
      <c r="G36" s="41">
        <v>46309</v>
      </c>
      <c r="H36" s="41">
        <v>45893</v>
      </c>
      <c r="I36" t="s">
        <v>153</v>
      </c>
      <c r="J36">
        <v>17</v>
      </c>
      <c r="L36" t="s">
        <v>100</v>
      </c>
      <c r="M36" t="str">
        <f>" FY"&amp;RIGHT(IF(MONTH(Opportunities[[#This Row],[Close]])&gt;=7,YEAR(Opportunities[[#This Row],[Close]])+1,YEAR(Opportunities[[#This Row],[Close]])),2)&amp;"-Q"&amp;IF(MONTH(Opportunities[[#This Row],[Close]])&gt;=7,CEILING((MONTH(Opportunities[[#This Row],[Close]])-6)/3,1),CEILING((MONTH(Opportunities[[#This Row],[Close]])+6)/3,1))</f>
        <v xml:space="preserve"> FY27-Q2</v>
      </c>
      <c r="N36" t="str">
        <f>"CY"&amp;RIGHT(YEAR(Opportunities[[#This Row],[Close]]),2)&amp;"-Q"&amp;ROUNDUP(MONTH(Opportunities[[#This Row],[Close]])/3, 0)</f>
        <v>CY26-Q4</v>
      </c>
      <c r="O36" t="str">
        <f>siteUrl&amp;"/Lists/"&amp;oppList&amp;"/DispForm.aspx?ID="&amp;Opportunities[[#This Row],[ID]]</f>
        <v>https://cleansheet5.sharepoint.com/sites/SalesFunnel//Lists/crmOpportunities/DispForm.aspx?ID=35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239910</v>
      </c>
      <c r="S36" t="str" cm="1">
        <f t="array" ref="S36">_xlfn.SWITCH(Opportunities[[#This Row],[Status]],"At Risk","⚠","Active","✓","⮾")</f>
        <v>✓</v>
      </c>
      <c r="T36" t="str">
        <f>_xlfn.XLOOKUP(Opportunities[[#This Row],[CustomerId]],Customers[Id],Customers[Customer Name])</f>
        <v>Insurance Specialists</v>
      </c>
      <c r="U36" t="str">
        <f>_xlfn.XLOOKUP(Opportunities[[#This Row],[CustomerId]],Customers[Id],Customers[Url])</f>
        <v>https://insurancespecialists.com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(Workflow Automation Tool)
 $0.6m • Project Execution • Owner: Sarah Director</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6" t="str" cm="1">
        <f t="array" ref="Z36">_xlfn.SWITCH(Opportunities[[#This Row],[Probability]],"High","↖","Medium","←","Low","↙")&amp;" " &amp;Opportunities[[#This Row],[Probability]]</f>
        <v>← Medium</v>
      </c>
      <c r="AA36" s="55" t="b">
        <f>Opportunities[[#This Row],[WinProbDisplay]]="↖ High"</f>
        <v>0</v>
      </c>
    </row>
    <row r="37" spans="1:27" x14ac:dyDescent="0.25">
      <c r="A37">
        <v>36</v>
      </c>
      <c r="B37" t="s">
        <v>189</v>
      </c>
      <c r="C37" t="s">
        <v>19</v>
      </c>
      <c r="D37" t="s">
        <v>23</v>
      </c>
      <c r="E37">
        <v>1969274</v>
      </c>
      <c r="F37" t="s">
        <v>87</v>
      </c>
      <c r="G37" s="41">
        <v>46386</v>
      </c>
      <c r="H37" s="41">
        <v>45929</v>
      </c>
      <c r="I37" t="s">
        <v>107</v>
      </c>
      <c r="J37">
        <v>28</v>
      </c>
      <c r="L37" t="s">
        <v>106</v>
      </c>
      <c r="M37" t="str">
        <f>" FY"&amp;RIGHT(IF(MONTH(Opportunities[[#This Row],[Close]])&gt;=7,YEAR(Opportunities[[#This Row],[Close]])+1,YEAR(Opportunities[[#This Row],[Close]])),2)&amp;"-Q"&amp;IF(MONTH(Opportunities[[#This Row],[Close]])&gt;=7,CEILING((MONTH(Opportunities[[#This Row],[Close]])-6)/3,1),CEILING((MONTH(Opportunities[[#This Row],[Close]])+6)/3,1))</f>
        <v xml:space="preserve"> FY27-Q2</v>
      </c>
      <c r="N37" t="str">
        <f>"CY"&amp;RIGHT(YEAR(Opportunities[[#This Row],[Close]]),2)&amp;"-Q"&amp;ROUNDUP(MONTH(Opportunities[[#This Row],[Close]])/3, 0)</f>
        <v>CY26-Q4</v>
      </c>
      <c r="O37" t="str">
        <f>siteUrl&amp;"/Lists/"&amp;oppList&amp;"/DispForm.aspx?ID="&amp;Opportunities[[#This Row],[ID]]</f>
        <v>https://cleansheet5.sharepoint.com/sites/SalesFunnel//Lists/crmOpportunities/DispForm.aspx?ID=36</v>
      </c>
      <c r="P37">
        <f>_xlfn.XLOOKUP(Opportunities[[#This Row],[Stage]],stage[Stage Name],stage[Index],"")</f>
        <v>2</v>
      </c>
      <c r="Q37" t="str">
        <f>_xlfn.XLOOKUP(Opportunities[[#This Row],[StageNumber]],stage[Index],stage[Display])</f>
        <v>➁ - Nurturing</v>
      </c>
      <c r="R37">
        <f>Opportunities[[#This Row],[Amount]]*_xlfn.XLOOKUP(Opportunities[[#This Row],[Probability]],prob[Win Probability],prob[Value])</f>
        <v>787709.60000000009</v>
      </c>
      <c r="S37" t="str" cm="1">
        <f t="array" ref="S37">_xlfn.SWITCH(Opportunities[[#This Row],[Status]],"At Risk","⚠","Active","✓","⮾")</f>
        <v>✓</v>
      </c>
      <c r="T37" t="str">
        <f>_xlfn.XLOOKUP(Opportunities[[#This Row],[CustomerId]],Customers[Id],Customers[Customer Name])</f>
        <v>Telecommunications Inc</v>
      </c>
      <c r="U37" t="str">
        <f>_xlfn.XLOOKUP(Opportunities[[#This Row],[CustomerId]],Customers[Id],Customers[Url])</f>
        <v>https://telecommunications.com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(Integration Services Project)
 $2.0m • Nurturing • Owner: Lisa Engineer</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7" t="str" cm="1">
        <f t="array" ref="Z37">_xlfn.SWITCH(Opportunities[[#This Row],[Probability]],"High","↖","Medium","←","Low","↙")&amp;" " &amp;Opportunities[[#This Row],[Probability]]</f>
        <v>← Medium</v>
      </c>
      <c r="AA37" s="55" t="b">
        <f>Opportunities[[#This Row],[WinProbDisplay]]="↖ High"</f>
        <v>0</v>
      </c>
    </row>
    <row r="38" spans="1:27" x14ac:dyDescent="0.25">
      <c r="A38">
        <v>37</v>
      </c>
      <c r="B38" t="s">
        <v>190</v>
      </c>
      <c r="C38" t="s">
        <v>19</v>
      </c>
      <c r="D38" t="s">
        <v>20</v>
      </c>
      <c r="E38">
        <v>1393789</v>
      </c>
      <c r="F38" t="s">
        <v>87</v>
      </c>
      <c r="G38" s="41">
        <v>45978</v>
      </c>
      <c r="H38" s="41">
        <v>45915</v>
      </c>
      <c r="I38" t="s">
        <v>107</v>
      </c>
      <c r="J38">
        <v>1</v>
      </c>
      <c r="L38" t="s">
        <v>106</v>
      </c>
      <c r="M38" t="str">
        <f>" FY"&amp;RIGHT(IF(MONTH(Opportunities[[#This Row],[Close]])&gt;=7,YEAR(Opportunities[[#This Row],[Close]])+1,YEAR(Opportunities[[#This Row],[Close]])),2)&amp;"-Q"&amp;IF(MONTH(Opportunities[[#This Row],[Close]])&gt;=7,CEILING((MONTH(Opportunities[[#This Row],[Close]])-6)/3,1),CEILING((MONTH(Opportunities[[#This Row],[Close]])+6)/3,1))</f>
        <v xml:space="preserve"> FY26-Q2</v>
      </c>
      <c r="N38" t="str">
        <f>"CY"&amp;RIGHT(YEAR(Opportunities[[#This Row],[Close]]),2)&amp;"-Q"&amp;ROUNDUP(MONTH(Opportunities[[#This Row],[Close]])/3, 0)</f>
        <v>CY25-Q4</v>
      </c>
      <c r="O38" t="str">
        <f>siteUrl&amp;"/Lists/"&amp;oppList&amp;"/DispForm.aspx?ID="&amp;Opportunities[[#This Row],[ID]]</f>
        <v>https://cleansheet5.sharepoint.com/sites/SalesFunnel//Lists/crmOpportunities/DispForm.aspx?ID=37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557515.6</v>
      </c>
      <c r="S38" t="str" cm="1">
        <f t="array" ref="S38">_xlfn.SWITCH(Opportunities[[#This Row],[Status]],"At Risk","⚠","Active","✓","⮾")</f>
        <v>✓</v>
      </c>
      <c r="T38" t="str">
        <f>_xlfn.XLOOKUP(Opportunities[[#This Row],[CustomerId]],Customers[Id],Customers[Customer Name])</f>
        <v>ACME Corporation</v>
      </c>
      <c r="U38" t="str">
        <f>_xlfn.XLOOKUP(Opportunities[[#This Row],[CustomerId]],Customers[Id],Customers[Url])</f>
        <v>https://acme.com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(Database Migration Project)
 $1.4m • Lead Qualification • Owner: Lisa Engineer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38" t="str" cm="1">
        <f t="array" ref="Z38">_xlfn.SWITCH(Opportunities[[#This Row],[Probability]],"High","↖","Medium","←","Low","↙")&amp;" " &amp;Opportunities[[#This Row],[Probability]]</f>
        <v>← Medium</v>
      </c>
      <c r="AA38" s="55" t="b">
        <f>Opportunities[[#This Row],[WinProbDisplay]]="↖ High"</f>
        <v>0</v>
      </c>
    </row>
    <row r="39" spans="1:27" x14ac:dyDescent="0.25">
      <c r="A39">
        <v>38</v>
      </c>
      <c r="B39" t="s">
        <v>191</v>
      </c>
      <c r="C39" t="s">
        <v>17</v>
      </c>
      <c r="D39" t="s">
        <v>20</v>
      </c>
      <c r="E39">
        <v>1579156</v>
      </c>
      <c r="F39" t="s">
        <v>88</v>
      </c>
      <c r="G39" s="41">
        <v>46309</v>
      </c>
      <c r="H39" s="41">
        <v>45885</v>
      </c>
      <c r="I39" t="s">
        <v>156</v>
      </c>
      <c r="J39">
        <v>1</v>
      </c>
      <c r="L39" t="s">
        <v>171</v>
      </c>
      <c r="M39" t="str">
        <f>" FY"&amp;RIGHT(IF(MONTH(Opportunities[[#This Row],[Close]])&gt;=7,YEAR(Opportunities[[#This Row],[Close]])+1,YEAR(Opportunities[[#This Row],[Close]])),2)&amp;"-Q"&amp;IF(MONTH(Opportunities[[#This Row],[Close]])&gt;=7,CEILING((MONTH(Opportunities[[#This Row],[Close]])-6)/3,1),CEILING((MONTH(Opportunities[[#This Row],[Close]])+6)/3,1))</f>
        <v xml:space="preserve"> FY27-Q2</v>
      </c>
      <c r="N39" t="str">
        <f>"CY"&amp;RIGHT(YEAR(Opportunities[[#This Row],[Close]]),2)&amp;"-Q"&amp;ROUNDUP(MONTH(Opportunities[[#This Row],[Close]])/3, 0)</f>
        <v>CY26-Q4</v>
      </c>
      <c r="O39" t="str">
        <f>siteUrl&amp;"/Lists/"&amp;oppList&amp;"/DispForm.aspx?ID="&amp;Opportunities[[#This Row],[ID]]</f>
        <v>https://cleansheet5.sharepoint.com/sites/SalesFunnel//Lists/crmOpportunities/DispForm.aspx?ID=38</v>
      </c>
      <c r="P39">
        <f>_xlfn.XLOOKUP(Opportunities[[#This Row],[Stage]],stage[Stage Name],stage[Index],"")</f>
        <v>1</v>
      </c>
      <c r="Q39" t="str">
        <f>_xlfn.XLOOKUP(Opportunities[[#This Row],[StageNumber]],stage[Index],stage[Display])</f>
        <v>➀ - Lead Qualification</v>
      </c>
      <c r="R39">
        <f>Opportunities[[#This Row],[Amount]]*_xlfn.XLOOKUP(Opportunities[[#This Row],[Probability]],prob[Win Probability],prob[Value])</f>
        <v>1421240.4000000001</v>
      </c>
      <c r="S39" t="str" cm="1">
        <f t="array" ref="S39">_xlfn.SWITCH(Opportunities[[#This Row],[Status]],"At Risk","⚠","Active","✓","⮾")</f>
        <v>⚠</v>
      </c>
      <c r="T39" t="str">
        <f>_xlfn.XLOOKUP(Opportunities[[#This Row],[CustomerId]],Customers[Id],Customers[Customer Name])</f>
        <v>ACME Corporation</v>
      </c>
      <c r="U39" t="str">
        <f>_xlfn.XLOOKUP(Opportunities[[#This Row],[CustomerId]],Customers[Id],Customers[Url])</f>
        <v>https://acme.com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(Legacy System Modernization)
 $1.6m • Lead Qualification • Owner: David Specialist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9" t="str" cm="1">
        <f t="array" ref="Z39">_xlfn.SWITCH(Opportunities[[#This Row],[Probability]],"High","↖","Medium","←","Low","↙")&amp;" " &amp;Opportunities[[#This Row],[Probability]]</f>
        <v>↖ High</v>
      </c>
      <c r="AA39" s="55" t="b">
        <f>Opportunities[[#This Row],[WinProbDisplay]]="↖ High"</f>
        <v>1</v>
      </c>
    </row>
    <row r="40" spans="1:27" x14ac:dyDescent="0.25">
      <c r="A40">
        <v>39</v>
      </c>
      <c r="B40" t="s">
        <v>192</v>
      </c>
      <c r="C40" t="s">
        <v>19</v>
      </c>
      <c r="D40" t="s">
        <v>21</v>
      </c>
      <c r="E40">
        <v>1230563</v>
      </c>
      <c r="F40" t="s">
        <v>87</v>
      </c>
      <c r="G40" s="41">
        <v>45992</v>
      </c>
      <c r="H40" s="41">
        <v>45907</v>
      </c>
      <c r="I40" t="s">
        <v>164</v>
      </c>
      <c r="J40">
        <v>29</v>
      </c>
      <c r="L40" t="s">
        <v>97</v>
      </c>
      <c r="M40" t="str">
        <f>" FY"&amp;RIGHT(IF(MONTH(Opportunities[[#This Row],[Close]])&gt;=7,YEAR(Opportunities[[#This Row],[Close]])+1,YEAR(Opportunities[[#This Row],[Close]])),2)&amp;"-Q"&amp;IF(MONTH(Opportunities[[#This Row],[Close]])&gt;=7,CEILING((MONTH(Opportunities[[#This Row],[Close]])-6)/3,1),CEILING((MONTH(Opportunities[[#This Row],[Close]])+6)/3,1))</f>
        <v xml:space="preserve"> FY26-Q2</v>
      </c>
      <c r="N40" t="str">
        <f>"CY"&amp;RIGHT(YEAR(Opportunities[[#This Row],[Close]]),2)&amp;"-Q"&amp;ROUNDUP(MONTH(Opportunities[[#This Row],[Close]])/3, 0)</f>
        <v>CY25-Q4</v>
      </c>
      <c r="O40" t="str">
        <f>siteUrl&amp;"/Lists/"&amp;oppList&amp;"/DispForm.aspx?ID="&amp;Opportunities[[#This Row],[ID]]</f>
        <v>https://cleansheet5.sharepoint.com/sites/SalesFunnel//Lists/crmOpportunities/DispForm.aspx?ID=39</v>
      </c>
      <c r="P40">
        <f>_xlfn.XLOOKUP(Opportunities[[#This Row],[Stage]],stage[Stage Name],stage[Index],"")</f>
        <v>5</v>
      </c>
      <c r="Q40" t="str">
        <f>_xlfn.XLOOKUP(Opportunities[[#This Row],[StageNumber]],stage[Index],stage[Display])</f>
        <v>➄ - Project Execution</v>
      </c>
      <c r="R40">
        <f>Opportunities[[#This Row],[Amount]]*_xlfn.XLOOKUP(Opportunities[[#This Row],[Probability]],prob[Win Probability],prob[Value])</f>
        <v>492225.2</v>
      </c>
      <c r="S40" t="str" cm="1">
        <f t="array" ref="S40">_xlfn.SWITCH(Opportunities[[#This Row],[Status]],"At Risk","⚠","Active","✓","⮾")</f>
        <v>✓</v>
      </c>
      <c r="T40" t="str">
        <f>_xlfn.XLOOKUP(Opportunities[[#This Row],[CustomerId]],Customers[Id],Customers[Customer Name])</f>
        <v>Waste Management Co</v>
      </c>
      <c r="U40" t="str">
        <f>_xlfn.XLOOKUP(Opportunities[[#This Row],[CustomerId]],Customers[Id],Customers[Url])</f>
        <v>https://wastemanagement.com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(API Development Project)
 $1.2m • Project Execution • Owner: John Manager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0" t="str" cm="1">
        <f t="array" ref="Z40">_xlfn.SWITCH(Opportunities[[#This Row],[Probability]],"High","↖","Medium","←","Low","↙")&amp;" " &amp;Opportunities[[#This Row],[Probability]]</f>
        <v>← Medium</v>
      </c>
      <c r="AA40" s="55" t="b">
        <f>Opportunities[[#This Row],[WinProbDisplay]]="↖ High"</f>
        <v>0</v>
      </c>
    </row>
    <row r="41" spans="1:27" x14ac:dyDescent="0.25">
      <c r="A41">
        <v>40</v>
      </c>
      <c r="B41" t="s">
        <v>193</v>
      </c>
      <c r="C41" t="s">
        <v>19</v>
      </c>
      <c r="D41" t="s">
        <v>23</v>
      </c>
      <c r="E41">
        <v>1291898</v>
      </c>
      <c r="F41" t="s">
        <v>89</v>
      </c>
      <c r="G41" s="41">
        <v>46372</v>
      </c>
      <c r="H41" s="41">
        <v>45896</v>
      </c>
      <c r="I41" t="s">
        <v>98</v>
      </c>
      <c r="J41">
        <v>3</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FY27-Q2</v>
      </c>
      <c r="N41" t="str">
        <f>"CY"&amp;RIGHT(YEAR(Opportunities[[#This Row],[Close]]),2)&amp;"-Q"&amp;ROUNDUP(MONTH(Opportunities[[#This Row],[Close]])/3, 0)</f>
        <v>CY26-Q4</v>
      </c>
      <c r="O41" t="str">
        <f>siteUrl&amp;"/Lists/"&amp;oppList&amp;"/DispForm.aspx?ID="&amp;Opportunities[[#This Row],[ID]]</f>
        <v>https://cleansheet5.sharepoint.com/sites/SalesFunnel//Lists/crmOpportunities/DispForm.aspx?ID=40</v>
      </c>
      <c r="P41">
        <f>_xlfn.XLOOKUP(Opportunities[[#This Row],[Stage]],stage[Stage Name],stage[Index],"")</f>
        <v>2</v>
      </c>
      <c r="Q41" t="str">
        <f>_xlfn.XLOOKUP(Opportunities[[#This Row],[StageNumber]],stage[Index],stage[Display])</f>
        <v>➁ - Nurturing</v>
      </c>
      <c r="R41">
        <f>Opportunities[[#This Row],[Amount]]*_xlfn.XLOOKUP(Opportunities[[#This Row],[Probability]],prob[Win Probability],prob[Value])</f>
        <v>258379.6</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$1.3m • Nurturing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1" t="str" cm="1">
        <f t="array" ref="Z41">_xlfn.SWITCH(Opportunities[[#This Row],[Probability]],"High","↖","Medium","←","Low","↙")&amp;" " &amp;Opportunities[[#This Row],[Probability]]</f>
        <v>↙ Low</v>
      </c>
      <c r="AA41" s="55"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401</v>
      </c>
      <c r="K2" t="s">
        <v>401</v>
      </c>
      <c r="L2" t="str">
        <f>siteUrl&amp;"/Lists/"&amp;custList&amp;"/DispForm.aspx?ID="&amp;Customers[[#This Row],[Id]]</f>
        <v>https://cleansheet5.sharepoint.com/sites/SalesFunnel//Lists/crmCustomers/DispForm.aspx?ID=1</v>
      </c>
      <c r="M2" t="e">
        <f>_xlfn.XLOOKUP(Customers[[#This Row],[Id]],Customers[Id],#REF!)</f>
        <v>#REF!</v>
      </c>
      <c r="N2" t="str">
        <f>_xlfn.XLOOKUP(Customers[[#This Row],[Id]],Customers[Id],Customers[url2])</f>
        <v>https://cleansheet5.sharepoint.com/sites/SalesFunnel//Lists/crmCustomers/DispForm.aspx?ID=1</v>
      </c>
      <c r="O2" t="s">
        <v>53</v>
      </c>
    </row>
    <row r="3" spans="1:22" x14ac:dyDescent="0.25">
      <c r="A3">
        <v>2</v>
      </c>
      <c r="B3" t="s">
        <v>93</v>
      </c>
      <c r="C3" t="s">
        <v>118</v>
      </c>
      <c r="D3" t="s">
        <v>119</v>
      </c>
      <c r="E3" t="s">
        <v>120</v>
      </c>
      <c r="F3" t="s">
        <v>121</v>
      </c>
      <c r="G3" t="s">
        <v>122</v>
      </c>
      <c r="H3" t="s">
        <v>123</v>
      </c>
      <c r="I3" t="s">
        <v>117</v>
      </c>
      <c r="J3" t="s">
        <v>402</v>
      </c>
      <c r="K3" t="s">
        <v>402</v>
      </c>
      <c r="L3" t="str">
        <f>siteUrl&amp;"/Lists/"&amp;custList&amp;"/DispForm.aspx?ID="&amp;Customers[[#This Row],[Id]]</f>
        <v>https://cleansheet5.sharepoint.com/sites/SalesFunnel//Lists/crmCustomers/DispForm.aspx?ID=2</v>
      </c>
      <c r="M3" t="e">
        <f>_xlfn.XLOOKUP(Customers[[#This Row],[Id]],Customers[Id],#REF!)</f>
        <v>#REF!</v>
      </c>
      <c r="N3" t="str">
        <f>_xlfn.XLOOKUP(Customers[[#This Row],[Id]],Customers[Id],Customers[url2])</f>
        <v>https://cleansheet5.sharepoint.com/sites/SalesFunnel//Lists/crmCustomers/DispForm.aspx?ID=2</v>
      </c>
      <c r="V3" t="s">
        <v>54</v>
      </c>
    </row>
    <row r="4" spans="1:22" x14ac:dyDescent="0.25">
      <c r="A4">
        <v>3</v>
      </c>
      <c r="B4" t="s">
        <v>124</v>
      </c>
      <c r="C4" t="s">
        <v>12</v>
      </c>
      <c r="D4" t="s">
        <v>126</v>
      </c>
      <c r="E4" t="s">
        <v>127</v>
      </c>
      <c r="F4" t="s">
        <v>128</v>
      </c>
      <c r="G4" t="s">
        <v>129</v>
      </c>
      <c r="H4" t="s">
        <v>130</v>
      </c>
      <c r="I4" t="s">
        <v>125</v>
      </c>
      <c r="J4" t="s">
        <v>403</v>
      </c>
      <c r="K4" t="s">
        <v>403</v>
      </c>
      <c r="L4" t="str">
        <f>siteUrl&amp;"/Lists/"&amp;custList&amp;"/DispForm.aspx?ID="&amp;Customers[[#This Row],[Id]]</f>
        <v>https://cleansheet5.sharepoint.com/sites/SalesFunnel//Lists/crmCustomers/DispForm.aspx?ID=3</v>
      </c>
      <c r="M4" t="e">
        <f>_xlfn.XLOOKUP(Customers[[#This Row],[Id]],Customers[Id],#REF!)</f>
        <v>#REF!</v>
      </c>
      <c r="N4" t="str">
        <f>_xlfn.XLOOKUP(Customers[[#This Row],[Id]],Customers[Id],Customers[url2])</f>
        <v>https://cleansheet5.sharepoint.com/sites/SalesFunnel//Lists/crmCustomers/DispForm.aspx?ID=3</v>
      </c>
      <c r="V4" t="s">
        <v>62</v>
      </c>
    </row>
    <row r="5" spans="1:22" x14ac:dyDescent="0.25">
      <c r="A5">
        <v>4</v>
      </c>
      <c r="B5" t="s">
        <v>131</v>
      </c>
      <c r="C5" t="s">
        <v>133</v>
      </c>
      <c r="D5" t="s">
        <v>134</v>
      </c>
      <c r="E5" t="s">
        <v>135</v>
      </c>
      <c r="F5" t="s">
        <v>136</v>
      </c>
      <c r="G5" t="s">
        <v>137</v>
      </c>
      <c r="H5" t="s">
        <v>138</v>
      </c>
      <c r="I5" t="s">
        <v>132</v>
      </c>
      <c r="J5" t="s">
        <v>404</v>
      </c>
      <c r="K5" t="s">
        <v>404</v>
      </c>
      <c r="L5" t="str">
        <f>siteUrl&amp;"/Lists/"&amp;custList&amp;"/DispForm.aspx?ID="&amp;Customers[[#This Row],[Id]]</f>
        <v>https://cleansheet5.sharepoint.com/sites/SalesFunnel//Lists/crmCustomers/DispForm.aspx?ID=4</v>
      </c>
      <c r="M5" t="e">
        <f>_xlfn.XLOOKUP(Customers[[#This Row],[Id]],Customers[Id],#REF!)</f>
        <v>#REF!</v>
      </c>
      <c r="N5" t="str">
        <f>_xlfn.XLOOKUP(Customers[[#This Row],[Id]],Customers[Id],Customers[url2])</f>
        <v>https://cleansheet5.sharepoint.com/sites/SalesFunnel//Lists/crmCustomers/DispForm.aspx?ID=4</v>
      </c>
      <c r="V5" t="s">
        <v>55</v>
      </c>
    </row>
    <row r="6" spans="1:22" x14ac:dyDescent="0.25">
      <c r="A6">
        <v>5</v>
      </c>
      <c r="B6" t="s">
        <v>139</v>
      </c>
      <c r="C6" t="s">
        <v>141</v>
      </c>
      <c r="D6" t="s">
        <v>11</v>
      </c>
      <c r="E6" t="s">
        <v>142</v>
      </c>
      <c r="F6" t="s">
        <v>143</v>
      </c>
      <c r="G6" t="s">
        <v>144</v>
      </c>
      <c r="H6" t="s">
        <v>145</v>
      </c>
      <c r="I6" t="s">
        <v>140</v>
      </c>
      <c r="J6" t="s">
        <v>405</v>
      </c>
      <c r="K6" t="s">
        <v>405</v>
      </c>
      <c r="L6" t="str">
        <f>siteUrl&amp;"/Lists/"&amp;custList&amp;"/DispForm.aspx?ID="&amp;Customers[[#This Row],[Id]]</f>
        <v>https://cleansheet5.sharepoint.com/sites/SalesFunnel//Lists/crmCustomers/DispForm.aspx?ID=5</v>
      </c>
      <c r="M6" t="e">
        <f>_xlfn.XLOOKUP(Customers[[#This Row],[Id]],Customers[Id],#REF!)</f>
        <v>#REF!</v>
      </c>
      <c r="N6" t="str">
        <f>_xlfn.XLOOKUP(Customers[[#This Row],[Id]],Customers[Id],Customers[url2])</f>
        <v>https://cleansheet5.sharepoint.com/sites/SalesFunnel//Lists/crmCustomers/DispForm.aspx?ID=5</v>
      </c>
      <c r="V6" t="s">
        <v>56</v>
      </c>
    </row>
    <row r="7" spans="1:22" x14ac:dyDescent="0.25">
      <c r="A7">
        <v>6</v>
      </c>
      <c r="B7" t="s">
        <v>279</v>
      </c>
      <c r="C7" t="s">
        <v>281</v>
      </c>
      <c r="D7" t="s">
        <v>282</v>
      </c>
      <c r="E7" t="s">
        <v>283</v>
      </c>
      <c r="F7" t="s">
        <v>284</v>
      </c>
      <c r="G7" t="s">
        <v>285</v>
      </c>
      <c r="H7" t="s">
        <v>130</v>
      </c>
      <c r="I7" t="s">
        <v>280</v>
      </c>
      <c r="J7" t="s">
        <v>406</v>
      </c>
      <c r="K7" t="s">
        <v>406</v>
      </c>
      <c r="L7" t="str">
        <f>siteUrl&amp;"/Lists/"&amp;custList&amp;"/DispForm.aspx?ID="&amp;Customers[[#This Row],[Id]]</f>
        <v>https://cleansheet5.sharepoint.com/sites/SalesFunnel//Lists/crmCustomers/DispForm.aspx?ID=6</v>
      </c>
      <c r="M7" t="e">
        <f>_xlfn.XLOOKUP(Customers[[#This Row],[Id]],Customers[Id],#REF!)</f>
        <v>#REF!</v>
      </c>
      <c r="N7" t="str">
        <f>_xlfn.XLOOKUP(Customers[[#This Row],[Id]],Customers[Id],Customers[url2])</f>
        <v>https://cleansheet5.sharepoint.com/sites/SalesFunnel//Lists/crmCustomers/DispForm.aspx?ID=6</v>
      </c>
      <c r="V7" t="s">
        <v>63</v>
      </c>
    </row>
    <row r="8" spans="1:22" x14ac:dyDescent="0.25">
      <c r="A8">
        <v>7</v>
      </c>
      <c r="B8" t="s">
        <v>286</v>
      </c>
      <c r="C8" t="s">
        <v>288</v>
      </c>
      <c r="D8" t="s">
        <v>197</v>
      </c>
      <c r="E8" t="s">
        <v>289</v>
      </c>
      <c r="F8" t="s">
        <v>290</v>
      </c>
      <c r="G8" t="s">
        <v>291</v>
      </c>
      <c r="H8" t="s">
        <v>292</v>
      </c>
      <c r="I8" t="s">
        <v>287</v>
      </c>
      <c r="J8" t="s">
        <v>407</v>
      </c>
      <c r="K8" t="s">
        <v>407</v>
      </c>
      <c r="L8" t="str">
        <f>siteUrl&amp;"/Lists/"&amp;custList&amp;"/DispForm.aspx?ID="&amp;Customers[[#This Row],[Id]]</f>
        <v>https://cleansheet5.sharepoint.com/sites/SalesFunnel//Lists/crmCustomers/DispForm.aspx?ID=7</v>
      </c>
      <c r="M8" t="e">
        <f>_xlfn.XLOOKUP(Customers[[#This Row],[Id]],Customers[Id],#REF!)</f>
        <v>#REF!</v>
      </c>
      <c r="N8" t="str">
        <f>_xlfn.XLOOKUP(Customers[[#This Row],[Id]],Customers[Id],Customers[url2])</f>
        <v>https://cleansheet5.sharepoint.com/sites/SalesFunnel//Lists/crmCustomers/DispForm.aspx?ID=7</v>
      </c>
      <c r="V8" t="s">
        <v>57</v>
      </c>
    </row>
    <row r="9" spans="1:22" x14ac:dyDescent="0.25">
      <c r="A9">
        <v>8</v>
      </c>
      <c r="B9" t="s">
        <v>293</v>
      </c>
      <c r="C9" t="s">
        <v>295</v>
      </c>
      <c r="D9" t="s">
        <v>296</v>
      </c>
      <c r="E9" t="s">
        <v>297</v>
      </c>
      <c r="F9" t="s">
        <v>276</v>
      </c>
      <c r="G9" t="s">
        <v>298</v>
      </c>
      <c r="H9" t="s">
        <v>253</v>
      </c>
      <c r="I9" t="s">
        <v>294</v>
      </c>
      <c r="J9" t="s">
        <v>408</v>
      </c>
      <c r="K9" t="s">
        <v>408</v>
      </c>
      <c r="L9" t="str">
        <f>siteUrl&amp;"/Lists/"&amp;custList&amp;"/DispForm.aspx?ID="&amp;Customers[[#This Row],[Id]]</f>
        <v>https://cleansheet5.sharepoint.com/sites/SalesFunnel//Lists/crmCustomers/DispForm.aspx?ID=8</v>
      </c>
      <c r="M9" t="e">
        <f>_xlfn.XLOOKUP(Customers[[#This Row],[Id]],Customers[Id],#REF!)</f>
        <v>#REF!</v>
      </c>
      <c r="N9" t="str">
        <f>_xlfn.XLOOKUP(Customers[[#This Row],[Id]],Customers[Id],Customers[url2])</f>
        <v>https://cleansheet5.sharepoint.com/sites/SalesFunnel//Lists/crmCustomers/DispForm.aspx?ID=8</v>
      </c>
      <c r="V9" t="s">
        <v>58</v>
      </c>
    </row>
    <row r="10" spans="1:22" x14ac:dyDescent="0.25">
      <c r="A10">
        <v>9</v>
      </c>
      <c r="B10" t="s">
        <v>299</v>
      </c>
      <c r="C10" t="s">
        <v>301</v>
      </c>
      <c r="D10" t="s">
        <v>302</v>
      </c>
      <c r="E10" t="s">
        <v>303</v>
      </c>
      <c r="F10" t="s">
        <v>304</v>
      </c>
      <c r="G10" t="s">
        <v>305</v>
      </c>
      <c r="H10" t="s">
        <v>306</v>
      </c>
      <c r="I10" t="s">
        <v>300</v>
      </c>
      <c r="J10" t="s">
        <v>409</v>
      </c>
      <c r="K10" t="s">
        <v>409</v>
      </c>
      <c r="L10" t="str">
        <f>siteUrl&amp;"/Lists/"&amp;custList&amp;"/DispForm.aspx?ID="&amp;Customers[[#This Row],[Id]]</f>
        <v>https://cleansheet5.sharepoint.com/sites/SalesFunnel//Lists/crmCustomers/DispForm.aspx?ID=9</v>
      </c>
      <c r="M10" t="e">
        <f>_xlfn.XLOOKUP(Customers[[#This Row],[Id]],Customers[Id],#REF!)</f>
        <v>#REF!</v>
      </c>
      <c r="N10" t="str">
        <f>_xlfn.XLOOKUP(Customers[[#This Row],[Id]],Customers[Id],Customers[url2])</f>
        <v>https://cleansheet5.sharepoint.com/sites/SalesFunnel//Lists/crmCustomers/DispForm.aspx?ID=9</v>
      </c>
      <c r="V10" t="s">
        <v>54</v>
      </c>
    </row>
    <row r="11" spans="1:22" x14ac:dyDescent="0.25">
      <c r="A11">
        <v>10</v>
      </c>
      <c r="B11" t="s">
        <v>307</v>
      </c>
      <c r="C11" t="s">
        <v>309</v>
      </c>
      <c r="D11" t="s">
        <v>310</v>
      </c>
      <c r="E11" t="s">
        <v>311</v>
      </c>
      <c r="F11" t="s">
        <v>312</v>
      </c>
      <c r="G11" t="s">
        <v>313</v>
      </c>
      <c r="H11" t="s">
        <v>314</v>
      </c>
      <c r="I11" t="s">
        <v>308</v>
      </c>
      <c r="J11" t="s">
        <v>410</v>
      </c>
      <c r="K11" t="s">
        <v>410</v>
      </c>
      <c r="L11" t="str">
        <f>siteUrl&amp;"/Lists/"&amp;custList&amp;"/DispForm.aspx?ID="&amp;Customers[[#This Row],[Id]]</f>
        <v>https://cleansheet5.sharepoint.com/sites/SalesFunnel//Lists/crmCustomers/DispForm.aspx?ID=10</v>
      </c>
      <c r="M11" t="e">
        <f>_xlfn.XLOOKUP(Customers[[#This Row],[Id]],Customers[Id],#REF!)</f>
        <v>#REF!</v>
      </c>
      <c r="N11" t="str">
        <f>_xlfn.XLOOKUP(Customers[[#This Row],[Id]],Customers[Id],Customers[url2])</f>
        <v>https://cleansheet5.sharepoint.com/sites/SalesFunnel//Lists/crmCustomers/DispForm.aspx?ID=10</v>
      </c>
      <c r="V11" t="s">
        <v>64</v>
      </c>
    </row>
    <row r="12" spans="1:22" x14ac:dyDescent="0.25">
      <c r="A12">
        <v>11</v>
      </c>
      <c r="B12" t="s">
        <v>315</v>
      </c>
      <c r="C12" t="s">
        <v>317</v>
      </c>
      <c r="D12" t="s">
        <v>318</v>
      </c>
      <c r="E12" t="s">
        <v>319</v>
      </c>
      <c r="F12" t="s">
        <v>231</v>
      </c>
      <c r="G12" t="s">
        <v>320</v>
      </c>
      <c r="H12" t="s">
        <v>321</v>
      </c>
      <c r="I12" t="s">
        <v>316</v>
      </c>
      <c r="J12" t="s">
        <v>411</v>
      </c>
      <c r="K12" t="s">
        <v>411</v>
      </c>
      <c r="L12" t="str">
        <f>siteUrl&amp;"/Lists/"&amp;custList&amp;"/DispForm.aspx?ID="&amp;Customers[[#This Row],[Id]]</f>
        <v>https://cleansheet5.sharepoint.com/sites/SalesFunnel//Lists/crmCustomers/DispForm.aspx?ID=11</v>
      </c>
      <c r="M12" t="e">
        <f>_xlfn.XLOOKUP(Customers[[#This Row],[Id]],Customers[Id],#REF!)</f>
        <v>#REF!</v>
      </c>
      <c r="N12" t="str">
        <f>_xlfn.XLOOKUP(Customers[[#This Row],[Id]],Customers[Id],Customers[url2])</f>
        <v>https://cleansheet5.sharepoint.com/sites/SalesFunnel//Lists/crmCustomers/DispForm.aspx?ID=11</v>
      </c>
      <c r="V12" t="s">
        <v>55</v>
      </c>
    </row>
    <row r="13" spans="1:22" x14ac:dyDescent="0.25">
      <c r="A13">
        <v>12</v>
      </c>
      <c r="B13" t="s">
        <v>322</v>
      </c>
      <c r="C13" t="s">
        <v>324</v>
      </c>
      <c r="D13" t="s">
        <v>302</v>
      </c>
      <c r="E13" t="s">
        <v>325</v>
      </c>
      <c r="F13" t="s">
        <v>326</v>
      </c>
      <c r="G13" t="s">
        <v>327</v>
      </c>
      <c r="H13" t="s">
        <v>328</v>
      </c>
      <c r="I13" t="s">
        <v>323</v>
      </c>
      <c r="J13" t="s">
        <v>412</v>
      </c>
      <c r="K13" t="s">
        <v>412</v>
      </c>
      <c r="L13" t="str">
        <f>siteUrl&amp;"/Lists/"&amp;custList&amp;"/DispForm.aspx?ID="&amp;Customers[[#This Row],[Id]]</f>
        <v>https://cleansheet5.sharepoint.com/sites/SalesFunnel//Lists/crmCustomers/DispForm.aspx?ID=12</v>
      </c>
      <c r="M13" t="e">
        <f>_xlfn.XLOOKUP(Customers[[#This Row],[Id]],Customers[Id],#REF!)</f>
        <v>#REF!</v>
      </c>
      <c r="N13" t="str">
        <f>_xlfn.XLOOKUP(Customers[[#This Row],[Id]],Customers[Id],Customers[url2])</f>
        <v>https://cleansheet5.sharepoint.com/sites/SalesFunnel//Lists/crmCustomers/DispForm.aspx?ID=12</v>
      </c>
      <c r="V13" t="s">
        <v>65</v>
      </c>
    </row>
    <row r="14" spans="1:22" x14ac:dyDescent="0.25">
      <c r="A14">
        <v>13</v>
      </c>
      <c r="B14" t="s">
        <v>329</v>
      </c>
      <c r="C14" t="s">
        <v>331</v>
      </c>
      <c r="D14" t="s">
        <v>332</v>
      </c>
      <c r="E14" t="s">
        <v>333</v>
      </c>
      <c r="F14" t="s">
        <v>334</v>
      </c>
      <c r="G14" t="s">
        <v>335</v>
      </c>
      <c r="H14" t="s">
        <v>231</v>
      </c>
      <c r="I14" t="s">
        <v>330</v>
      </c>
      <c r="J14" t="s">
        <v>413</v>
      </c>
      <c r="K14" t="s">
        <v>413</v>
      </c>
      <c r="L14" t="str">
        <f>siteUrl&amp;"/Lists/"&amp;custList&amp;"/DispForm.aspx?ID="&amp;Customers[[#This Row],[Id]]</f>
        <v>https://cleansheet5.sharepoint.com/sites/SalesFunnel//Lists/crmCustomers/DispForm.aspx?ID=13</v>
      </c>
      <c r="M14" t="e">
        <f>_xlfn.XLOOKUP(Customers[[#This Row],[Id]],Customers[Id],#REF!)</f>
        <v>#REF!</v>
      </c>
      <c r="N14" t="str">
        <f>_xlfn.XLOOKUP(Customers[[#This Row],[Id]],Customers[Id],Customers[url2])</f>
        <v>https://cleansheet5.sharepoint.com/sites/SalesFunnel//Lists/crmCustomers/DispForm.aspx?ID=13</v>
      </c>
      <c r="V14" t="s">
        <v>66</v>
      </c>
    </row>
    <row r="15" spans="1:22" x14ac:dyDescent="0.25">
      <c r="A15">
        <v>14</v>
      </c>
      <c r="B15" t="s">
        <v>336</v>
      </c>
      <c r="C15" t="s">
        <v>338</v>
      </c>
      <c r="D15" t="s">
        <v>339</v>
      </c>
      <c r="E15" t="s">
        <v>340</v>
      </c>
      <c r="F15" t="s">
        <v>205</v>
      </c>
      <c r="G15" t="s">
        <v>341</v>
      </c>
      <c r="H15" t="s">
        <v>342</v>
      </c>
      <c r="I15" t="s">
        <v>337</v>
      </c>
      <c r="J15" t="s">
        <v>414</v>
      </c>
      <c r="K15" t="s">
        <v>414</v>
      </c>
      <c r="L15" t="str">
        <f>siteUrl&amp;"/Lists/"&amp;custList&amp;"/DispForm.aspx?ID="&amp;Customers[[#This Row],[Id]]</f>
        <v>https://cleansheet5.sharepoint.com/sites/SalesFunnel//Lists/crmCustomers/DispForm.aspx?ID=14</v>
      </c>
      <c r="M15" t="e">
        <f>_xlfn.XLOOKUP(Customers[[#This Row],[Id]],Customers[Id],#REF!)</f>
        <v>#REF!</v>
      </c>
      <c r="N15" t="str">
        <f>_xlfn.XLOOKUP(Customers[[#This Row],[Id]],Customers[Id],Customers[url2])</f>
        <v>https://cleansheet5.sharepoint.com/sites/SalesFunnel//Lists/crmCustomers/DispForm.aspx?ID=14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https://cleansheet5.sharepoint.com/sites/SalesFunnel//Lists/crmCustomers/DispForm.aspx?ID=15</v>
      </c>
      <c r="M16" t="e">
        <f>_xlfn.XLOOKUP(Customers[[#This Row],[Id]],Customers[Id],#REF!)</f>
        <v>#REF!</v>
      </c>
      <c r="N16" t="str">
        <f>_xlfn.XLOOKUP(Customers[[#This Row],[Id]],Customers[Id],Customers[url2])</f>
        <v>https://cleansheet5.sharepoint.com/sites/SalesFunnel//Lists/crmCustomers/DispForm.aspx?ID=15</v>
      </c>
      <c r="V16" t="s">
        <v>58</v>
      </c>
    </row>
    <row r="17" spans="1:40" x14ac:dyDescent="0.25">
      <c r="A17">
        <v>16</v>
      </c>
      <c r="B17" t="s">
        <v>351</v>
      </c>
      <c r="C17" t="s">
        <v>353</v>
      </c>
      <c r="D17" t="s">
        <v>354</v>
      </c>
      <c r="E17" t="s">
        <v>355</v>
      </c>
      <c r="F17" t="s">
        <v>356</v>
      </c>
      <c r="G17" t="s">
        <v>357</v>
      </c>
      <c r="H17" t="s">
        <v>358</v>
      </c>
      <c r="I17" t="s">
        <v>352</v>
      </c>
      <c r="J17" t="s">
        <v>416</v>
      </c>
      <c r="K17" t="s">
        <v>416</v>
      </c>
      <c r="L17" t="str">
        <f>siteUrl&amp;"/Lists/"&amp;custList&amp;"/DispForm.aspx?ID="&amp;Customers[[#This Row],[Id]]</f>
        <v>https://cleansheet5.sharepoint.com/sites/SalesFunnel//Lists/crmCustomers/DispForm.aspx?ID=16</v>
      </c>
      <c r="M17" t="e">
        <f>_xlfn.XLOOKUP(Customers[[#This Row],[Id]],Customers[Id],#REF!)</f>
        <v>#REF!</v>
      </c>
      <c r="N17" t="str">
        <f>_xlfn.XLOOKUP(Customers[[#This Row],[Id]],Customers[Id],Customers[url2])</f>
        <v>https://cleansheet5.sharepoint.com/sites/SalesFunnel//Lists/crmCustomers/DispForm.aspx?ID=16</v>
      </c>
      <c r="V17" t="s">
        <v>54</v>
      </c>
    </row>
    <row r="18" spans="1:40" x14ac:dyDescent="0.25">
      <c r="A18">
        <v>17</v>
      </c>
      <c r="B18" t="s">
        <v>359</v>
      </c>
      <c r="C18" t="s">
        <v>361</v>
      </c>
      <c r="D18" t="s">
        <v>362</v>
      </c>
      <c r="E18" t="s">
        <v>363</v>
      </c>
      <c r="F18" t="s">
        <v>364</v>
      </c>
      <c r="G18" t="s">
        <v>365</v>
      </c>
      <c r="H18" t="s">
        <v>366</v>
      </c>
      <c r="I18" t="s">
        <v>360</v>
      </c>
      <c r="J18" t="s">
        <v>417</v>
      </c>
      <c r="K18" t="s">
        <v>417</v>
      </c>
      <c r="L18" t="str">
        <f>siteUrl&amp;"/Lists/"&amp;custList&amp;"/DispForm.aspx?ID="&amp;Customers[[#This Row],[Id]]</f>
        <v>https://cleansheet5.sharepoint.com/sites/SalesFunnel//Lists/crmCustomers/DispForm.aspx?ID=17</v>
      </c>
      <c r="M18" t="e">
        <f>_xlfn.XLOOKUP(Customers[[#This Row],[Id]],Customers[Id],#REF!)</f>
        <v>#REF!</v>
      </c>
      <c r="N18" t="str">
        <f>_xlfn.XLOOKUP(Customers[[#This Row],[Id]],Customers[Id],Customers[url2])</f>
        <v>https://cleansheet5.sharepoint.com/sites/SalesFunnel//Lists/crmCustomers/DispForm.aspx?ID=17</v>
      </c>
      <c r="V18" t="s">
        <v>67</v>
      </c>
    </row>
    <row r="19" spans="1:40" x14ac:dyDescent="0.25">
      <c r="A19">
        <v>18</v>
      </c>
      <c r="B19" t="s">
        <v>367</v>
      </c>
      <c r="C19" t="s">
        <v>369</v>
      </c>
      <c r="D19" t="s">
        <v>370</v>
      </c>
      <c r="E19" t="s">
        <v>371</v>
      </c>
      <c r="F19" t="s">
        <v>372</v>
      </c>
      <c r="G19" t="s">
        <v>373</v>
      </c>
      <c r="H19" t="s">
        <v>374</v>
      </c>
      <c r="I19" t="s">
        <v>368</v>
      </c>
      <c r="J19" t="s">
        <v>418</v>
      </c>
      <c r="K19" t="s">
        <v>418</v>
      </c>
      <c r="L19" t="str">
        <f>siteUrl&amp;"/Lists/"&amp;custList&amp;"/DispForm.aspx?ID="&amp;Customers[[#This Row],[Id]]</f>
        <v>https://cleansheet5.sharepoint.com/sites/SalesFunnel//Lists/crmCustomers/DispForm.aspx?ID=18</v>
      </c>
      <c r="M19" t="e">
        <f>_xlfn.XLOOKUP(Customers[[#This Row],[Id]],Customers[Id],#REF!)</f>
        <v>#REF!</v>
      </c>
      <c r="N19" t="str">
        <f>_xlfn.XLOOKUP(Customers[[#This Row],[Id]],Customers[Id],Customers[url2])</f>
        <v>https://cleansheet5.sharepoint.com/sites/SalesFunnel//Lists/crmCustomers/DispForm.aspx?ID=18</v>
      </c>
      <c r="V19" t="s">
        <v>55</v>
      </c>
    </row>
    <row r="20" spans="1:40" x14ac:dyDescent="0.25">
      <c r="A20">
        <v>19</v>
      </c>
      <c r="B20" t="s">
        <v>375</v>
      </c>
      <c r="C20" t="s">
        <v>377</v>
      </c>
      <c r="D20" t="s">
        <v>302</v>
      </c>
      <c r="E20" t="s">
        <v>378</v>
      </c>
      <c r="F20" t="s">
        <v>379</v>
      </c>
      <c r="G20" t="s">
        <v>380</v>
      </c>
      <c r="H20" t="s">
        <v>381</v>
      </c>
      <c r="I20" t="s">
        <v>376</v>
      </c>
      <c r="J20" t="s">
        <v>419</v>
      </c>
      <c r="K20" t="s">
        <v>419</v>
      </c>
      <c r="L20" t="str">
        <f>siteUrl&amp;"/Lists/"&amp;custList&amp;"/DispForm.aspx?ID="&amp;Customers[[#This Row],[Id]]</f>
        <v>https://cleansheet5.sharepoint.com/sites/SalesFunnel//Lists/crmCustomers/DispForm.aspx?ID=19</v>
      </c>
      <c r="M20" t="e">
        <f>_xlfn.XLOOKUP(Customers[[#This Row],[Id]],Customers[Id],#REF!)</f>
        <v>#REF!</v>
      </c>
      <c r="N20" t="str">
        <f>_xlfn.XLOOKUP(Customers[[#This Row],[Id]],Customers[Id],Customers[url2])</f>
        <v>https://cleansheet5.sharepoint.com/sites/SalesFunnel//Lists/crmCustomers/DispForm.aspx?ID=19</v>
      </c>
      <c r="V20" t="s">
        <v>68</v>
      </c>
    </row>
    <row r="21" spans="1:40" x14ac:dyDescent="0.25">
      <c r="A21">
        <v>20</v>
      </c>
      <c r="B21" t="s">
        <v>194</v>
      </c>
      <c r="C21" t="s">
        <v>196</v>
      </c>
      <c r="D21" t="s">
        <v>197</v>
      </c>
      <c r="E21" t="s">
        <v>198</v>
      </c>
      <c r="F21" t="s">
        <v>199</v>
      </c>
      <c r="G21" t="s">
        <v>200</v>
      </c>
      <c r="H21" t="s">
        <v>201</v>
      </c>
      <c r="I21" t="s">
        <v>195</v>
      </c>
      <c r="J21" t="s">
        <v>420</v>
      </c>
      <c r="K21" t="s">
        <v>420</v>
      </c>
      <c r="L21" t="str">
        <f>siteUrl&amp;"/Lists/"&amp;custList&amp;"/DispForm.aspx?ID="&amp;Customers[[#This Row],[Id]]</f>
        <v>https://cleansheet5.sharepoint.com/sites/SalesFunnel//Lists/crmCustomers/DispForm.aspx?ID=20</v>
      </c>
      <c r="M21" t="e">
        <f>_xlfn.XLOOKUP(Customers[[#This Row],[Id]],Customers[Id],#REF!)</f>
        <v>#REF!</v>
      </c>
      <c r="N21" t="str">
        <f>_xlfn.XLOOKUP(Customers[[#This Row],[Id]],Customers[Id],Customers[url2])</f>
        <v>https://cleansheet5.sharepoint.com/sites/SalesFunnel//Lists/crmCustomers/DispForm.aspx?ID=20</v>
      </c>
      <c r="V21" t="s">
        <v>69</v>
      </c>
    </row>
    <row r="22" spans="1:40" x14ac:dyDescent="0.25">
      <c r="A22">
        <v>21</v>
      </c>
      <c r="B22" t="s">
        <v>202</v>
      </c>
      <c r="C22" t="s">
        <v>204</v>
      </c>
      <c r="D22" t="s">
        <v>205</v>
      </c>
      <c r="E22" t="s">
        <v>206</v>
      </c>
      <c r="F22" t="s">
        <v>207</v>
      </c>
      <c r="G22" t="s">
        <v>208</v>
      </c>
      <c r="H22" t="s">
        <v>209</v>
      </c>
      <c r="I22" t="s">
        <v>203</v>
      </c>
      <c r="J22" t="s">
        <v>421</v>
      </c>
      <c r="K22" t="s">
        <v>421</v>
      </c>
      <c r="L22" t="str">
        <f>siteUrl&amp;"/Lists/"&amp;custList&amp;"/DispForm.aspx?ID="&amp;Customers[[#This Row],[Id]]</f>
        <v>https://cleansheet5.sharepoint.com/sites/SalesFunnel//Lists/crmCustomers/DispForm.aspx?ID=21</v>
      </c>
      <c r="M22" t="e">
        <f>_xlfn.XLOOKUP(Customers[[#This Row],[Id]],Customers[Id],#REF!)</f>
        <v>#REF!</v>
      </c>
      <c r="N22" t="str">
        <f>_xlfn.XLOOKUP(Customers[[#This Row],[Id]],Customers[Id],Customers[url2])</f>
        <v>https://cleansheet5.sharepoint.com/sites/SalesFunnel//Lists/crmCustomers/DispForm.aspx?ID=21</v>
      </c>
      <c r="V22" t="s">
        <v>57</v>
      </c>
    </row>
    <row r="23" spans="1:40" x14ac:dyDescent="0.25">
      <c r="A23">
        <v>22</v>
      </c>
      <c r="B23" t="s">
        <v>210</v>
      </c>
      <c r="C23" t="s">
        <v>212</v>
      </c>
      <c r="D23" t="s">
        <v>213</v>
      </c>
      <c r="E23" t="s">
        <v>214</v>
      </c>
      <c r="F23" t="s">
        <v>215</v>
      </c>
      <c r="G23" t="s">
        <v>216</v>
      </c>
      <c r="H23" t="s">
        <v>217</v>
      </c>
      <c r="I23" t="s">
        <v>211</v>
      </c>
      <c r="J23" t="s">
        <v>422</v>
      </c>
      <c r="K23" t="s">
        <v>422</v>
      </c>
      <c r="L23" t="str">
        <f>siteUrl&amp;"/Lists/"&amp;custList&amp;"/DispForm.aspx?ID="&amp;Customers[[#This Row],[Id]]</f>
        <v>https://cleansheet5.sharepoint.com/sites/SalesFunnel//Lists/crmCustomers/DispForm.aspx?ID=22</v>
      </c>
      <c r="M23" t="e">
        <f>_xlfn.XLOOKUP(Customers[[#This Row],[Id]],Customers[Id],#REF!)</f>
        <v>#REF!</v>
      </c>
      <c r="N23" t="str">
        <f>_xlfn.XLOOKUP(Customers[[#This Row],[Id]],Customers[Id],Customers[url2])</f>
        <v>https://cleansheet5.sharepoint.com/sites/SalesFunnel//Lists/crmCustomers/DispForm.aspx?ID=22</v>
      </c>
      <c r="V23" t="s">
        <v>58</v>
      </c>
    </row>
    <row r="24" spans="1:40" x14ac:dyDescent="0.25">
      <c r="A24">
        <v>23</v>
      </c>
      <c r="B24" t="s">
        <v>218</v>
      </c>
      <c r="C24" t="s">
        <v>220</v>
      </c>
      <c r="D24" t="s">
        <v>221</v>
      </c>
      <c r="E24" t="s">
        <v>222</v>
      </c>
      <c r="F24" t="s">
        <v>223</v>
      </c>
      <c r="G24" t="s">
        <v>224</v>
      </c>
      <c r="H24" t="s">
        <v>225</v>
      </c>
      <c r="I24" t="s">
        <v>219</v>
      </c>
      <c r="J24" t="s">
        <v>423</v>
      </c>
      <c r="K24" t="s">
        <v>423</v>
      </c>
      <c r="L24" t="str">
        <f>siteUrl&amp;"/Lists/"&amp;custList&amp;"/DispForm.aspx?ID="&amp;Customers[[#This Row],[Id]]</f>
        <v>https://cleansheet5.sharepoint.com/sites/SalesFunnel//Lists/crmCustomers/DispForm.aspx?ID=23</v>
      </c>
      <c r="M24" t="e">
        <f>_xlfn.XLOOKUP(Customers[[#This Row],[Id]],Customers[Id],#REF!)</f>
        <v>#REF!</v>
      </c>
      <c r="N24" t="str">
        <f>_xlfn.XLOOKUP(Customers[[#This Row],[Id]],Customers[Id],Customers[url2])</f>
        <v>https://cleansheet5.sharepoint.com/sites/SalesFunnel//Lists/crmCustomers/DispForm.aspx?ID=23</v>
      </c>
      <c r="V24" t="s">
        <v>54</v>
      </c>
    </row>
    <row r="25" spans="1:40" x14ac:dyDescent="0.25">
      <c r="A25">
        <v>24</v>
      </c>
      <c r="B25" t="s">
        <v>226</v>
      </c>
      <c r="C25" t="s">
        <v>228</v>
      </c>
      <c r="D25" t="s">
        <v>229</v>
      </c>
      <c r="E25" t="s">
        <v>230</v>
      </c>
      <c r="F25" t="s">
        <v>231</v>
      </c>
      <c r="G25" t="s">
        <v>232</v>
      </c>
      <c r="H25" t="s">
        <v>233</v>
      </c>
      <c r="I25" t="s">
        <v>227</v>
      </c>
      <c r="J25" t="s">
        <v>424</v>
      </c>
      <c r="K25" t="s">
        <v>424</v>
      </c>
      <c r="L25" t="str">
        <f>siteUrl&amp;"/Lists/"&amp;custList&amp;"/DispForm.aspx?ID="&amp;Customers[[#This Row],[Id]]</f>
        <v>https://cleansheet5.sharepoint.com/sites/SalesFunnel//Lists/crmCustomers/DispForm.aspx?ID=24</v>
      </c>
      <c r="M25" t="e">
        <f>_xlfn.XLOOKUP(Customers[[#This Row],[Id]],Customers[Id],#REF!)</f>
        <v>#REF!</v>
      </c>
      <c r="N25" t="str">
        <f>_xlfn.XLOOKUP(Customers[[#This Row],[Id]],Customers[Id],Customers[url2])</f>
        <v>https://cleansheet5.sharepoint.com/sites/SalesFunnel//Lists/crmCustomers/DispForm.aspx?ID=24</v>
      </c>
      <c r="V25" t="s">
        <v>70</v>
      </c>
    </row>
    <row r="26" spans="1:40" x14ac:dyDescent="0.25">
      <c r="A26">
        <v>25</v>
      </c>
      <c r="B26" t="s">
        <v>234</v>
      </c>
      <c r="C26" t="s">
        <v>236</v>
      </c>
      <c r="D26" t="s">
        <v>134</v>
      </c>
      <c r="E26" t="s">
        <v>237</v>
      </c>
      <c r="F26" t="s">
        <v>238</v>
      </c>
      <c r="G26" t="s">
        <v>239</v>
      </c>
      <c r="H26" t="s">
        <v>240</v>
      </c>
      <c r="I26" t="s">
        <v>235</v>
      </c>
      <c r="J26" t="s">
        <v>425</v>
      </c>
      <c r="K26" t="s">
        <v>425</v>
      </c>
      <c r="L26" t="str">
        <f>siteUrl&amp;"/Lists/"&amp;custList&amp;"/DispForm.aspx?ID="&amp;Customers[[#This Row],[Id]]</f>
        <v>https://cleansheet5.sharepoint.com/sites/SalesFunnel//Lists/crmCustomers/DispForm.aspx?ID=25</v>
      </c>
      <c r="M26" t="e">
        <f>_xlfn.XLOOKUP(Customers[[#This Row],[Id]],Customers[Id],#REF!)</f>
        <v>#REF!</v>
      </c>
      <c r="N26" t="str">
        <f>_xlfn.XLOOKUP(Customers[[#This Row],[Id]],Customers[Id],Customers[url2])</f>
        <v>https://cleansheet5.sharepoint.com/sites/SalesFunnel//Lists/crmCustomers/DispForm.aspx?ID=25</v>
      </c>
      <c r="V26" t="s">
        <v>55</v>
      </c>
    </row>
    <row r="27" spans="1:40" x14ac:dyDescent="0.25">
      <c r="A27">
        <v>26</v>
      </c>
      <c r="B27" t="s">
        <v>241</v>
      </c>
      <c r="C27" t="s">
        <v>243</v>
      </c>
      <c r="D27" t="s">
        <v>244</v>
      </c>
      <c r="E27" t="s">
        <v>245</v>
      </c>
      <c r="F27" t="s">
        <v>205</v>
      </c>
      <c r="G27" t="s">
        <v>246</v>
      </c>
      <c r="H27" t="s">
        <v>247</v>
      </c>
      <c r="I27" t="s">
        <v>242</v>
      </c>
      <c r="J27" t="s">
        <v>426</v>
      </c>
      <c r="K27" t="s">
        <v>426</v>
      </c>
      <c r="L27" t="str">
        <f>siteUrl&amp;"/Lists/"&amp;custList&amp;"/DispForm.aspx?ID="&amp;Customers[[#This Row],[Id]]</f>
        <v>https://cleansheet5.sharepoint.com/sites/SalesFunnel//Lists/crmCustomers/DispForm.aspx?ID=26</v>
      </c>
      <c r="M27" t="e">
        <f>_xlfn.XLOOKUP(Customers[[#This Row],[Id]],Customers[Id],#REF!)</f>
        <v>#REF!</v>
      </c>
      <c r="N27" t="str">
        <f>_xlfn.XLOOKUP(Customers[[#This Row],[Id]],Customers[Id],Customers[url2])</f>
        <v>https://cleansheet5.sharepoint.com/sites/SalesFunnel//Lists/crmCustomers/DispForm.aspx?ID=26</v>
      </c>
      <c r="V27" t="s">
        <v>71</v>
      </c>
    </row>
    <row r="28" spans="1:40" x14ac:dyDescent="0.25">
      <c r="A28">
        <v>27</v>
      </c>
      <c r="B28" t="s">
        <v>248</v>
      </c>
      <c r="C28" t="s">
        <v>250</v>
      </c>
      <c r="D28" t="s">
        <v>251</v>
      </c>
      <c r="E28" t="s">
        <v>252</v>
      </c>
      <c r="F28" t="s">
        <v>253</v>
      </c>
      <c r="G28" t="s">
        <v>254</v>
      </c>
      <c r="H28" t="s">
        <v>255</v>
      </c>
      <c r="I28" t="s">
        <v>249</v>
      </c>
      <c r="J28" t="s">
        <v>427</v>
      </c>
      <c r="K28" t="s">
        <v>427</v>
      </c>
      <c r="L28" t="str">
        <f>siteUrl&amp;"/Lists/"&amp;custList&amp;"/DispForm.aspx?ID="&amp;Customers[[#This Row],[Id]]</f>
        <v>https://cleansheet5.sharepoint.com/sites/SalesFunnel//Lists/crmCustomers/DispForm.aspx?ID=27</v>
      </c>
      <c r="M28" t="e">
        <f>_xlfn.XLOOKUP(Customers[[#This Row],[Id]],Customers[Id],#REF!)</f>
        <v>#REF!</v>
      </c>
      <c r="N28" t="str">
        <f>_xlfn.XLOOKUP(Customers[[#This Row],[Id]],Customers[Id],Customers[url2])</f>
        <v>https://cleansheet5.sharepoint.com/sites/SalesFunnel//Lists/crmCustomers/DispForm.aspx?ID=27</v>
      </c>
      <c r="V28" t="s">
        <v>72</v>
      </c>
    </row>
    <row r="29" spans="1:40" x14ac:dyDescent="0.25">
      <c r="A29">
        <v>28</v>
      </c>
      <c r="B29" t="s">
        <v>256</v>
      </c>
      <c r="C29" t="s">
        <v>258</v>
      </c>
      <c r="D29" t="s">
        <v>259</v>
      </c>
      <c r="E29" t="s">
        <v>260</v>
      </c>
      <c r="F29" t="s">
        <v>261</v>
      </c>
      <c r="G29" t="s">
        <v>262</v>
      </c>
      <c r="H29" t="s">
        <v>263</v>
      </c>
      <c r="I29" t="s">
        <v>257</v>
      </c>
      <c r="J29" t="s">
        <v>428</v>
      </c>
      <c r="K29" t="s">
        <v>428</v>
      </c>
      <c r="L29" t="str">
        <f>siteUrl&amp;"/Lists/"&amp;custList&amp;"/DispForm.aspx?ID="&amp;Customers[[#This Row],[Id]]</f>
        <v>https://cleansheet5.sharepoint.com/sites/SalesFunnel//Lists/crmCustomers/DispForm.aspx?ID=28</v>
      </c>
      <c r="M29" t="e">
        <f>_xlfn.XLOOKUP(Customers[[#This Row],[Id]],Customers[Id],#REF!)</f>
        <v>#REF!</v>
      </c>
      <c r="N29" t="str">
        <f>_xlfn.XLOOKUP(Customers[[#This Row],[Id]],Customers[Id],Customers[url2])</f>
        <v>https://cleansheet5.sharepoint.com/sites/SalesFunnel//Lists/crmCustomers/DispForm.aspx?ID=28</v>
      </c>
      <c r="V29" t="s">
        <v>57</v>
      </c>
    </row>
    <row r="30" spans="1:40" x14ac:dyDescent="0.25">
      <c r="A30">
        <v>29</v>
      </c>
      <c r="B30" t="s">
        <v>264</v>
      </c>
      <c r="C30" t="s">
        <v>266</v>
      </c>
      <c r="D30" t="s">
        <v>136</v>
      </c>
      <c r="E30" t="s">
        <v>267</v>
      </c>
      <c r="F30" t="s">
        <v>268</v>
      </c>
      <c r="G30" t="s">
        <v>269</v>
      </c>
      <c r="H30" t="s">
        <v>270</v>
      </c>
      <c r="I30" t="s">
        <v>265</v>
      </c>
      <c r="J30" t="s">
        <v>429</v>
      </c>
      <c r="K30" t="s">
        <v>429</v>
      </c>
      <c r="L30" t="str">
        <f>siteUrl&amp;"/Lists/"&amp;custList&amp;"/DispForm.aspx?ID="&amp;Customers[[#This Row],[Id]]</f>
        <v>https://cleansheet5.sharepoint.com/sites/SalesFunnel//Lists/crmCustomers/DispForm.aspx?ID=29</v>
      </c>
      <c r="M30" t="e">
        <f>_xlfn.XLOOKUP(Customers[[#This Row],[Id]],Customers[Id],#REF!)</f>
        <v>#REF!</v>
      </c>
      <c r="N30" t="str">
        <f>_xlfn.XLOOKUP(Customers[[#This Row],[Id]],Customers[Id],Customers[url2])</f>
        <v>https://cleansheet5.sharepoint.com/sites/SalesFunnel//Lists/crmCustomers/DispForm.aspx?ID=29</v>
      </c>
      <c r="V30" t="s">
        <v>59</v>
      </c>
    </row>
    <row r="31" spans="1:40" x14ac:dyDescent="0.25">
      <c r="A31">
        <v>30</v>
      </c>
      <c r="B31" t="s">
        <v>271</v>
      </c>
      <c r="C31" t="s">
        <v>273</v>
      </c>
      <c r="D31" t="s">
        <v>274</v>
      </c>
      <c r="E31" t="s">
        <v>275</v>
      </c>
      <c r="F31" t="s">
        <v>276</v>
      </c>
      <c r="G31" t="s">
        <v>277</v>
      </c>
      <c r="H31" t="s">
        <v>278</v>
      </c>
      <c r="I31" t="s">
        <v>272</v>
      </c>
      <c r="J31" t="s">
        <v>430</v>
      </c>
      <c r="K31" t="s">
        <v>430</v>
      </c>
      <c r="L31" t="str">
        <f>siteUrl&amp;"/Lists/"&amp;custList&amp;"/DispForm.aspx?ID="&amp;Customers[[#This Row],[Id]]</f>
        <v>https://cleansheet5.sharepoint.com/sites/SalesFunnel//Lists/crmCustomers/DispForm.aspx?ID=30</v>
      </c>
      <c r="M31" t="e">
        <f>_xlfn.XLOOKUP(Customers[[#This Row],[Id]],Customers[Id],#REF!)</f>
        <v>#REF!</v>
      </c>
      <c r="N31" t="str">
        <f>_xlfn.XLOOKUP(Customers[[#This Row],[Id]],Customers[Id],Customers[url2])</f>
        <v>https://cleansheet5.sharepoint.com/sites/SalesFunnel//Lists/crmCustomers/DispForm.aspx?ID=30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AA6" sqref="AA6"/>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52.855073000000004</v>
      </c>
      <c r="C2" s="15">
        <f>SUBTOTAL(3,View[[🔗Customer ]])</f>
        <v>40</v>
      </c>
      <c r="D2" s="16">
        <f>(B2-(SUBTOTAL(9,View[Estmated Revenue])/1000))/B2</f>
        <v>0.58223053821153548</v>
      </c>
      <c r="E2" s="18">
        <f>SUMIFS(Opportunities[Amount],Opportunities[High Probability],TRUE,View[Visible],1)/1000/1000</f>
        <v>8.9992440000000009</v>
      </c>
      <c r="H2" t="s">
        <v>49</v>
      </c>
      <c r="I2">
        <f>IF(I1="","",COUNTIFS(View[Visible],1,View[Close Quarter],graphics!I1))</f>
        <v>5</v>
      </c>
      <c r="J2">
        <f>IF(J1="","",COUNTIFS(View[Visible],1,View[Close Quarter],graphics!J1))</f>
        <v>5</v>
      </c>
      <c r="K2">
        <f>IF(K1="","",COUNTIFS(View[Visible],1,View[Close Quarter],graphics!K1))</f>
        <v>3</v>
      </c>
      <c r="L2">
        <f>IF(L1="","",COUNTIFS(View[Visible],1,View[Close Quarter],graphics!L1))</f>
        <v>11</v>
      </c>
      <c r="M2">
        <f>IF(M1="","",COUNTIFS(View[Visible],1,View[Close Quarter],graphics!M1))</f>
        <v>6</v>
      </c>
      <c r="N2">
        <f>IF(N1="","",COUNTIFS(View[Visible],1,View[Close Quarter],graphics!N1))</f>
        <v>10</v>
      </c>
      <c r="Q2" t="str" cm="1">
        <f t="array" ref="Q2:Q7">(_xlfn._xlws.SORT(_xlfn.UNIQUE(View[Stage])))</f>
        <v>➀ - Lead Qualification</v>
      </c>
      <c r="R2">
        <f>IF(R$1="","",SUMIFS(View[Unweighted],View[Close Quarter],R$1,View[Stage],$Q2,View[Visible],1)/1000)</f>
        <v>1.579156</v>
      </c>
      <c r="S2">
        <f>IF(S$1="","",SUMIFS(View[Unweighted],View[Close Quarter],S$1,View[Stage],$Q2,View[Visible],1)/1000)</f>
        <v>1.6364539999999999</v>
      </c>
      <c r="T2">
        <f>IF(T$1="","",SUMIFS(View[Unweighted],View[Close Quarter],T$1,View[Stage],$Q2,View[Visible],1)/1000)</f>
        <v>2.7819579999999999</v>
      </c>
      <c r="U2">
        <f>IF(U$1="","",SUMIFS(View[Unweighted],View[Close Quarter],U$1,View[Stage],$Q2,View[Visible],1)/1000)</f>
        <v>0</v>
      </c>
      <c r="V2">
        <f>IF(V$1="","",SUMIFS(View[Unweighted],View[Close Quarter],V$1,View[Stage],$Q2,View[Visible],1)/1000)</f>
        <v>1.3937889999999999</v>
      </c>
      <c r="W2">
        <f>IF(W$1="","",SUMIFS(View[Unweighted],View[Close Quarter],W$1,View[Stage],$Q2,View[Visible],1)/1000)</f>
        <v>2.586633</v>
      </c>
      <c r="AF2" t="s">
        <v>81</v>
      </c>
      <c r="AG2" t="s">
        <v>25</v>
      </c>
      <c r="AH2" s="27">
        <f>IF(AH$1="","",SUMIFS(View[Unweighted],View[Close Quarter],AH$1,View[S],$AF2,View[Visible],1)/1000)</f>
        <v>1.0027949999999999</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6.3072939999999997</v>
      </c>
      <c r="J3" s="4">
        <f>IF(J1="","",SUMIFS(View[Unweighted],View[Visible],1,View[Close Quarter],graphics!J$1)/1000)</f>
        <v>7.6231790000000004</v>
      </c>
      <c r="K3" s="4">
        <f>IF(K1="","",SUMIFS(View[Unweighted],View[Visible],1,View[Close Quarter],graphics!K$1)/1000)</f>
        <v>3.565874</v>
      </c>
      <c r="L3" s="4">
        <f>IF(L1="","",SUMIFS(View[Unweighted],View[Visible],1,View[Close Quarter],graphics!L$1)/1000)</f>
        <v>15.404707</v>
      </c>
      <c r="M3" s="4">
        <f>IF(M1="","",SUMIFS(View[Unweighted],View[Visible],1,View[Close Quarter],graphics!M$1)/1000)</f>
        <v>7.678655</v>
      </c>
      <c r="N3" s="4">
        <f>IF(N1="","",SUMIFS(View[Unweighted],View[Visible],1,View[Close Quarter],graphics!N$1)/1000)</f>
        <v>12.275363999999998</v>
      </c>
      <c r="Q3" t="str">
        <v>➁ - Nurturing</v>
      </c>
      <c r="R3">
        <f>IF(R$1="","",SUMIFS(View[Unweighted],View[Close Quarter],R$1,View[Stage],$Q3,View[Visible],1)/1000)</f>
        <v>4.3608069999999994</v>
      </c>
      <c r="S3">
        <f>IF(S$1="","",SUMIFS(View[Unweighted],View[Close Quarter],S$1,View[Stage],$Q3,View[Visible],1)/1000)</f>
        <v>3.6381840000000003</v>
      </c>
      <c r="T3">
        <f>IF(T$1="","",SUMIFS(View[Unweighted],View[Close Quarter],T$1,View[Stage],$Q3,View[Visible],1)/1000)</f>
        <v>1.4657159999999998</v>
      </c>
      <c r="U3">
        <f>IF(U$1="","",SUMIFS(View[Unweighted],View[Close Quarter],U$1,View[Stage],$Q3,View[Visible],1)/1000)</f>
        <v>0</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2.6787910000000004</v>
      </c>
      <c r="AI3" s="27">
        <f>IF(AI$1="","",SUMIFS(View[Unweighted],View[Close Quarter],AI$1,View[S],$AF3,View[Visible],1)/1000)</f>
        <v>0</v>
      </c>
      <c r="AJ3" s="27">
        <f>IF(AJ$1="","",SUMIFS(View[Unweighted],View[Close Quarter],AJ$1,View[S],$AF3,View[Visible],1)/1000)</f>
        <v>2.523752</v>
      </c>
      <c r="AK3" s="27">
        <f>IF(AK$1="","",SUMIFS(View[Unweighted],View[Close Quarter],AK$1,View[S],$AF3,View[Visible],1)/1000)</f>
        <v>0</v>
      </c>
      <c r="AL3" s="27">
        <f>IF(AL$1="","",SUMIFS(View[Unweighted],View[Close Quarter],AL$1,View[S],$AF3,View[Visible],1)/1000)</f>
        <v>2.1533510000000002</v>
      </c>
      <c r="AM3" s="27">
        <f>IF(AM$1="","",SUMIFS(View[Unweighted],View[Close Quarter],AM$1,View[S],$AF3,View[Visible],1)/1000)</f>
        <v>0.99427300000000007</v>
      </c>
    </row>
    <row r="4" spans="1:39" x14ac:dyDescent="0.25">
      <c r="H4" t="s">
        <v>41</v>
      </c>
      <c r="I4" s="4">
        <f>IF(I1="","",SUMIFS(View[Estmated Revenue],View[Visible],1,View[Close Quarter],graphics!I$1)/1000)</f>
        <v>2.2412821000000003</v>
      </c>
      <c r="J4" s="4">
        <f>IF(J1="","",SUMIFS(View[Estmated Revenue],View[Visible],1,View[Close Quarter],graphics!J$1)/1000)</f>
        <v>3.3043256000000003</v>
      </c>
      <c r="K4" s="4">
        <f>IF(K1="","",SUMIFS(View[Estmated Revenue],View[Visible],1,View[Close Quarter],graphics!K$1)/1000)</f>
        <v>1.6621391000000001</v>
      </c>
      <c r="L4" s="4">
        <f>IF(L1="","",SUMIFS(View[Estmated Revenue],View[Visible],1,View[Close Quarter],graphics!L$1)/1000)</f>
        <v>5.5252934000000007</v>
      </c>
      <c r="M4" s="4">
        <f>IF(M1="","",SUMIFS(View[Estmated Revenue],View[Visible],1,View[Close Quarter],graphics!M$1)/1000)</f>
        <v>2.2056048000000001</v>
      </c>
      <c r="N4" s="4">
        <f>IF(N1="","",SUMIFS(View[Estmated Revenue],View[Visible],1,View[Close Quarter],graphics!N$1)/1000)</f>
        <v>7.1425904000000005</v>
      </c>
      <c r="Q4" t="str">
        <v>➂ - Proposal</v>
      </c>
      <c r="R4">
        <f>IF(R$1="","",SUMIFS(View[Unweighted],View[Close Quarter],R$1,View[Stage],$Q4,View[Visible],1)/1000)</f>
        <v>2.1076680000000003</v>
      </c>
      <c r="S4">
        <f>IF(S$1="","",SUMIFS(View[Unweighted],View[Close Quarter],S$1,View[Stage],$Q4,View[Visible],1)/1000)</f>
        <v>0.59574699999999992</v>
      </c>
      <c r="T4">
        <f>IF(T$1="","",SUMIFS(View[Unweighted],View[Close Quarter],T$1,View[Stage],$Q4,View[Visible],1)/1000)</f>
        <v>2.646817</v>
      </c>
      <c r="U4">
        <f>IF(U$1="","",SUMIFS(View[Unweighted],View[Close Quarter],U$1,View[Stage],$Q4,View[Visible],1)/1000)</f>
        <v>1.09283</v>
      </c>
      <c r="V4">
        <f>IF(V$1="","",SUMIFS(View[Unweighted],View[Close Quarter],V$1,View[Stage],$Q4,View[Visible],1)/1000)</f>
        <v>1.6681199999999998</v>
      </c>
      <c r="W4">
        <f>IF(W$1="","",SUMIFS(View[Unweighted],View[Close Quarter],W$1,View[Stage],$Q4,View[Visible],1)/1000)</f>
        <v>0</v>
      </c>
      <c r="AF4" t="s">
        <v>83</v>
      </c>
      <c r="AG4" t="s">
        <v>19</v>
      </c>
      <c r="AH4" s="27">
        <f>IF(AH$1="","",SUMIFS(View[Unweighted],View[Close Quarter],AH$1,View[S],$AF4,View[Visible],1)/1000)</f>
        <v>8.5937779999999986</v>
      </c>
      <c r="AI4" s="27">
        <f>IF(AI$1="","",SUMIFS(View[Unweighted],View[Close Quarter],AI$1,View[S],$AF4,View[Visible],1)/1000)</f>
        <v>7.678655</v>
      </c>
      <c r="AJ4" s="27">
        <f>IF(AJ$1="","",SUMIFS(View[Unweighted],View[Close Quarter],AJ$1,View[S],$AF4,View[Visible],1)/1000)</f>
        <v>12.880955</v>
      </c>
      <c r="AK4" s="27">
        <f>IF(AK$1="","",SUMIFS(View[Unweighted],View[Close Quarter],AK$1,View[S],$AF4,View[Visible],1)/1000)</f>
        <v>3.565874</v>
      </c>
      <c r="AL4" s="27">
        <f>IF(AL$1="","",SUMIFS(View[Unweighted],View[Close Quarter],AL$1,View[S],$AF4,View[Visible],1)/1000)</f>
        <v>5.4698279999999997</v>
      </c>
      <c r="AM4" s="27">
        <f>IF(AM$1="","",SUMIFS(View[Unweighted],View[Close Quarter],AM$1,View[S],$AF4,View[Visible],1)/1000)</f>
        <v>5.313021</v>
      </c>
    </row>
    <row r="5" spans="1:39" x14ac:dyDescent="0.25">
      <c r="Q5" t="str">
        <v>➃ - Negotiation</v>
      </c>
      <c r="R5">
        <f>IF(R$1="","",SUMIFS(View[Unweighted],View[Close Quarter],R$1,View[Stage],$Q5,View[Visible],1)/1000)</f>
        <v>0.48203299999999999</v>
      </c>
      <c r="S5">
        <f>IF(S$1="","",SUMIFS(View[Unweighted],View[Close Quarter],S$1,View[Stage],$Q5,View[Visible],1)/1000)</f>
        <v>0</v>
      </c>
      <c r="T5">
        <f>IF(T$1="","",SUMIFS(View[Unweighted],View[Close Quarter],T$1,View[Stage],$Q5,View[Visible],1)/1000)</f>
        <v>6.6854320000000005</v>
      </c>
      <c r="U5">
        <f>IF(U$1="","",SUMIFS(View[Unweighted],View[Close Quarter],U$1,View[Stage],$Q5,View[Visible],1)/1000)</f>
        <v>0</v>
      </c>
      <c r="V5">
        <f>IF(V$1="","",SUMIFS(View[Unweighted],View[Close Quarter],V$1,View[Stage],$Q5,View[Visible],1)/1000)</f>
        <v>1.1773560000000001</v>
      </c>
      <c r="W5">
        <f>IF(W$1="","",SUMIFS(View[Unweighted],View[Close Quarter],W$1,View[Stage],$Q5,View[Visible],1)/1000)</f>
        <v>1.542697</v>
      </c>
    </row>
    <row r="6" spans="1:39" x14ac:dyDescent="0.25">
      <c r="Q6" t="str">
        <v>➄ - Project Execution</v>
      </c>
      <c r="R6">
        <f>IF(R$1="","",SUMIFS(View[Unweighted],View[Close Quarter],R$1,View[Stage],$Q6,View[Visible],1)/1000)</f>
        <v>3.7456999999999998</v>
      </c>
      <c r="S6">
        <f>IF(S$1="","",SUMIFS(View[Unweighted],View[Close Quarter],S$1,View[Stage],$Q6,View[Visible],1)/1000)</f>
        <v>0</v>
      </c>
      <c r="T6">
        <f>IF(T$1="","",SUMIFS(View[Unweighted],View[Close Quarter],T$1,View[Stage],$Q6,View[Visible],1)/1000)</f>
        <v>0</v>
      </c>
      <c r="U6">
        <f>IF(U$1="","",SUMIFS(View[Unweighted],View[Close Quarter],U$1,View[Stage],$Q6,View[Visible],1)/1000)</f>
        <v>0.90871100000000005</v>
      </c>
      <c r="V6">
        <f>IF(V$1="","",SUMIFS(View[Unweighted],View[Close Quarter],V$1,View[Stage],$Q6,View[Visible],1)/1000)</f>
        <v>1.2305630000000001</v>
      </c>
      <c r="W6">
        <f>IF(W$1="","",SUMIFS(View[Unweighted],View[Close Quarter],W$1,View[Stage],$Q6,View[Visible],1)/1000)</f>
        <v>1.0884610000000001</v>
      </c>
    </row>
    <row r="7" spans="1:39" x14ac:dyDescent="0.25">
      <c r="Q7" t="str">
        <v>➅ - Closeout</v>
      </c>
      <c r="R7">
        <f>IF(R$1="","",SUMIFS(View[Unweighted],View[Close Quarter],R$1,View[Stage],$Q7,View[Visible],1)/1000)</f>
        <v>0</v>
      </c>
      <c r="S7">
        <f>IF(S$1="","",SUMIFS(View[Unweighted],View[Close Quarter],S$1,View[Stage],$Q7,View[Visible],1)/1000)</f>
        <v>1.80827</v>
      </c>
      <c r="T7">
        <f>IF(T$1="","",SUMIFS(View[Unweighted],View[Close Quarter],T$1,View[Stage],$Q7,View[Visible],1)/1000)</f>
        <v>1.8247840000000002</v>
      </c>
      <c r="U7">
        <f>IF(U$1="","",SUMIFS(View[Unweighted],View[Close Quarter],U$1,View[Stage],$Q7,View[Visible],1)/1000)</f>
        <v>1.564333</v>
      </c>
      <c r="V7">
        <f>IF(V$1="","",SUMIFS(View[Unweighted],View[Close Quarter],V$1,View[Stage],$Q7,View[Visible],1)/1000)</f>
        <v>2.1533510000000002</v>
      </c>
      <c r="W7">
        <f>IF(W$1="","",SUMIFS(View[Unweighted],View[Close Quarter],W$1,View[Stage],$Q7,View[Visible],1)/1000)</f>
        <v>1.0895029999999999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9.9779899999999984</v>
      </c>
    </row>
    <row r="12" spans="1:39" x14ac:dyDescent="0.25">
      <c r="A12" t="str">
        <f>_xlfn.XLOOKUP(B12,stage[Display],stage[Stage Name])</f>
        <v>Nurturing</v>
      </c>
      <c r="B12" t="s">
        <v>384</v>
      </c>
      <c r="C12">
        <f>COUNTIF(View[Stage],B12)</f>
        <v>7</v>
      </c>
      <c r="D12" s="22">
        <f>SUMIFS(View[Opp Value],View[Stage],B12,View[Visible],1)/1000</f>
        <v>9.4647070000000006</v>
      </c>
    </row>
    <row r="13" spans="1:39" x14ac:dyDescent="0.25">
      <c r="A13" t="str">
        <f>_xlfn.XLOOKUP(B13,stage[Display],stage[Stage Name])</f>
        <v>Proposal</v>
      </c>
      <c r="B13" t="s">
        <v>385</v>
      </c>
      <c r="C13">
        <f>COUNTIF(View[Stage],B13)</f>
        <v>7</v>
      </c>
      <c r="D13" s="22">
        <f>SUMIFS(View[Opp Value],View[Stage],B13,View[Visible],1)/1000</f>
        <v>8.1111820000000012</v>
      </c>
    </row>
    <row r="14" spans="1:39" x14ac:dyDescent="0.25">
      <c r="A14" t="str">
        <f>_xlfn.XLOOKUP(B14,stage[Display],stage[Stage Name])</f>
        <v>Negotiation</v>
      </c>
      <c r="B14" t="s">
        <v>386</v>
      </c>
      <c r="C14">
        <f>COUNTIF(View[Stage],B14)</f>
        <v>7</v>
      </c>
      <c r="D14" s="22">
        <f>SUMIFS(View[Opp Value],View[Stage],B14,View[Visible],1)/1000</f>
        <v>9.887518</v>
      </c>
    </row>
    <row r="15" spans="1:39" x14ac:dyDescent="0.25">
      <c r="A15" t="str">
        <f>_xlfn.XLOOKUP(B15,stage[Display],stage[Stage Name])</f>
        <v>Project Execution</v>
      </c>
      <c r="B15" t="s">
        <v>387</v>
      </c>
      <c r="C15">
        <f>COUNTIF(View[Stage],B15)</f>
        <v>6</v>
      </c>
      <c r="D15" s="22">
        <f>SUMIFS(View[Opp Value],View[Stage],B15,View[Visible],1)/1000</f>
        <v>6.9734350000000003</v>
      </c>
    </row>
    <row r="16" spans="1:39" x14ac:dyDescent="0.25">
      <c r="A16" t="str">
        <f>_xlfn.XLOOKUP(B16,stage[Display],stage[Stage Name])</f>
        <v>Closeout</v>
      </c>
      <c r="B16" t="s">
        <v>388</v>
      </c>
      <c r="C16">
        <f>COUNTIF(View[Stage],B16)</f>
        <v>6</v>
      </c>
      <c r="D16" s="22">
        <f>SUMIFS(View[Opp Value],View[Stage],B16,View[Visible],1)/1000</f>
        <v>8.4402410000000003</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0">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Construction Dynamics
(Cloud Migration Initiative)
 $1.0m • Proposal • Owner: Lisa Engineer</v>
      </c>
      <c r="F2" s="43" t="str" cm="1">
        <f t="array" ref="F2:F6">_xlfn._xlws.FILTER(Opportunities[Display],Opportunities[Close Quarter]=tables!F1)</f>
        <v>✓ Global Industries
(Manufacturing Automation System)
 $1.1m • Closeout • Owner: Robert Analyst</v>
      </c>
      <c r="G2" s="43" t="str" cm="1">
        <f t="array" ref="G2:G6">_xlfn._xlws.FILTER(Opportunities[Display],Opportunities[Close Quarter]=tables!G1)</f>
        <v>✓ Media Communications
(Digital Transformation Project)
 $1.7m • Proposal • Owner: Dr. Tech Advisor</v>
      </c>
      <c r="H2" s="43" t="str" cm="1">
        <f t="array" ref="H2:H4">_xlfn._xlws.FILTER(Opportunities[Display],Opportunities[Close Quarter]=tables!H1)</f>
        <v>✓ Hotel Management Group
(Customer Portal Development)
 $0.9m • Project Execution • Owner: Mike Consultant</v>
      </c>
      <c r="I2" s="43" t="str" cm="1">
        <f t="array" ref="I2:I12">_xlfn._xlws.FILTER(Opportunities[Display],Opportunities[Close Quarter]=tables!I1)</f>
        <v>✓ Chemical Processing
(ERP Implementation Project)
 $2.1m • Negotiation • Owner: Dr. Tech Advisor</v>
      </c>
      <c r="J2" s="43" t="str" cm="1">
        <f t="array" ref="J2:J7">_xlfn._xlws.FILTER(Opportunities[Display],Opportunities[Close Quarter]=tables!J1)</f>
        <v>✓ Security Solutions
(Healthcare Data Analytics Platform)
 $1.5m • Nurturing • Owner: Amanda Sales</v>
      </c>
      <c r="K2" s="43" t="str" cm="1">
        <f t="array" ref="K2:K11">_xlfn._xlws.FILTER(Opportunities[Display],Opportunities[Close Quarter]=tables!K1)</f>
        <v>⮾ Construction Dynamics
(Cloud Migration Initiative)
 $1.0m • Proposal • Owner: Lisa Engineer</v>
      </c>
      <c r="L2" s="43" t="e" cm="1" vm="1">
        <f t="array" ref="L2">_xlfn._xlws.FILTER(Opportunities[Display],Opportunities[Close Quarter]=tables!L1)</f>
        <v>#VALUE!</v>
      </c>
    </row>
    <row r="3" spans="1:12" ht="45" x14ac:dyDescent="0.25">
      <c r="A3" s="44" t="str">
        <v/>
      </c>
      <c r="F3" s="43" t="str">
        <v>✓ Sports &amp; Recreation
(Business Intelligence Solution)
 $1.6m • Lead Qualification • Owner: Lisa Engineer</v>
      </c>
      <c r="G3" s="43" t="str">
        <v>✓ Mining Operations
(E-commerce Platform)
 $1.2m • Negotiation • Owner: Jennifer PM</v>
      </c>
      <c r="H3" s="43" t="str">
        <v>✓ Food Service Partners
(Data Center Consolidation)
 $1.1m • Proposal • Owner: Maria Coordinator</v>
      </c>
      <c r="I3" s="43" t="str">
        <v>⚠ Pharmaceutical Research
(Quality Management System)
 $1.5m • Nurturing • Owner: Dr. Tech Advisor</v>
      </c>
      <c r="J3" s="43" t="str">
        <v>✓ Global Industries
(Network Infrastructure Upgrade)
 $1.6m • Lead Qualification • Owner: Jennifer PM</v>
      </c>
      <c r="K3" s="43" t="str">
        <v>✓ Textile Manufacturing
(Security Assessment &amp; Audit)
 $1.4m • Project Execution • Owner: Jennifer PM</v>
      </c>
    </row>
    <row r="4" spans="1:12" ht="45" x14ac:dyDescent="0.25">
      <c r="A4" s="44" t="str">
        <v>At Risk</v>
      </c>
      <c r="F4" s="43" t="str">
        <v>✓ Consulting Experts
(Mobile Application Development)
 $1.5m • Negotiation • Owner: David Specialist</v>
      </c>
      <c r="G4" s="43" t="str">
        <v>⚠ Automotive Parts Plus
(Point of Sale System)
 $2.2m • Closeout • Owner: Robert Analyst</v>
      </c>
      <c r="H4" s="43" t="str">
        <v>✓ Pharmaceutical Research
(Cybersecurity Enhancement)
 $1.6m • Closeout • Owner: Sarah Director</v>
      </c>
      <c r="I4" s="43" t="str">
        <v>✓ Construction Dynamics
(Supply Chain Optimization)
 $1.4m • Lead Qualification • Owner: John Manager</v>
      </c>
      <c r="J4" s="43" t="str">
        <v>✓ Professional Services Group
(Document Management System)
 $1.1m • Nurturing • Owner: Amanda Sales</v>
      </c>
      <c r="K4" s="43" t="str">
        <v>✓ ACME Corporation
(CRM System Upgrade)
 $1.1m • Proposal • Owner: Maria Coordinator</v>
      </c>
    </row>
    <row r="5" spans="1:12" ht="45" x14ac:dyDescent="0.25">
      <c r="A5" s="44" t="str">
        <v>⚠ Pharmaceutical Research
(Quality Management System)
 $1.5m • Nurturing • Owner: Dr. Tech Advisor</v>
      </c>
      <c r="F5" s="43" t="str">
        <v>✓ Tech Solutions Inc
(Training &amp; Development Program)
 $1.1m • Project Execution • Owner: Robert Analyst</v>
      </c>
      <c r="G5" s="43" t="str">
        <v>✓ ACME Corporation
(Database Migration Project)
 $1.4m • Lead Qualification • Owner: Lisa Engineer</v>
      </c>
      <c r="I5" s="43" t="str">
        <v>✓ Food Service Partners
(Financial Planning Software)
 $1.5m • Negotiation • Owner: Amanda Sales</v>
      </c>
      <c r="J5" s="43" t="str">
        <v>✓ Education First
(Video Conferencing Solution)
 $0.6m • Proposal • Owner: David Specialist</v>
      </c>
      <c r="K5" s="43" t="str">
        <v>✓ Global Industries
(Inventory Management Solution)
 $1.7m • Project Execution • Owner: Mike Consultant</v>
      </c>
    </row>
    <row r="6" spans="1:12" ht="60" x14ac:dyDescent="0.25">
      <c r="A6" s="44" t="str">
        <v>⚠ Media Communications
(HR Management System)
 $1.0m • Lead Qualification • Owner: Dr. Tech Advisor</v>
      </c>
      <c r="F6" s="43" t="str">
        <v>⚠ Media Communications
(HR Management System)
 $1.0m • Lead Qualification • Owner: Dr. Tech Advisor</v>
      </c>
      <c r="G6" s="43" t="str">
        <v>✓ Waste Management Co
(API Development Project)
 $1.2m • Project Execution • Owner: John Manager</v>
      </c>
      <c r="I6" s="43" t="str">
        <v>✓ Real Estate Ventures
(Marketing Automation Platform)
 $1.4m • Closeout • Owner: Dr. Tech Advisor</v>
      </c>
      <c r="J6" s="43" t="str">
        <v>✓ ACME Corporation
(Social Media Management Tool)
 $1.0m • Nurturing • Owner: Mike Consultant</v>
      </c>
      <c r="K6" s="43" t="str">
        <v>⚠ Transport Logistics
(Website Redesign Project)
 $1.1m • Nurturing • Owner: Sarah Director</v>
      </c>
    </row>
    <row r="7" spans="1:12" ht="45" x14ac:dyDescent="0.25">
      <c r="A7" s="44" t="str">
        <v>⚠ Automotive Parts Plus
(Point of Sale System)
 $2.2m • Closeout • Owner: Robert Analyst</v>
      </c>
      <c r="I7" s="43" t="str">
        <v>✓ Tech Solutions Inc
(Compliance Management Tool)
 $1.4m • Lead Qualification • Owner: Jennifer PM</v>
      </c>
      <c r="J7" s="43" t="str">
        <v>✓ Transport Logistics
(Environmental Monitoring Solution)
 $1.8m • Closeout • Owner: Jennifer PM</v>
      </c>
      <c r="K7" s="43" t="str">
        <v>✓ Professional Services Group
(Safety Management System)
 $0.5m • Negotiation • Owner: John Manager</v>
      </c>
    </row>
    <row r="8" spans="1:12" ht="45" x14ac:dyDescent="0.25">
      <c r="A8" s="44" t="str">
        <v>⚠ Environmental Services
(Project Management Software)
 $1.1m • Negotiation • Owner: Amanda Sales</v>
      </c>
      <c r="I8" s="43" t="str">
        <v>⚠ Environmental Services
(Project Management Software)
 $1.1m • Negotiation • Owner: Amanda Sales</v>
      </c>
      <c r="K8" s="43" t="str">
        <v>✓ Insurance Specialists
(Workflow Automation Tool)
 $0.6m • Project Execution • Owner: Sarah Director</v>
      </c>
    </row>
    <row r="9" spans="1:12" ht="45" x14ac:dyDescent="0.25">
      <c r="A9" s="44" t="str">
        <v>⚠ Transport Logistics
(Website Redesign Project)
 $1.1m • Nurturing • Owner: Sarah Director</v>
      </c>
      <c r="I9" s="43" t="str">
        <v>✓ Publishing House
(Backup &amp; Recovery System)
 $1.5m • Proposal • Owner: Dr. Tech Advisor</v>
      </c>
      <c r="K9" s="43" t="str">
        <v>✓ Telecommunications Inc
(Integration Services Project)
 $2.0m • Nurturing • Owner: Lisa Engineer</v>
      </c>
    </row>
    <row r="10" spans="1:12" ht="60" x14ac:dyDescent="0.25">
      <c r="A10" s="44" t="str">
        <v>⚠ ACME Corporation
(Legacy System Modernization)
 $1.6m • Lead Qualification • Owner: David Specialist</v>
      </c>
      <c r="I10" s="43" t="str">
        <v>✓ Education First
(Customer Service Platform)
 $2.0m • Negotiation • Owner: Robert Analyst</v>
      </c>
      <c r="K10" s="43" t="str">
        <v>⚠ ACME Corporation
(Legacy System Modernization)
 $1.6m • Lead Qualification • Owner: David Specialist</v>
      </c>
    </row>
    <row r="11" spans="1:12" ht="45" x14ac:dyDescent="0.25">
      <c r="I11" s="43" t="str">
        <v>✓ ACME Corporation
(Fleet Management System)
 $0.5m • Closeout • Owner: Sarah Director</v>
      </c>
      <c r="K11" s="43" t="str">
        <v>✓ Tech Solutions Inc
(Machine Learning Implementation)
 $1.3m • Nurturing • Owner: John Manager</v>
      </c>
    </row>
    <row r="12" spans="1:12" ht="45" x14ac:dyDescent="0.25">
      <c r="I12" s="43" t="str">
        <v>✓ Agricultural Systems
(Performance Analytics Dashboard)
 $1.1m • Proposal • Owner: Maria Coordinator</v>
      </c>
    </row>
    <row r="13" spans="1:12" ht="60" x14ac:dyDescent="0.25"/>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