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queryTables/queryTable3.xml" ContentType="application/vnd.openxmlformats-officedocument.spreadsheetml.queryTable+xml"/>
  <Override PartName="/xl/drawings/drawing3.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Paul\funneler\frontend\"/>
    </mc:Choice>
  </mc:AlternateContent>
  <xr:revisionPtr revIDLastSave="0" documentId="13_ncr:1_{D2DC6C09-5C60-497D-A895-F8F961BF186F}" xr6:coauthVersionLast="47" xr6:coauthVersionMax="47" xr10:uidLastSave="{00000000-0000-0000-0000-000000000000}"/>
  <bookViews>
    <workbookView xWindow="19090" yWindow="-110" windowWidth="38620" windowHeight="21100" xr2:uid="{CDF61347-1E32-4F62-9AD6-B33051915A35}"/>
  </bookViews>
  <sheets>
    <sheet name="Pipeline" sheetId="4" r:id="rId1"/>
    <sheet name="Roadmap" sheetId="8" state="hidden" r:id="rId2"/>
    <sheet name="Settings" sheetId="6" r:id="rId3"/>
    <sheet name="Opportunities" sheetId="3" state="hidden" r:id="rId4"/>
    <sheet name="Customers" sheetId="2" state="hidden" r:id="rId5"/>
    <sheet name="graphics" sheetId="5" state="hidden" r:id="rId6"/>
    <sheet name="tables" sheetId="9" state="hidden" r:id="rId7"/>
  </sheets>
  <definedNames>
    <definedName name="_xlchart.v2.0" hidden="1">graphics!$A$11:$A$16</definedName>
    <definedName name="_xlchart.v2.1" hidden="1">graphics!$C$11:$C$16</definedName>
    <definedName name="calendarType">Pipeline!$B$5</definedName>
    <definedName name="clientId">Settings!$H$5</definedName>
    <definedName name="custList">Settings!$H$3</definedName>
    <definedName name="custListAppend">Settings!$G$3</definedName>
    <definedName name="dateRange">Pipeline!$E$2</definedName>
    <definedName name="ExternalData_1" localSheetId="4" hidden="1">'Customers'!$A$1:$K$31</definedName>
    <definedName name="ExternalData_2" localSheetId="3" hidden="1">Opportunities!$A$1:$O$41</definedName>
    <definedName name="ExternalData_3" localSheetId="0" hidden="1">Pipeline!$N$7:$N$47</definedName>
    <definedName name="fqStart">Settings!$D$1</definedName>
    <definedName name="listPrefix">Settings!$H$2</definedName>
    <definedName name="oppList">Settings!$H$4</definedName>
    <definedName name="oppListAppend">Settings!$G$4</definedName>
    <definedName name="pipelineType">Pipeline!$B$6</definedName>
    <definedName name="probabilityThreshold">Settings!#REF!</definedName>
    <definedName name="psAftermetter">" -SiteUrl "&amp;""""&amp;siteUrl&amp;""""&amp;" -ListPrefix "&amp;""""&amp;listPrefix&amp;"""" &amp; " -ClientId "&amp;""""&amp;IF(clientId="","31359c7f-bd7e-475c-86db-fdb8c937548e",clientId)&amp;""""</definedName>
    <definedName name="siteUrl">Settings!$H$1</definedName>
    <definedName name="Slicer_Close_Quarter">#N/A</definedName>
    <definedName name="Slicer_Stag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4:slicerCache r:id="rId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 i="4" l="1"/>
  <c r="E8" i="4"/>
  <c r="E9" i="4"/>
  <c r="E10" i="4"/>
  <c r="E11" i="4"/>
  <c r="E12" i="4"/>
  <c r="E13" i="4"/>
  <c r="E14" i="4"/>
  <c r="E15" i="4"/>
  <c r="E16" i="4"/>
  <c r="E17" i="4"/>
  <c r="E18" i="4"/>
  <c r="E19" i="4"/>
  <c r="E20" i="4"/>
  <c r="E21" i="4"/>
  <c r="E22" i="4"/>
  <c r="E23" i="4"/>
  <c r="E24" i="4"/>
  <c r="E25" i="4"/>
  <c r="E26" i="4"/>
  <c r="E27" i="4"/>
  <c r="E28" i="4"/>
  <c r="E29" i="4"/>
  <c r="E30" i="4"/>
  <c r="E31" i="4"/>
  <c r="E32" i="4"/>
  <c r="E33" i="4"/>
  <c r="E34" i="4"/>
  <c r="T34" i="4" s="1"/>
  <c r="Y20" i="3" s="1"/>
  <c r="E35" i="4"/>
  <c r="E36" i="4"/>
  <c r="E37" i="4"/>
  <c r="E38" i="4"/>
  <c r="E39" i="4"/>
  <c r="E40" i="4"/>
  <c r="E41" i="4"/>
  <c r="E42" i="4"/>
  <c r="E43" i="4"/>
  <c r="E44" i="4"/>
  <c r="E45" i="4"/>
  <c r="E46" i="4"/>
  <c r="E47" i="4"/>
  <c r="C3" i="4"/>
  <c r="C2" i="4"/>
  <c r="B2" i="4"/>
  <c r="B3" i="4"/>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P2"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Q2" i="3"/>
  <c r="Q3" i="3"/>
  <c r="Q4" i="3"/>
  <c r="Q5" i="3"/>
  <c r="Q6" i="3"/>
  <c r="Q7" i="3"/>
  <c r="Q8" i="3"/>
  <c r="Q9" i="3"/>
  <c r="Q10" i="3"/>
  <c r="Q11" i="3"/>
  <c r="Q12" i="3"/>
  <c r="Q13" i="3"/>
  <c r="Q14" i="3"/>
  <c r="Q15" i="3"/>
  <c r="Q16" i="3"/>
  <c r="Q17" i="3"/>
  <c r="Q18" i="3"/>
  <c r="Q19" i="3"/>
  <c r="Q20" i="3"/>
  <c r="Q21" i="3"/>
  <c r="Q22" i="3"/>
  <c r="Q23" i="3"/>
  <c r="Q24" i="3"/>
  <c r="Q25" i="3"/>
  <c r="Q26" i="3"/>
  <c r="Q27" i="3"/>
  <c r="Q28" i="3"/>
  <c r="Q29" i="3"/>
  <c r="Q30" i="3"/>
  <c r="Q31" i="3"/>
  <c r="Q32" i="3"/>
  <c r="Q33" i="3"/>
  <c r="Q34" i="3"/>
  <c r="Q35" i="3"/>
  <c r="Q36" i="3"/>
  <c r="Q37" i="3"/>
  <c r="Q38" i="3"/>
  <c r="Q39" i="3"/>
  <c r="Q40" i="3"/>
  <c r="Q41" i="3"/>
  <c r="R3" i="3"/>
  <c r="R7" i="3"/>
  <c r="R11" i="3"/>
  <c r="R15" i="3"/>
  <c r="R19" i="3"/>
  <c r="R23" i="3"/>
  <c r="R27" i="3"/>
  <c r="R31" i="3"/>
  <c r="R35" i="3"/>
  <c r="R39" i="3"/>
  <c r="S2" i="3"/>
  <c r="S3" i="3"/>
  <c r="S4" i="3"/>
  <c r="S5" i="3"/>
  <c r="S6" i="3"/>
  <c r="S7" i="3"/>
  <c r="S8" i="3"/>
  <c r="S9" i="3"/>
  <c r="S10" i="3"/>
  <c r="S11" i="3"/>
  <c r="S12" i="3"/>
  <c r="S13" i="3"/>
  <c r="S14" i="3"/>
  <c r="S15" i="3"/>
  <c r="T15" i="3" s="1"/>
  <c r="H40" i="4" s="1"/>
  <c r="S16" i="3"/>
  <c r="S17" i="3"/>
  <c r="S18" i="3"/>
  <c r="S19" i="3"/>
  <c r="S20" i="3"/>
  <c r="S21" i="3"/>
  <c r="S22" i="3"/>
  <c r="S23" i="3"/>
  <c r="S24" i="3"/>
  <c r="S25" i="3"/>
  <c r="S26" i="3"/>
  <c r="S27" i="3"/>
  <c r="S28" i="3"/>
  <c r="S29" i="3"/>
  <c r="S30" i="3"/>
  <c r="S31" i="3"/>
  <c r="T31" i="3" s="1"/>
  <c r="H42" i="4" s="1"/>
  <c r="S32" i="3"/>
  <c r="S33" i="3"/>
  <c r="S34" i="3"/>
  <c r="S35" i="3"/>
  <c r="S36" i="3"/>
  <c r="S37" i="3"/>
  <c r="S38" i="3"/>
  <c r="S39" i="3"/>
  <c r="S40" i="3"/>
  <c r="S41" i="3"/>
  <c r="T3" i="3"/>
  <c r="H27" i="4" s="1"/>
  <c r="T11" i="3"/>
  <c r="T19" i="3"/>
  <c r="H44" i="4" s="1"/>
  <c r="U2" i="3"/>
  <c r="U3" i="3"/>
  <c r="Q27" i="4" s="1"/>
  <c r="K27" i="4" s="1"/>
  <c r="U4" i="3"/>
  <c r="Q32" i="4" s="1"/>
  <c r="K32" i="4" s="1"/>
  <c r="U5" i="3"/>
  <c r="Q35" i="4" s="1"/>
  <c r="K35" i="4" s="1"/>
  <c r="U6" i="3"/>
  <c r="U7" i="3"/>
  <c r="U8" i="3"/>
  <c r="U9" i="3"/>
  <c r="U10" i="3"/>
  <c r="U11" i="3"/>
  <c r="Q29" i="4" s="1"/>
  <c r="K29" i="4" s="1"/>
  <c r="U12" i="3"/>
  <c r="Q36" i="4" s="1"/>
  <c r="K36" i="4" s="1"/>
  <c r="U13" i="3"/>
  <c r="Q22" i="4" s="1"/>
  <c r="K22" i="4" s="1"/>
  <c r="U14" i="3"/>
  <c r="U15" i="3"/>
  <c r="Q40" i="4" s="1"/>
  <c r="K40" i="4" s="1"/>
  <c r="U16" i="3"/>
  <c r="Q20" i="4" s="1"/>
  <c r="K20" i="4" s="1"/>
  <c r="U17" i="3"/>
  <c r="Q45" i="4" s="1"/>
  <c r="K45" i="4" s="1"/>
  <c r="U18" i="3"/>
  <c r="U19" i="3"/>
  <c r="Q44" i="4" s="1"/>
  <c r="K44" i="4" s="1"/>
  <c r="U20" i="3"/>
  <c r="U21" i="3"/>
  <c r="Q31" i="4" s="1"/>
  <c r="K31" i="4" s="1"/>
  <c r="U22" i="3"/>
  <c r="U23" i="3"/>
  <c r="Q46" i="4" s="1"/>
  <c r="K46" i="4" s="1"/>
  <c r="U24" i="3"/>
  <c r="U25" i="3"/>
  <c r="Q11" i="4" s="1"/>
  <c r="K11" i="4" s="1"/>
  <c r="U26" i="3"/>
  <c r="U27" i="3"/>
  <c r="Q24" i="4" s="1"/>
  <c r="K24" i="4" s="1"/>
  <c r="U28" i="3"/>
  <c r="Q26" i="4" s="1"/>
  <c r="K26" i="4" s="1"/>
  <c r="U29" i="3"/>
  <c r="Q25" i="4" s="1"/>
  <c r="K25" i="4" s="1"/>
  <c r="U30" i="3"/>
  <c r="U31" i="3"/>
  <c r="Q42" i="4" s="1"/>
  <c r="K42" i="4" s="1"/>
  <c r="U32" i="3"/>
  <c r="U33" i="3"/>
  <c r="Q37" i="4" s="1"/>
  <c r="K37" i="4" s="1"/>
  <c r="U34" i="3"/>
  <c r="U35" i="3"/>
  <c r="Q21" i="4" s="1"/>
  <c r="K21" i="4" s="1"/>
  <c r="U36" i="3"/>
  <c r="U37" i="3"/>
  <c r="Q8" i="4" s="1"/>
  <c r="K8" i="4" s="1"/>
  <c r="U38" i="3"/>
  <c r="U39" i="3"/>
  <c r="U40" i="3"/>
  <c r="Q30" i="4" s="1"/>
  <c r="K30" i="4" s="1"/>
  <c r="U41" i="3"/>
  <c r="Q12" i="4" s="1"/>
  <c r="K12" i="4" s="1"/>
  <c r="V2" i="3" a="1"/>
  <c r="V2" i="3"/>
  <c r="V3" i="3" a="1"/>
  <c r="V3" i="3"/>
  <c r="T27" i="4" s="1"/>
  <c r="Y3" i="3" s="1"/>
  <c r="V4" i="3" a="1"/>
  <c r="V4" i="3"/>
  <c r="T32" i="4" s="1"/>
  <c r="Y4" i="3" s="1"/>
  <c r="V5" i="3" a="1"/>
  <c r="V5" i="3"/>
  <c r="V6" i="3" a="1"/>
  <c r="V6" i="3"/>
  <c r="V7" i="3" a="1"/>
  <c r="V7" i="3"/>
  <c r="V8" i="3" a="1"/>
  <c r="V8" i="3"/>
  <c r="T19" i="4" s="1"/>
  <c r="Y8" i="3" s="1"/>
  <c r="V9" i="3" a="1"/>
  <c r="V9" i="3"/>
  <c r="V10" i="3" a="1"/>
  <c r="V10" i="3"/>
  <c r="V11" i="3" a="1"/>
  <c r="V11" i="3"/>
  <c r="V12" i="3" a="1"/>
  <c r="V12" i="3"/>
  <c r="T36" i="4" s="1"/>
  <c r="Y12" i="3" s="1"/>
  <c r="V13" i="3" a="1"/>
  <c r="V13" i="3"/>
  <c r="T22" i="4" s="1"/>
  <c r="Y13" i="3" s="1"/>
  <c r="V14" i="3" a="1"/>
  <c r="V14" i="3"/>
  <c r="V15" i="3" a="1"/>
  <c r="V15" i="3"/>
  <c r="T40" i="4" s="1"/>
  <c r="Y15" i="3" s="1"/>
  <c r="V16" i="3" a="1"/>
  <c r="V16" i="3"/>
  <c r="V17" i="3" a="1"/>
  <c r="V17" i="3"/>
  <c r="V18" i="3" a="1"/>
  <c r="V18" i="3"/>
  <c r="V19" i="3" a="1"/>
  <c r="V19" i="3"/>
  <c r="T44" i="4" s="1"/>
  <c r="Y19" i="3" s="1"/>
  <c r="V20" i="3" a="1"/>
  <c r="V20" i="3"/>
  <c r="V21" i="3" a="1"/>
  <c r="V21" i="3"/>
  <c r="V22" i="3" a="1"/>
  <c r="V22" i="3"/>
  <c r="T41" i="4" s="1"/>
  <c r="Y22" i="3" s="1"/>
  <c r="V23" i="3" a="1"/>
  <c r="V23" i="3"/>
  <c r="V24" i="3" a="1"/>
  <c r="V24" i="3"/>
  <c r="V25" i="3" a="1"/>
  <c r="V25" i="3"/>
  <c r="T11" i="4" s="1"/>
  <c r="Y25" i="3" s="1"/>
  <c r="V26" i="3" a="1"/>
  <c r="V26" i="3"/>
  <c r="V27" i="3" a="1"/>
  <c r="V27" i="3"/>
  <c r="T24" i="4" s="1"/>
  <c r="Y27" i="3" s="1"/>
  <c r="V28" i="3" a="1"/>
  <c r="V28" i="3"/>
  <c r="V29" i="3" a="1"/>
  <c r="V29" i="3"/>
  <c r="V30" i="3" a="1"/>
  <c r="V30" i="3"/>
  <c r="V31" i="3" a="1"/>
  <c r="V31" i="3"/>
  <c r="T42" i="4" s="1"/>
  <c r="Y31" i="3" s="1"/>
  <c r="V32" i="3" a="1"/>
  <c r="V32" i="3"/>
  <c r="V33" i="3" a="1"/>
  <c r="V33" i="3"/>
  <c r="V34" i="3" a="1"/>
  <c r="V34" i="3"/>
  <c r="V35" i="3" a="1"/>
  <c r="V35" i="3"/>
  <c r="V36" i="3" a="1"/>
  <c r="V36" i="3"/>
  <c r="V37" i="3" a="1"/>
  <c r="V37" i="3"/>
  <c r="T8" i="4" s="1"/>
  <c r="Y37" i="3" s="1"/>
  <c r="V38" i="3" a="1"/>
  <c r="V38" i="3"/>
  <c r="T13" i="4" s="1"/>
  <c r="Y38" i="3" s="1"/>
  <c r="V39" i="3" a="1"/>
  <c r="V39" i="3"/>
  <c r="V40" i="3" a="1"/>
  <c r="V40" i="3"/>
  <c r="V41" i="3" a="1"/>
  <c r="V41" i="3"/>
  <c r="T12" i="4" s="1"/>
  <c r="Y41" i="3" s="1"/>
  <c r="W2" i="3"/>
  <c r="W3" i="3"/>
  <c r="W4" i="3"/>
  <c r="W5" i="3"/>
  <c r="W6" i="3"/>
  <c r="W7" i="3"/>
  <c r="G10" i="4" s="1"/>
  <c r="W8" i="3"/>
  <c r="W9" i="3"/>
  <c r="W10" i="3"/>
  <c r="W11" i="3"/>
  <c r="W12" i="3"/>
  <c r="W13" i="3"/>
  <c r="W14" i="3"/>
  <c r="W15" i="3"/>
  <c r="Z15" i="3" s="1"/>
  <c r="W16" i="3"/>
  <c r="W17" i="3"/>
  <c r="W18" i="3"/>
  <c r="W19" i="3"/>
  <c r="W20" i="3"/>
  <c r="W21" i="3"/>
  <c r="W22" i="3"/>
  <c r="W23" i="3"/>
  <c r="W24" i="3"/>
  <c r="W25" i="3"/>
  <c r="W26" i="3"/>
  <c r="W27" i="3"/>
  <c r="W28" i="3"/>
  <c r="W29" i="3"/>
  <c r="W30" i="3"/>
  <c r="W31" i="3"/>
  <c r="G42" i="4" s="1"/>
  <c r="W32" i="3"/>
  <c r="W33" i="3"/>
  <c r="W34" i="3"/>
  <c r="W35" i="3"/>
  <c r="G21" i="4" s="1"/>
  <c r="W36" i="3"/>
  <c r="W37" i="3"/>
  <c r="W38" i="3"/>
  <c r="W39" i="3"/>
  <c r="W40" i="3"/>
  <c r="W41" i="3"/>
  <c r="AA2" i="3"/>
  <c r="AA3" i="3"/>
  <c r="AA4" i="3"/>
  <c r="AA5" i="3"/>
  <c r="AA6" i="3"/>
  <c r="AA7" i="3"/>
  <c r="AA8" i="3"/>
  <c r="AA9" i="3"/>
  <c r="AA10" i="3"/>
  <c r="AA11" i="3"/>
  <c r="AA12" i="3"/>
  <c r="AA13" i="3"/>
  <c r="AA14" i="3"/>
  <c r="AA15" i="3"/>
  <c r="AA16" i="3"/>
  <c r="AA17" i="3"/>
  <c r="AA18" i="3"/>
  <c r="AA19" i="3"/>
  <c r="AA20" i="3"/>
  <c r="AA21" i="3"/>
  <c r="AA22" i="3"/>
  <c r="AA23" i="3"/>
  <c r="AA24" i="3"/>
  <c r="AA25" i="3"/>
  <c r="AA26" i="3"/>
  <c r="AA27" i="3"/>
  <c r="AA28" i="3"/>
  <c r="AA29" i="3"/>
  <c r="AA30" i="3"/>
  <c r="AA31" i="3"/>
  <c r="AA32" i="3"/>
  <c r="AA33" i="3"/>
  <c r="AA34" i="3"/>
  <c r="AA35" i="3"/>
  <c r="AA36" i="3"/>
  <c r="AA37" i="3"/>
  <c r="AA38" i="3"/>
  <c r="AA39" i="3"/>
  <c r="AA40" i="3"/>
  <c r="AA41" i="3"/>
  <c r="AC2" i="3" a="1"/>
  <c r="AC2" i="3" s="1"/>
  <c r="AC3" i="3" a="1"/>
  <c r="AC3" i="3"/>
  <c r="AD3" i="3" s="1"/>
  <c r="AC4" i="3" a="1"/>
  <c r="AC4" i="3" s="1"/>
  <c r="AC5" i="3" a="1"/>
  <c r="AC5" i="3" s="1"/>
  <c r="J35" i="4" s="1"/>
  <c r="S35" i="4" s="1"/>
  <c r="AC6" i="3" a="1"/>
  <c r="AC6" i="3" s="1"/>
  <c r="AC7" i="3" a="1"/>
  <c r="AC7" i="3"/>
  <c r="J10" i="4" s="1"/>
  <c r="S10" i="4" s="1"/>
  <c r="AC8" i="3" a="1"/>
  <c r="AC8" i="3" s="1"/>
  <c r="AD8" i="3" s="1"/>
  <c r="AC9" i="3" a="1"/>
  <c r="AC9" i="3" s="1"/>
  <c r="AD9" i="3" s="1"/>
  <c r="AC10" i="3" a="1"/>
  <c r="AC10" i="3" s="1"/>
  <c r="AC11" i="3" a="1"/>
  <c r="AC11" i="3"/>
  <c r="AC12" i="3" a="1"/>
  <c r="AC12" i="3" s="1"/>
  <c r="AC13" i="3" a="1"/>
  <c r="AC13" i="3" s="1"/>
  <c r="AD13" i="3" s="1"/>
  <c r="AC14" i="3" a="1"/>
  <c r="AC14" i="3" s="1"/>
  <c r="AC15" i="3" a="1"/>
  <c r="AC15" i="3"/>
  <c r="J40" i="4" s="1"/>
  <c r="S40" i="4" s="1"/>
  <c r="AC16" i="3" a="1"/>
  <c r="AC16" i="3" s="1"/>
  <c r="AC17" i="3" a="1"/>
  <c r="AC17" i="3" s="1"/>
  <c r="AC18" i="3" a="1"/>
  <c r="AC18" i="3" s="1"/>
  <c r="AC19" i="3" a="1"/>
  <c r="AC19" i="3"/>
  <c r="J44" i="4" s="1"/>
  <c r="S44" i="4" s="1"/>
  <c r="AC20" i="3" a="1"/>
  <c r="AC20" i="3" s="1"/>
  <c r="AC21" i="3" a="1"/>
  <c r="AC21" i="3" s="1"/>
  <c r="J31" i="4" s="1"/>
  <c r="S31" i="4" s="1"/>
  <c r="AC22" i="3" a="1"/>
  <c r="AC22" i="3" s="1"/>
  <c r="AD22" i="3" s="1"/>
  <c r="AC23" i="3" a="1"/>
  <c r="AC23" i="3"/>
  <c r="J46" i="4" s="1"/>
  <c r="S46" i="4" s="1"/>
  <c r="AC24" i="3" a="1"/>
  <c r="AC24" i="3" s="1"/>
  <c r="AC25" i="3" a="1"/>
  <c r="AC25" i="3" s="1"/>
  <c r="AD25" i="3" s="1"/>
  <c r="AC26" i="3" a="1"/>
  <c r="AC26" i="3" s="1"/>
  <c r="AD26" i="3" s="1"/>
  <c r="AC27" i="3" a="1"/>
  <c r="AC27" i="3"/>
  <c r="J24" i="4" s="1"/>
  <c r="S24" i="4" s="1"/>
  <c r="AC28" i="3" a="1"/>
  <c r="AC28" i="3" s="1"/>
  <c r="AC29" i="3" a="1"/>
  <c r="AC29" i="3" s="1"/>
  <c r="AD29" i="3" s="1"/>
  <c r="AC30" i="3" a="1"/>
  <c r="AC30" i="3" s="1"/>
  <c r="AC31" i="3" a="1"/>
  <c r="AC31" i="3"/>
  <c r="AD31" i="3" s="1"/>
  <c r="AC32" i="3" a="1"/>
  <c r="AC32" i="3" s="1"/>
  <c r="AC33" i="3" a="1"/>
  <c r="AC33" i="3" s="1"/>
  <c r="J37" i="4" s="1"/>
  <c r="S37" i="4" s="1"/>
  <c r="AC34" i="3" a="1"/>
  <c r="AC34" i="3" s="1"/>
  <c r="AC35" i="3" a="1"/>
  <c r="AC35" i="3"/>
  <c r="AD35" i="3" s="1"/>
  <c r="AC36" i="3" a="1"/>
  <c r="AC36" i="3" s="1"/>
  <c r="AC37" i="3" a="1"/>
  <c r="AC37" i="3" s="1"/>
  <c r="J8" i="4" s="1"/>
  <c r="S8" i="4" s="1"/>
  <c r="AC38" i="3" a="1"/>
  <c r="AC38" i="3" s="1"/>
  <c r="AC39" i="3" a="1"/>
  <c r="AC39" i="3"/>
  <c r="J23" i="4" s="1"/>
  <c r="S23" i="4" s="1"/>
  <c r="AC40" i="3" a="1"/>
  <c r="AC40" i="3" s="1"/>
  <c r="AD40" i="3" s="1"/>
  <c r="AC41" i="3" a="1"/>
  <c r="AC41" i="3" s="1"/>
  <c r="J12" i="4" s="1"/>
  <c r="S12" i="4" s="1"/>
  <c r="T9" i="4"/>
  <c r="Y26" i="3" s="1"/>
  <c r="T15" i="4"/>
  <c r="Y9" i="3" s="1"/>
  <c r="T37" i="4"/>
  <c r="Y33" i="3" s="1"/>
  <c r="T47" i="4"/>
  <c r="Y14" i="3" s="1"/>
  <c r="F11" i="4"/>
  <c r="F15" i="4"/>
  <c r="F19" i="4"/>
  <c r="F23" i="4"/>
  <c r="F27" i="4"/>
  <c r="F31" i="4"/>
  <c r="F35" i="4"/>
  <c r="F39" i="4"/>
  <c r="F43" i="4"/>
  <c r="F47" i="4"/>
  <c r="H29"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47" i="4"/>
  <c r="P8" i="4"/>
  <c r="P9" i="4"/>
  <c r="P10" i="4"/>
  <c r="P11" i="4"/>
  <c r="P12" i="4"/>
  <c r="P13" i="4"/>
  <c r="P14" i="4"/>
  <c r="P15" i="4"/>
  <c r="P16" i="4"/>
  <c r="P17" i="4"/>
  <c r="P18" i="4"/>
  <c r="P19" i="4"/>
  <c r="P20" i="4"/>
  <c r="P21" i="4"/>
  <c r="P22" i="4"/>
  <c r="P23" i="4"/>
  <c r="P24" i="4"/>
  <c r="P25" i="4"/>
  <c r="P26" i="4"/>
  <c r="P27" i="4"/>
  <c r="P28" i="4"/>
  <c r="P29" i="4"/>
  <c r="P30" i="4"/>
  <c r="P31" i="4"/>
  <c r="P32" i="4"/>
  <c r="P33" i="4"/>
  <c r="P34" i="4"/>
  <c r="P35" i="4"/>
  <c r="P36" i="4"/>
  <c r="P37" i="4"/>
  <c r="P38" i="4"/>
  <c r="P39" i="4"/>
  <c r="P40" i="4"/>
  <c r="P41" i="4"/>
  <c r="P42" i="4"/>
  <c r="P43" i="4"/>
  <c r="P44" i="4"/>
  <c r="P45" i="4"/>
  <c r="P46" i="4"/>
  <c r="P47" i="4"/>
  <c r="Q9" i="4"/>
  <c r="K9" i="4" s="1"/>
  <c r="Q10" i="4"/>
  <c r="K10" i="4" s="1"/>
  <c r="Q13" i="4"/>
  <c r="K13" i="4" s="1"/>
  <c r="Q14" i="4"/>
  <c r="K14" i="4" s="1"/>
  <c r="Q15" i="4"/>
  <c r="K15" i="4" s="1"/>
  <c r="Q16" i="4"/>
  <c r="K16" i="4" s="1"/>
  <c r="Q17" i="4"/>
  <c r="K17" i="4" s="1"/>
  <c r="Q18" i="4"/>
  <c r="K18" i="4" s="1"/>
  <c r="Q19" i="4"/>
  <c r="K19" i="4" s="1"/>
  <c r="Q23" i="4"/>
  <c r="K23" i="4" s="1"/>
  <c r="Q28" i="4"/>
  <c r="K28" i="4" s="1"/>
  <c r="Q33" i="4"/>
  <c r="K33" i="4" s="1"/>
  <c r="Q34" i="4"/>
  <c r="K34" i="4" s="1"/>
  <c r="Q38" i="4"/>
  <c r="K38" i="4" s="1"/>
  <c r="Q39" i="4"/>
  <c r="K39" i="4" s="1"/>
  <c r="Q41" i="4"/>
  <c r="K41" i="4" s="1"/>
  <c r="Q43" i="4"/>
  <c r="K43" i="4" s="1"/>
  <c r="Q47" i="4"/>
  <c r="K47" i="4" s="1"/>
  <c r="R8" i="4"/>
  <c r="R9" i="4"/>
  <c r="R10" i="4"/>
  <c r="R11" i="4"/>
  <c r="R12" i="4"/>
  <c r="R13" i="4"/>
  <c r="R14" i="4"/>
  <c r="R15" i="4"/>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R45" i="4"/>
  <c r="R46" i="4"/>
  <c r="R47" i="4"/>
  <c r="T20" i="4"/>
  <c r="Y16" i="3" s="1"/>
  <c r="T39" i="4"/>
  <c r="Y2" i="3" s="1"/>
  <c r="S13" i="6"/>
  <c r="T2" i="3" s="1"/>
  <c r="H39" i="4" s="1"/>
  <c r="S14" i="6"/>
  <c r="S15" i="6"/>
  <c r="T8" i="3" s="1"/>
  <c r="H19" i="4" s="1"/>
  <c r="S16" i="6"/>
  <c r="T7" i="3" s="1"/>
  <c r="H10" i="4" s="1"/>
  <c r="S17" i="6"/>
  <c r="T36" i="3" s="1"/>
  <c r="H14" i="4" s="1"/>
  <c r="S18" i="6"/>
  <c r="A6" i="6"/>
  <c r="A5" i="6"/>
  <c r="A4" i="6"/>
  <c r="A3" i="6"/>
  <c r="A2" i="6"/>
  <c r="K9" i="6" a="1"/>
  <c r="K9" i="6" s="1"/>
  <c r="K8" i="6" a="1"/>
  <c r="K8" i="6" s="1"/>
  <c r="K3" i="6" a="1"/>
  <c r="K3" i="6" s="1"/>
  <c r="K6" i="6" a="1"/>
  <c r="K6" i="6" s="1"/>
  <c r="K5" i="6" a="1"/>
  <c r="K5" i="6" s="1"/>
  <c r="K4" i="6" a="1"/>
  <c r="K4" i="6" s="1"/>
  <c r="H3" i="6"/>
  <c r="H4" i="6"/>
  <c r="R4" i="3" s="1"/>
  <c r="E2" i="4" l="1"/>
  <c r="T30" i="4"/>
  <c r="Y40" i="3" s="1"/>
  <c r="T14" i="4"/>
  <c r="Y36" i="3" s="1"/>
  <c r="T26" i="4"/>
  <c r="Y28" i="3" s="1"/>
  <c r="T18" i="4"/>
  <c r="Y24" i="3" s="1"/>
  <c r="T27" i="3"/>
  <c r="H24" i="4" s="1"/>
  <c r="L2" i="2"/>
  <c r="L6" i="2"/>
  <c r="N6" i="2" s="1"/>
  <c r="L10" i="2"/>
  <c r="L14" i="2"/>
  <c r="L18" i="2"/>
  <c r="L22" i="2"/>
  <c r="L26" i="2"/>
  <c r="L30" i="2"/>
  <c r="L3" i="2"/>
  <c r="L7" i="2"/>
  <c r="N7" i="2" s="1"/>
  <c r="L11" i="2"/>
  <c r="L15" i="2"/>
  <c r="L19" i="2"/>
  <c r="L23" i="2"/>
  <c r="L27" i="2"/>
  <c r="L31" i="2"/>
  <c r="L4" i="2"/>
  <c r="L8" i="2"/>
  <c r="N8" i="2" s="1"/>
  <c r="L12" i="2"/>
  <c r="L16" i="2"/>
  <c r="L20" i="2"/>
  <c r="L24" i="2"/>
  <c r="L28" i="2"/>
  <c r="L5" i="2"/>
  <c r="N5" i="2" s="1"/>
  <c r="L9" i="2"/>
  <c r="N9" i="2" s="1"/>
  <c r="L13" i="2"/>
  <c r="L17" i="2"/>
  <c r="L21" i="2"/>
  <c r="L25" i="2"/>
  <c r="L29" i="2"/>
  <c r="T20" i="3"/>
  <c r="H34" i="4" s="1"/>
  <c r="T32" i="3"/>
  <c r="H38" i="4" s="1"/>
  <c r="T9" i="3"/>
  <c r="H15" i="4" s="1"/>
  <c r="T21" i="3"/>
  <c r="H31" i="4" s="1"/>
  <c r="T10" i="3"/>
  <c r="H43" i="4" s="1"/>
  <c r="T26" i="3"/>
  <c r="H9" i="4" s="1"/>
  <c r="T4" i="3"/>
  <c r="H32" i="4" s="1"/>
  <c r="T28" i="3"/>
  <c r="H26" i="4" s="1"/>
  <c r="T13" i="3"/>
  <c r="H22" i="4" s="1"/>
  <c r="T29" i="3"/>
  <c r="H25" i="4" s="1"/>
  <c r="AD11" i="3"/>
  <c r="J29" i="4"/>
  <c r="S29" i="4" s="1"/>
  <c r="T39" i="3"/>
  <c r="H23" i="4" s="1"/>
  <c r="T23" i="3"/>
  <c r="H46" i="4" s="1"/>
  <c r="T12" i="3"/>
  <c r="H36" i="4" s="1"/>
  <c r="T24" i="3"/>
  <c r="H18" i="4" s="1"/>
  <c r="T40" i="3"/>
  <c r="H30" i="4" s="1"/>
  <c r="T25" i="3"/>
  <c r="H11" i="4" s="1"/>
  <c r="J45" i="4"/>
  <c r="S45" i="4" s="1"/>
  <c r="AD17" i="3"/>
  <c r="T35" i="3"/>
  <c r="H21" i="4" s="1"/>
  <c r="G29" i="4"/>
  <c r="G27" i="4"/>
  <c r="G46" i="4"/>
  <c r="F46" i="4"/>
  <c r="F42" i="4"/>
  <c r="F38" i="4"/>
  <c r="F34" i="4"/>
  <c r="F30" i="4"/>
  <c r="F26" i="4"/>
  <c r="F22" i="4"/>
  <c r="F18" i="4"/>
  <c r="F14" i="4"/>
  <c r="F10" i="4"/>
  <c r="AD39" i="3"/>
  <c r="G13" i="4"/>
  <c r="T38" i="3"/>
  <c r="H13" i="4" s="1"/>
  <c r="T34" i="3"/>
  <c r="H33" i="4" s="1"/>
  <c r="T30" i="3"/>
  <c r="H16" i="4" s="1"/>
  <c r="T22" i="3"/>
  <c r="H41" i="4" s="1"/>
  <c r="T18" i="3"/>
  <c r="H28" i="4" s="1"/>
  <c r="T14" i="3"/>
  <c r="H47" i="4" s="1"/>
  <c r="T6" i="3"/>
  <c r="H17" i="4" s="1"/>
  <c r="R38" i="3"/>
  <c r="R34" i="3"/>
  <c r="G33" i="4" s="1"/>
  <c r="R30" i="3"/>
  <c r="G16" i="4" s="1"/>
  <c r="R26" i="3"/>
  <c r="G9" i="4" s="1"/>
  <c r="R22" i="3"/>
  <c r="G41" i="4" s="1"/>
  <c r="R18" i="3"/>
  <c r="G28" i="4" s="1"/>
  <c r="R14" i="3"/>
  <c r="G47" i="4" s="1"/>
  <c r="R10" i="3"/>
  <c r="G43" i="4" s="1"/>
  <c r="R6" i="3"/>
  <c r="G17" i="4" s="1"/>
  <c r="R2" i="3"/>
  <c r="G39" i="4" s="1"/>
  <c r="F45" i="4"/>
  <c r="F41" i="4"/>
  <c r="F37" i="4"/>
  <c r="F33" i="4"/>
  <c r="F29" i="4"/>
  <c r="F25" i="4"/>
  <c r="F21" i="4"/>
  <c r="F17" i="4"/>
  <c r="F13" i="4"/>
  <c r="F9" i="4"/>
  <c r="T41" i="3"/>
  <c r="H12" i="4" s="1"/>
  <c r="T37" i="3"/>
  <c r="H8" i="4" s="1"/>
  <c r="T33" i="3"/>
  <c r="H37" i="4" s="1"/>
  <c r="T17" i="3"/>
  <c r="H45" i="4" s="1"/>
  <c r="T5" i="3"/>
  <c r="H35" i="4" s="1"/>
  <c r="R41" i="3"/>
  <c r="R37" i="3"/>
  <c r="R33" i="3"/>
  <c r="R29" i="3"/>
  <c r="R25" i="3"/>
  <c r="R21" i="3"/>
  <c r="G31" i="4" s="1"/>
  <c r="R17" i="3"/>
  <c r="R13" i="3"/>
  <c r="R9" i="3"/>
  <c r="R5" i="3"/>
  <c r="F44" i="4"/>
  <c r="F40" i="4"/>
  <c r="F36" i="4"/>
  <c r="F32" i="4"/>
  <c r="F28" i="4"/>
  <c r="F24" i="4"/>
  <c r="F20" i="4"/>
  <c r="F16" i="4"/>
  <c r="F12" i="4"/>
  <c r="F8" i="4"/>
  <c r="Z31" i="3"/>
  <c r="Z40" i="3"/>
  <c r="Z28" i="3"/>
  <c r="Z24" i="3"/>
  <c r="Z12" i="3"/>
  <c r="Z8" i="3"/>
  <c r="Z4" i="3"/>
  <c r="T16" i="3"/>
  <c r="H20" i="4" s="1"/>
  <c r="R40" i="3"/>
  <c r="G30" i="4" s="1"/>
  <c r="R36" i="3"/>
  <c r="R32" i="3"/>
  <c r="R28" i="3"/>
  <c r="G26" i="4" s="1"/>
  <c r="R24" i="3"/>
  <c r="G18" i="4" s="1"/>
  <c r="R20" i="3"/>
  <c r="G34" i="4" s="1"/>
  <c r="R16" i="3"/>
  <c r="R12" i="3"/>
  <c r="R8" i="3"/>
  <c r="Z38" i="3"/>
  <c r="Z36" i="3"/>
  <c r="Z34" i="3"/>
  <c r="Z26" i="3"/>
  <c r="Z22" i="3"/>
  <c r="Z20" i="3"/>
  <c r="Z14" i="3"/>
  <c r="Z10" i="3"/>
  <c r="Z6" i="3"/>
  <c r="Z2" i="3"/>
  <c r="X41" i="3"/>
  <c r="X29" i="3"/>
  <c r="Z39" i="3"/>
  <c r="Z35" i="3"/>
  <c r="Z23" i="3"/>
  <c r="Z11" i="3"/>
  <c r="Z9" i="3"/>
  <c r="Z7" i="3"/>
  <c r="G37" i="4"/>
  <c r="G22" i="4"/>
  <c r="AD32" i="3"/>
  <c r="J38" i="4"/>
  <c r="S38" i="4" s="1"/>
  <c r="AD24" i="3"/>
  <c r="J18" i="4"/>
  <c r="S18" i="4" s="1"/>
  <c r="J20" i="4"/>
  <c r="S20" i="4" s="1"/>
  <c r="AD16" i="3"/>
  <c r="AD10" i="3"/>
  <c r="J43" i="4"/>
  <c r="S43" i="4" s="1"/>
  <c r="J14" i="4"/>
  <c r="S14" i="4" s="1"/>
  <c r="AD36" i="3"/>
  <c r="AD28" i="3"/>
  <c r="J26" i="4"/>
  <c r="S26" i="4" s="1"/>
  <c r="AD20" i="3"/>
  <c r="J34" i="4"/>
  <c r="S34" i="4" s="1"/>
  <c r="J32" i="4"/>
  <c r="S32" i="4" s="1"/>
  <c r="AD4" i="3"/>
  <c r="AD34" i="3"/>
  <c r="J33" i="4"/>
  <c r="S33" i="4" s="1"/>
  <c r="AD2" i="3"/>
  <c r="J39" i="4"/>
  <c r="S39" i="4" s="1"/>
  <c r="J36" i="4"/>
  <c r="S36" i="4" s="1"/>
  <c r="AD12" i="3"/>
  <c r="AD38" i="3"/>
  <c r="J13" i="4"/>
  <c r="S13" i="4" s="1"/>
  <c r="AD14" i="3"/>
  <c r="J47" i="4"/>
  <c r="S47" i="4" s="1"/>
  <c r="AD6" i="3"/>
  <c r="J17" i="4"/>
  <c r="S17" i="4" s="1"/>
  <c r="Z21" i="3"/>
  <c r="Z5" i="3"/>
  <c r="G11" i="4"/>
  <c r="G35" i="4"/>
  <c r="T21" i="4"/>
  <c r="Y35" i="3" s="1"/>
  <c r="Z41" i="3"/>
  <c r="Z25" i="3"/>
  <c r="G14" i="4"/>
  <c r="G38" i="4"/>
  <c r="G19" i="4"/>
  <c r="Z33" i="3"/>
  <c r="Z29" i="3"/>
  <c r="Z17" i="3"/>
  <c r="G45" i="4"/>
  <c r="G15" i="4"/>
  <c r="T31" i="4"/>
  <c r="Y21" i="3" s="1"/>
  <c r="AD23" i="3"/>
  <c r="Z32" i="3"/>
  <c r="G23" i="4"/>
  <c r="G25" i="4"/>
  <c r="T10" i="4"/>
  <c r="Y7" i="3" s="1"/>
  <c r="AD33" i="3"/>
  <c r="AD7" i="3"/>
  <c r="G12" i="4"/>
  <c r="J27" i="4"/>
  <c r="S27" i="4" s="1"/>
  <c r="T35" i="4"/>
  <c r="Y5" i="3" s="1"/>
  <c r="T25" i="4"/>
  <c r="Y29" i="3" s="1"/>
  <c r="AD27" i="3"/>
  <c r="AD21" i="3"/>
  <c r="G36" i="4"/>
  <c r="J15" i="4"/>
  <c r="S15" i="4" s="1"/>
  <c r="T29" i="4"/>
  <c r="Y11" i="3" s="1"/>
  <c r="AD15" i="3"/>
  <c r="AD30" i="3"/>
  <c r="J16" i="4"/>
  <c r="S16" i="4" s="1"/>
  <c r="AD18" i="3"/>
  <c r="J28" i="4"/>
  <c r="S28" i="4" s="1"/>
  <c r="Z30" i="3"/>
  <c r="T16" i="4"/>
  <c r="Y30" i="3" s="1"/>
  <c r="G44" i="4"/>
  <c r="G40" i="4"/>
  <c r="G8" i="4"/>
  <c r="J22" i="4"/>
  <c r="S22" i="4" s="1"/>
  <c r="J11" i="4"/>
  <c r="S11" i="4" s="1"/>
  <c r="T46" i="4"/>
  <c r="Y23" i="3" s="1"/>
  <c r="AD37" i="3"/>
  <c r="AD5" i="3"/>
  <c r="Z19" i="3"/>
  <c r="Z13" i="3"/>
  <c r="Z3" i="3"/>
  <c r="G20" i="4"/>
  <c r="G32" i="4"/>
  <c r="J42" i="4"/>
  <c r="S42" i="4" s="1"/>
  <c r="J21" i="4"/>
  <c r="S21" i="4" s="1"/>
  <c r="T45" i="4"/>
  <c r="Y17" i="3" s="1"/>
  <c r="T23" i="4"/>
  <c r="Y39" i="3" s="1"/>
  <c r="AD41" i="3"/>
  <c r="Z18" i="3"/>
  <c r="T28" i="4"/>
  <c r="Y18" i="3" s="1"/>
  <c r="G24" i="4"/>
  <c r="J41" i="4"/>
  <c r="S41" i="4" s="1"/>
  <c r="J30" i="4"/>
  <c r="S30" i="4" s="1"/>
  <c r="J25" i="4"/>
  <c r="S25" i="4" s="1"/>
  <c r="J19" i="4"/>
  <c r="S19" i="4" s="1"/>
  <c r="J9" i="4"/>
  <c r="S9" i="4" s="1"/>
  <c r="T43" i="4"/>
  <c r="Y10" i="3" s="1"/>
  <c r="T38" i="4"/>
  <c r="Y32" i="3" s="1"/>
  <c r="T33" i="4"/>
  <c r="Y34" i="3" s="1"/>
  <c r="T17" i="4"/>
  <c r="Y6" i="3" s="1"/>
  <c r="AD19" i="3"/>
  <c r="Z37" i="3"/>
  <c r="Z27" i="3"/>
  <c r="Z16" i="3"/>
  <c r="F3" i="6"/>
  <c r="F1" i="9" a="1"/>
  <c r="A16" i="5"/>
  <c r="A13" i="5"/>
  <c r="A14" i="5"/>
  <c r="A11" i="5"/>
  <c r="A15" i="5"/>
  <c r="A12" i="5"/>
  <c r="F4" i="6"/>
  <c r="X9" i="3" l="1"/>
  <c r="N17" i="2"/>
  <c r="X12" i="3"/>
  <c r="X22" i="3"/>
  <c r="N12" i="2"/>
  <c r="X4" i="3"/>
  <c r="N29" i="2"/>
  <c r="X24" i="3"/>
  <c r="N13" i="2"/>
  <c r="X3" i="3"/>
  <c r="X16" i="3"/>
  <c r="N24" i="2"/>
  <c r="X21" i="3"/>
  <c r="N23" i="2"/>
  <c r="N22" i="2"/>
  <c r="X10" i="3"/>
  <c r="X17" i="3"/>
  <c r="N28" i="2"/>
  <c r="N27" i="2"/>
  <c r="X11" i="3"/>
  <c r="N11" i="2"/>
  <c r="X18" i="3"/>
  <c r="X19" i="3"/>
  <c r="N26" i="2"/>
  <c r="X37" i="3"/>
  <c r="N10" i="2"/>
  <c r="X28" i="3"/>
  <c r="X38" i="3"/>
  <c r="X5" i="3"/>
  <c r="N25" i="2"/>
  <c r="X20" i="3"/>
  <c r="N20" i="2"/>
  <c r="X40" i="3"/>
  <c r="N4" i="2"/>
  <c r="N19" i="2"/>
  <c r="X15" i="3"/>
  <c r="X36" i="3"/>
  <c r="X6" i="3"/>
  <c r="X35" i="3"/>
  <c r="N3" i="2"/>
  <c r="N18" i="2"/>
  <c r="X34" i="3"/>
  <c r="N2" i="2"/>
  <c r="X26" i="3"/>
  <c r="X31" i="3"/>
  <c r="X7" i="3"/>
  <c r="X2" i="3"/>
  <c r="X25" i="3"/>
  <c r="X14" i="3"/>
  <c r="N21" i="2"/>
  <c r="X8" i="3"/>
  <c r="X27" i="3"/>
  <c r="N16" i="2"/>
  <c r="X13" i="3"/>
  <c r="N31" i="2"/>
  <c r="N15" i="2"/>
  <c r="X23" i="3"/>
  <c r="X33" i="3"/>
  <c r="N30" i="2"/>
  <c r="X30" i="3"/>
  <c r="N14" i="2"/>
  <c r="X32" i="3"/>
  <c r="X39" i="3"/>
  <c r="E2" i="5"/>
  <c r="Q2" i="5" a="1"/>
  <c r="Q2" i="5" s="1"/>
  <c r="F1" i="9"/>
  <c r="L2" i="9" a="1"/>
  <c r="L2" i="9" s="1"/>
  <c r="AH1" i="5" a="1"/>
  <c r="AH1" i="5" s="1"/>
  <c r="R1" i="5" a="1"/>
  <c r="I1" i="5" a="1"/>
  <c r="L4" i="5" s="1"/>
  <c r="S7" i="5" l="1"/>
  <c r="R1" i="5"/>
  <c r="R5" i="5" s="1"/>
  <c r="AJ2" i="5"/>
  <c r="AI2" i="5"/>
  <c r="AK2" i="5"/>
  <c r="L2" i="5"/>
  <c r="AM4" i="5"/>
  <c r="AJ3" i="5"/>
  <c r="M2" i="5"/>
  <c r="AK3" i="5"/>
  <c r="AL2" i="5"/>
  <c r="AL3" i="5"/>
  <c r="AM2" i="5"/>
  <c r="AM3" i="5"/>
  <c r="K4" i="5"/>
  <c r="K2" i="5"/>
  <c r="N3" i="5"/>
  <c r="I1" i="5"/>
  <c r="I2" i="5" s="1"/>
  <c r="L3" i="5"/>
  <c r="N4" i="5"/>
  <c r="AJ4" i="5"/>
  <c r="AI4" i="5"/>
  <c r="AL4" i="5"/>
  <c r="AI3" i="5"/>
  <c r="AK4" i="5"/>
  <c r="J3" i="5"/>
  <c r="J2" i="5"/>
  <c r="K3" i="5"/>
  <c r="M3" i="5"/>
  <c r="M4" i="5"/>
  <c r="N2" i="5"/>
  <c r="J4" i="5"/>
  <c r="S5" i="5"/>
  <c r="S2" i="5"/>
  <c r="U7" i="5"/>
  <c r="T4" i="5"/>
  <c r="T5" i="5"/>
  <c r="V5" i="5"/>
  <c r="S6" i="5"/>
  <c r="W3" i="5"/>
  <c r="S4" i="5"/>
  <c r="V4" i="5"/>
  <c r="T6" i="5"/>
  <c r="U6" i="5"/>
  <c r="T7" i="5"/>
  <c r="W4" i="5"/>
  <c r="V6" i="5"/>
  <c r="S3" i="5"/>
  <c r="W7" i="5"/>
  <c r="U3" i="5"/>
  <c r="W6" i="5"/>
  <c r="T2" i="5"/>
  <c r="U2" i="5"/>
  <c r="W5" i="5"/>
  <c r="V2" i="5"/>
  <c r="W2" i="5"/>
  <c r="U5" i="5"/>
  <c r="T3" i="5"/>
  <c r="V3" i="5"/>
  <c r="V7" i="5"/>
  <c r="U4" i="5"/>
  <c r="R6" i="5"/>
  <c r="R2" i="5"/>
  <c r="R7" i="5"/>
  <c r="AH3" i="5"/>
  <c r="AH2" i="5"/>
  <c r="AH4" i="5"/>
  <c r="R4" i="5" l="1"/>
  <c r="R3" i="5"/>
  <c r="I3" i="5"/>
  <c r="I4" i="5"/>
  <c r="B2" i="5"/>
  <c r="D13" i="5" l="1"/>
  <c r="D16" i="5"/>
  <c r="D12" i="5"/>
  <c r="D14" i="5"/>
  <c r="D15" i="5"/>
  <c r="D2" i="5"/>
  <c r="C13" i="5"/>
  <c r="C16" i="5"/>
  <c r="C12" i="5"/>
  <c r="C15" i="5"/>
  <c r="C14" i="5"/>
  <c r="D11" i="5" l="1"/>
  <c r="C11" i="5"/>
  <c r="J2" i="9" a="1"/>
  <c r="J2" i="9" s="1"/>
  <c r="H2" i="9" a="1"/>
  <c r="H2" i="9" s="1"/>
  <c r="A1" i="9" a="1"/>
  <c r="A1" i="9" s="1"/>
  <c r="C2" i="5"/>
  <c r="F2" i="9" a="1"/>
  <c r="F2" i="9" s="1"/>
  <c r="K2" i="9" a="1"/>
  <c r="K2" i="9" s="1"/>
  <c r="I2" i="9" a="1"/>
  <c r="I2" i="9" s="1"/>
  <c r="G2" i="9" a="1"/>
  <c r="G2"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196890-B1A9-499E-9549-A62879D88EDF}"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2" xr16:uid="{A2085320-C93A-4289-861E-CEEDB7D51806}" keepAlive="1" name="Query - Opportunities" description="Connection to the 'Opportunities' query in the workbook." type="5" refreshedVersion="8" background="1" saveData="1">
    <dbPr connection="Provider=Microsoft.Mashup.OleDb.1;Data Source=$Workbook$;Location=Opportunities;Extended Properties=&quot;&quot;" command="SELECT * FROM [Opportunities]"/>
  </connection>
  <connection id="3" xr16:uid="{E7F92C6C-DBFD-4CAA-B3C3-C5D288DEC57F}" keepAlive="1" name="Query - View" description="Connection to the 'View' query in the workbook." type="5" refreshedVersion="8" background="1" saveData="1">
    <dbPr connection="Provider=Microsoft.Mashup.OleDb.1;Data Source=$Workbook$;Location=View;Extended Properties=&quot;&quot;" command="SELECT * FROM [View]"/>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<sst xmlns="http://schemas.openxmlformats.org/spreadsheetml/2006/main" count="698" uniqueCount="417">
  <si>
    <t>Id</t>
  </si>
  <si>
    <t>Created</t>
  </si>
  <si>
    <t>Modified</t>
  </si>
  <si>
    <t>PrimaryContact</t>
  </si>
  <si>
    <t>PrimaryContactTitle</t>
  </si>
  <si>
    <t>AlternateContact</t>
  </si>
  <si>
    <t>AlternateContactTitle</t>
  </si>
  <si>
    <t>AlternateContact2</t>
  </si>
  <si>
    <t>AlternateContact2Title</t>
  </si>
  <si>
    <t>CEO</t>
  </si>
  <si>
    <t>CTO</t>
  </si>
  <si>
    <t>Chief Medical Officer</t>
  </si>
  <si>
    <t>David Lee</t>
  </si>
  <si>
    <t>Status</t>
  </si>
  <si>
    <t>Stage</t>
  </si>
  <si>
    <t>Amount</t>
  </si>
  <si>
    <t>Probability</t>
  </si>
  <si>
    <t>At Risk</t>
  </si>
  <si>
    <t>Negotiation</t>
  </si>
  <si>
    <t>Active</t>
  </si>
  <si>
    <t>Lead Qualification</t>
  </si>
  <si>
    <t>Project Execution</t>
  </si>
  <si>
    <t>Proposal</t>
  </si>
  <si>
    <t>Nurturing</t>
  </si>
  <si>
    <t>Closeout</t>
  </si>
  <si>
    <t>Critical</t>
  </si>
  <si>
    <t>Total Pipeline</t>
  </si>
  <si>
    <t>Avg Probability</t>
  </si>
  <si>
    <t>High Probability</t>
  </si>
  <si>
    <t>url</t>
  </si>
  <si>
    <t>Close Quarter</t>
  </si>
  <si>
    <t>FQ</t>
  </si>
  <si>
    <t>CQ</t>
  </si>
  <si>
    <t>Index</t>
  </si>
  <si>
    <t>Close</t>
  </si>
  <si>
    <t>StageNumber</t>
  </si>
  <si>
    <t>DisplayStage</t>
  </si>
  <si>
    <t>Calendar</t>
  </si>
  <si>
    <t>NextMilestone</t>
  </si>
  <si>
    <t>NextMilestoneDate</t>
  </si>
  <si>
    <t>Next Milestone</t>
  </si>
  <si>
    <t>Weighted</t>
  </si>
  <si>
    <t>Pipeline Type</t>
  </si>
  <si>
    <t>Unweighted</t>
  </si>
  <si>
    <t>Visible</t>
  </si>
  <si>
    <t>Comment Log</t>
  </si>
  <si>
    <t xml:space="preserve">🔗Customer </t>
  </si>
  <si>
    <t>FY Start</t>
  </si>
  <si>
    <t>Opportunities</t>
  </si>
  <si>
    <t>Site URL</t>
  </si>
  <si>
    <t>https://cleansheet5.sharepoint.com/sites/SalesFunnel/</t>
  </si>
  <si>
    <t>{</t>
  </si>
  <si>
    <t xml:space="preserve">    "sections": [</t>
  </si>
  <si>
    <t xml:space="preserve">        {</t>
  </si>
  <si>
    <t xml:space="preserve">            "fields": [</t>
  </si>
  <si>
    <t xml:space="preserve">                "Name",</t>
  </si>
  <si>
    <t xml:space="preserve">            ]</t>
  </si>
  <si>
    <t xml:space="preserve">        },</t>
  </si>
  <si>
    <t xml:space="preserve">        }</t>
  </si>
  <si>
    <t xml:space="preserve">    ]</t>
  </si>
  <si>
    <t>}</t>
  </si>
  <si>
    <t xml:space="preserve">            "displayname": "Customer Details",</t>
  </si>
  <si>
    <t xml:space="preserve">                "Website"</t>
  </si>
  <si>
    <t xml:space="preserve">            "displayname": "Primary Contact",</t>
  </si>
  <si>
    <t xml:space="preserve">                "PrimaryContact",</t>
  </si>
  <si>
    <t xml:space="preserve">                "PrimaryContactTitle"</t>
  </si>
  <si>
    <t xml:space="preserve">            "displayname": "Alternate 1 Contact",</t>
  </si>
  <si>
    <t xml:space="preserve">                "AlternateContact",</t>
  </si>
  <si>
    <t xml:space="preserve">                "AlternateContactTitle"</t>
  </si>
  <si>
    <t xml:space="preserve">            "displayname": "Alternate 2 Contact",</t>
  </si>
  <si>
    <t xml:space="preserve">                "AlternateContact2",</t>
  </si>
  <si>
    <t xml:space="preserve">                "AlternateContact2Title"</t>
  </si>
  <si>
    <t>Url</t>
  </si>
  <si>
    <t>url2</t>
  </si>
  <si>
    <t>status symbol</t>
  </si>
  <si>
    <t>S</t>
  </si>
  <si>
    <t>Last Comment</t>
  </si>
  <si>
    <t>⮾</t>
  </si>
  <si>
    <t>⚠</t>
  </si>
  <si>
    <t>✓</t>
  </si>
  <si>
    <t>Win Probability</t>
  </si>
  <si>
    <t>Estmated Revenue</t>
  </si>
  <si>
    <t xml:space="preserve"> 🔗Opportunity</t>
  </si>
  <si>
    <t>Medium</t>
  </si>
  <si>
    <t>High</t>
  </si>
  <si>
    <t>Low</t>
  </si>
  <si>
    <t>Customer Name</t>
  </si>
  <si>
    <t>Stage Name</t>
  </si>
  <si>
    <t>Value</t>
  </si>
  <si>
    <t>Global Industries</t>
  </si>
  <si>
    <t>OpportunityOwner</t>
  </si>
  <si>
    <t>OpportunityName</t>
  </si>
  <si>
    <t>ERP Implementation Project</t>
  </si>
  <si>
    <t>John Manager</t>
  </si>
  <si>
    <t>Technical Review</t>
  </si>
  <si>
    <t>Cloud Migration Initiative</t>
  </si>
  <si>
    <t>Sarah Director</t>
  </si>
  <si>
    <t>Contract Finalization</t>
  </si>
  <si>
    <t>Security Assessment &amp; Audit</t>
  </si>
  <si>
    <t>Mike Consultant</t>
  </si>
  <si>
    <t>Stakeholder Meeting</t>
  </si>
  <si>
    <t>Manufacturing Automation System</t>
  </si>
  <si>
    <t>Lisa Engineer</t>
  </si>
  <si>
    <t>Site Survey</t>
  </si>
  <si>
    <t>Healthcare Data Analytics Platform</t>
  </si>
  <si>
    <t>Dr. Tech Advisor</t>
  </si>
  <si>
    <t>ROI Presentation</t>
  </si>
  <si>
    <t>ACME Corporation</t>
  </si>
  <si>
    <t>https://acme.com</t>
  </si>
  <si>
    <t>John Smith</t>
  </si>
  <si>
    <t>Jane Doe</t>
  </si>
  <si>
    <t>VP Sales</t>
  </si>
  <si>
    <t>Bob Wilson</t>
  </si>
  <si>
    <t>https://globalindustries.com</t>
  </si>
  <si>
    <t>Sarah Johnson</t>
  </si>
  <si>
    <t>Director</t>
  </si>
  <si>
    <t>Mike Brown</t>
  </si>
  <si>
    <t>Manager</t>
  </si>
  <si>
    <t>Lisa Davis</t>
  </si>
  <si>
    <t>Coordinator</t>
  </si>
  <si>
    <t>Tech Solutions Inc</t>
  </si>
  <si>
    <t>https://techsolutions.com</t>
  </si>
  <si>
    <t>Founder</t>
  </si>
  <si>
    <t>Emily Chen</t>
  </si>
  <si>
    <t>COO</t>
  </si>
  <si>
    <t>Alex Rodriguez</t>
  </si>
  <si>
    <t>CFO</t>
  </si>
  <si>
    <t>Manufacturing Plus</t>
  </si>
  <si>
    <t>https://manufacturingplus.com</t>
  </si>
  <si>
    <t>Robert Taylor</t>
  </si>
  <si>
    <t>Plant Manager</t>
  </si>
  <si>
    <t>Jennifer White</t>
  </si>
  <si>
    <t>Operations Director</t>
  </si>
  <si>
    <t>Mark Thompson</t>
  </si>
  <si>
    <t>Quality Manager</t>
  </si>
  <si>
    <t>Healthcare Partners</t>
  </si>
  <si>
    <t>https://healthcarepartners.com</t>
  </si>
  <si>
    <t>Dr. Maria Garcia</t>
  </si>
  <si>
    <t>James Anderson</t>
  </si>
  <si>
    <t>Administrator</t>
  </si>
  <si>
    <t>Susan Miller</t>
  </si>
  <si>
    <t>Finance Director</t>
  </si>
  <si>
    <t>CustomerRecordUrl</t>
  </si>
  <si>
    <t>CustomerRecordURL</t>
  </si>
  <si>
    <t>prefix</t>
  </si>
  <si>
    <t>Customers</t>
  </si>
  <si>
    <t>Jennifer PM</t>
  </si>
  <si>
    <t>Proposal Review</t>
  </si>
  <si>
    <t>Digital Transformation Project</t>
  </si>
  <si>
    <t>Requirements Analysis</t>
  </si>
  <si>
    <t>Network Infrastructure Upgrade</t>
  </si>
  <si>
    <t>Maria Coordinator</t>
  </si>
  <si>
    <t>Implementation Planning</t>
  </si>
  <si>
    <t>Business Intelligence Solution</t>
  </si>
  <si>
    <t>Proof of Concept</t>
  </si>
  <si>
    <t>Customer Portal Development</t>
  </si>
  <si>
    <t>Mobile Application Development</t>
  </si>
  <si>
    <t>Data Center Consolidation</t>
  </si>
  <si>
    <t>Robert Analyst</t>
  </si>
  <si>
    <t>Cybersecurity Enhancement</t>
  </si>
  <si>
    <t>Budget Approval</t>
  </si>
  <si>
    <t>E-commerce Platform</t>
  </si>
  <si>
    <t>Document Management System</t>
  </si>
  <si>
    <t>Training &amp; Development Program</t>
  </si>
  <si>
    <t>Quality Management System</t>
  </si>
  <si>
    <t>Supply Chain Optimization</t>
  </si>
  <si>
    <t>Financial Planning Software</t>
  </si>
  <si>
    <t>David Specialist</t>
  </si>
  <si>
    <t>HR Management System</t>
  </si>
  <si>
    <t>Marketing Automation Platform</t>
  </si>
  <si>
    <t>CRM System Upgrade</t>
  </si>
  <si>
    <t>Inventory Management Solution</t>
  </si>
  <si>
    <t>Point of Sale System</t>
  </si>
  <si>
    <t>Compliance Management Tool</t>
  </si>
  <si>
    <t>Project Management Software</t>
  </si>
  <si>
    <t>Video Conferencing Solution</t>
  </si>
  <si>
    <t>Backup &amp; Recovery System</t>
  </si>
  <si>
    <t>Website Redesign Project</t>
  </si>
  <si>
    <t>Social Media Management Tool</t>
  </si>
  <si>
    <t>Customer Service Platform</t>
  </si>
  <si>
    <t>Fleet Management System</t>
  </si>
  <si>
    <t>Environmental Monitoring Solution</t>
  </si>
  <si>
    <t>Safety Management System</t>
  </si>
  <si>
    <t>Performance Analytics Dashboard</t>
  </si>
  <si>
    <t>Workflow Automation Tool</t>
  </si>
  <si>
    <t>Integration Services Project</t>
  </si>
  <si>
    <t>Database Migration Project</t>
  </si>
  <si>
    <t>Legacy System Modernization</t>
  </si>
  <si>
    <t>API Development Project</t>
  </si>
  <si>
    <t>Machine Learning Implementation</t>
  </si>
  <si>
    <t>Automotive Parts Plus</t>
  </si>
  <si>
    <t>https://autopartsplus.com</t>
  </si>
  <si>
    <t>Gregory Johnson</t>
  </si>
  <si>
    <t>Store Manager</t>
  </si>
  <si>
    <t>Brenda Davis</t>
  </si>
  <si>
    <t>Parts Specialist</t>
  </si>
  <si>
    <t>Tony Martinez</t>
  </si>
  <si>
    <t>Service Advisor</t>
  </si>
  <si>
    <t>Textile Manufacturing</t>
  </si>
  <si>
    <t>https://textilemanufacturing.com</t>
  </si>
  <si>
    <t>Victoria Brown</t>
  </si>
  <si>
    <t>Production Manager</t>
  </si>
  <si>
    <t>Samuel Wilson</t>
  </si>
  <si>
    <t>Quality Control</t>
  </si>
  <si>
    <t>Rebecca Taylor</t>
  </si>
  <si>
    <t>Logistics Coordinator</t>
  </si>
  <si>
    <t>Environmental Services</t>
  </si>
  <si>
    <t>https://environmentalservices.com</t>
  </si>
  <si>
    <t>Jonathan Green</t>
  </si>
  <si>
    <t>Environmental Engineer</t>
  </si>
  <si>
    <t>Laura Miller</t>
  </si>
  <si>
    <t>Project Coordinator</t>
  </si>
  <si>
    <t>Kevin White</t>
  </si>
  <si>
    <t>Field Technician</t>
  </si>
  <si>
    <t>Sports &amp; Recreation</t>
  </si>
  <si>
    <t>https://sportsrecreation.com</t>
  </si>
  <si>
    <t>Marcus Johnson</t>
  </si>
  <si>
    <t>Facility Manager</t>
  </si>
  <si>
    <t>Stephanie Clark</t>
  </si>
  <si>
    <t>Program Director</t>
  </si>
  <si>
    <t>Derek Anderson</t>
  </si>
  <si>
    <t>Maintenance Manager</t>
  </si>
  <si>
    <t>Security Solutions</t>
  </si>
  <si>
    <t>https://securitysolutions.com</t>
  </si>
  <si>
    <t>Raymond Davis</t>
  </si>
  <si>
    <t>Security Director</t>
  </si>
  <si>
    <t>Carol Thompson</t>
  </si>
  <si>
    <t>Operations Manager</t>
  </si>
  <si>
    <t>Eugene Garcia</t>
  </si>
  <si>
    <t>Technical Specialist</t>
  </si>
  <si>
    <t>Chemical Processing</t>
  </si>
  <si>
    <t>https://chemicalprocessing.com</t>
  </si>
  <si>
    <t>Donna Martinez</t>
  </si>
  <si>
    <t>Albert Rodriguez</t>
  </si>
  <si>
    <t>Process Engineer</t>
  </si>
  <si>
    <t>Ruth Wilson</t>
  </si>
  <si>
    <t>Safety Manager</t>
  </si>
  <si>
    <t>Publishing House</t>
  </si>
  <si>
    <t>https://publishinghouse.com</t>
  </si>
  <si>
    <t>Arthur Lee</t>
  </si>
  <si>
    <t>Editor-in-Chief</t>
  </si>
  <si>
    <t>Evelyn Brown</t>
  </si>
  <si>
    <t>Walter Kim</t>
  </si>
  <si>
    <t>Marketing Director</t>
  </si>
  <si>
    <t>Mining Operations</t>
  </si>
  <si>
    <t>https://miningoperations.com</t>
  </si>
  <si>
    <t>Harold Johnson</t>
  </si>
  <si>
    <t>Site Manager</t>
  </si>
  <si>
    <t>Gloria Davis</t>
  </si>
  <si>
    <t>Safety Coordinator</t>
  </si>
  <si>
    <t>Ralph Martinez</t>
  </si>
  <si>
    <t>Equipment Supervisor</t>
  </si>
  <si>
    <t>Telecommunications Inc</t>
  </si>
  <si>
    <t>https://telecommunications.com</t>
  </si>
  <si>
    <t>Betty Wilson</t>
  </si>
  <si>
    <t>Network Manager</t>
  </si>
  <si>
    <t>Ernest Thompson</t>
  </si>
  <si>
    <t>Technical Support</t>
  </si>
  <si>
    <t>Mildred Garcia</t>
  </si>
  <si>
    <t>Customer Service Manager</t>
  </si>
  <si>
    <t>Waste Management Co</t>
  </si>
  <si>
    <t>https://wastemanagement.com</t>
  </si>
  <si>
    <t>Gerald Rodriguez</t>
  </si>
  <si>
    <t>Joan Anderson</t>
  </si>
  <si>
    <t>Route Manager</t>
  </si>
  <si>
    <t>Frank Miller</t>
  </si>
  <si>
    <t>Disposal Coordinator</t>
  </si>
  <si>
    <t>Consulting Experts</t>
  </si>
  <si>
    <t>https://consultingexperts.com</t>
  </si>
  <si>
    <t>Louise Clark</t>
  </si>
  <si>
    <t>Senior Consultant</t>
  </si>
  <si>
    <t>Wayne Taylor</t>
  </si>
  <si>
    <t>Project Manager</t>
  </si>
  <si>
    <t>Theresa Brown</t>
  </si>
  <si>
    <t>Business Analyst</t>
  </si>
  <si>
    <t>Financial Dynamics</t>
  </si>
  <si>
    <t>https://financialdynamics.com</t>
  </si>
  <si>
    <t>Peter Jackson</t>
  </si>
  <si>
    <t>President</t>
  </si>
  <si>
    <t>Mary Wilson</t>
  </si>
  <si>
    <t>VP Operations</t>
  </si>
  <si>
    <t>Tom Harris</t>
  </si>
  <si>
    <t>Retail Excellence</t>
  </si>
  <si>
    <t>https://retailexcellence.com</t>
  </si>
  <si>
    <t>Amanda Clark</t>
  </si>
  <si>
    <t>Kevin Martinez</t>
  </si>
  <si>
    <t>Regional Director</t>
  </si>
  <si>
    <t>Nicole Brown</t>
  </si>
  <si>
    <t>Merchandising Manager</t>
  </si>
  <si>
    <t>Energy Solutions Group</t>
  </si>
  <si>
    <t>https://energysolutions.com</t>
  </si>
  <si>
    <t>Michael Turner</t>
  </si>
  <si>
    <t>Engineering Director</t>
  </si>
  <si>
    <t>Rachel Green</t>
  </si>
  <si>
    <t>Daniel White</t>
  </si>
  <si>
    <t>Construction Dynamics</t>
  </si>
  <si>
    <t>https://constructiondynamics.com</t>
  </si>
  <si>
    <t>Steve Robinson</t>
  </si>
  <si>
    <t>General Manager</t>
  </si>
  <si>
    <t>Linda Moore</t>
  </si>
  <si>
    <t>Office Manager</t>
  </si>
  <si>
    <t>Gary Thompson</t>
  </si>
  <si>
    <t>Site Supervisor</t>
  </si>
  <si>
    <t>Education First</t>
  </si>
  <si>
    <t>https://educationfirst.com</t>
  </si>
  <si>
    <t>Dr. Jennifer Adams</t>
  </si>
  <si>
    <t>Superintendent</t>
  </si>
  <si>
    <t>Robert Lewis</t>
  </si>
  <si>
    <t>IT Director</t>
  </si>
  <si>
    <t>Susan Walker</t>
  </si>
  <si>
    <t>Curriculum Director</t>
  </si>
  <si>
    <t>Transport Logistics</t>
  </si>
  <si>
    <t>https://transportlogistics.com</t>
  </si>
  <si>
    <t>Carlos Rodriguez</t>
  </si>
  <si>
    <t>Fleet Manager</t>
  </si>
  <si>
    <t>Angela Davis</t>
  </si>
  <si>
    <t>Bryan Miller</t>
  </si>
  <si>
    <t>Maintenance Supervisor</t>
  </si>
  <si>
    <t>Food Service Partners</t>
  </si>
  <si>
    <t>https://foodservicepartners.com</t>
  </si>
  <si>
    <t>Maria Gonzalez</t>
  </si>
  <si>
    <t>John Wilson</t>
  </si>
  <si>
    <t>Kitchen Manager</t>
  </si>
  <si>
    <t>Lisa Garcia</t>
  </si>
  <si>
    <t>Service Manager</t>
  </si>
  <si>
    <t>Professional Services Group</t>
  </si>
  <si>
    <t>https://professionalservices.com</t>
  </si>
  <si>
    <t>Thomas Anderson</t>
  </si>
  <si>
    <t>Managing Partner</t>
  </si>
  <si>
    <t>Patricia Taylor</t>
  </si>
  <si>
    <t>Senior Associate</t>
  </si>
  <si>
    <t>Richard Brown</t>
  </si>
  <si>
    <t>Media Communications</t>
  </si>
  <si>
    <t>https://mediacommunications.com</t>
  </si>
  <si>
    <t>Jessica Williams</t>
  </si>
  <si>
    <t>Creative Director</t>
  </si>
  <si>
    <t>Andrew Johnson</t>
  </si>
  <si>
    <t>Michelle Davis</t>
  </si>
  <si>
    <t>Account Manager</t>
  </si>
  <si>
    <t>Pharmaceutical Research</t>
  </si>
  <si>
    <t>https://pharmresearch.com</t>
  </si>
  <si>
    <t>Dr. William Chen</t>
  </si>
  <si>
    <t>Research Director</t>
  </si>
  <si>
    <t>Karen Lee</t>
  </si>
  <si>
    <t>Lab Manager</t>
  </si>
  <si>
    <t>David Kim</t>
  </si>
  <si>
    <t>Regulatory Affairs</t>
  </si>
  <si>
    <t>Real Estate Ventures</t>
  </si>
  <si>
    <t>https://realestateventures.com</t>
  </si>
  <si>
    <t>Catherine Moore</t>
  </si>
  <si>
    <t>Broker</t>
  </si>
  <si>
    <t>James Parker</t>
  </si>
  <si>
    <t>Property Manager</t>
  </si>
  <si>
    <t>Sandra Clark</t>
  </si>
  <si>
    <t>Development Manager</t>
  </si>
  <si>
    <t>Insurance Specialists</t>
  </si>
  <si>
    <t>https://insurancespecialists.com</t>
  </si>
  <si>
    <t>Robert Martinez</t>
  </si>
  <si>
    <t>Agency Owner</t>
  </si>
  <si>
    <t>Nancy Thompson</t>
  </si>
  <si>
    <t>Claims Manager</t>
  </si>
  <si>
    <t>Paul Anderson</t>
  </si>
  <si>
    <t>Underwriter</t>
  </si>
  <si>
    <t>Agricultural Systems</t>
  </si>
  <si>
    <t>https://agriculturalsystems.com</t>
  </si>
  <si>
    <t>Frank Wilson</t>
  </si>
  <si>
    <t>Farm Manager</t>
  </si>
  <si>
    <t>Helen Garcia</t>
  </si>
  <si>
    <t>Crop Specialist</t>
  </si>
  <si>
    <t>Mark Rodriguez</t>
  </si>
  <si>
    <t>Equipment Manager</t>
  </si>
  <si>
    <t>Hotel Management Group</t>
  </si>
  <si>
    <t>https://hotelmanagement.com</t>
  </si>
  <si>
    <t>Diana Adams</t>
  </si>
  <si>
    <t>Christopher Lee</t>
  </si>
  <si>
    <t>Front Desk Manager</t>
  </si>
  <si>
    <t>Maria Santos</t>
  </si>
  <si>
    <t>Housekeeping Manager</t>
  </si>
  <si>
    <t>Display</t>
  </si>
  <si>
    <t>1 - Lead Qualification</t>
  </si>
  <si>
    <t>2 - Nurturing</t>
  </si>
  <si>
    <t>3 - Proposal</t>
  </si>
  <si>
    <t>4 - Negotiation</t>
  </si>
  <si>
    <t>5 - Project Execution</t>
  </si>
  <si>
    <t>6 - Closeout</t>
  </si>
  <si>
    <t>ID</t>
  </si>
  <si>
    <t>CustomerId</t>
  </si>
  <si>
    <t>Customer Name2</t>
  </si>
  <si>
    <t>EscalationDisplay</t>
  </si>
  <si>
    <t>Opp Value</t>
  </si>
  <si>
    <t>Expected Rev</t>
  </si>
  <si>
    <t>clientID</t>
  </si>
  <si>
    <t>4f2cadf3-cdfe-4c73-819d-6e8141ad5b51</t>
  </si>
  <si>
    <r>
      <t>Start-</t>
    </r>
    <r>
      <rPr>
        <sz val="11"/>
        <color rgb="FF9334E6"/>
        <rFont val="Courier New"/>
        <family val="3"/>
      </rPr>
      <t>Process</t>
    </r>
    <r>
      <rPr>
        <sz val="11"/>
        <color rgb="FF001D35"/>
        <rFont val="Courier New"/>
        <family val="3"/>
      </rPr>
      <t xml:space="preserve"> pwsh -Verb RunAs</t>
    </r>
  </si>
  <si>
    <t>Amanda Sales</t>
  </si>
  <si>
    <t>Documentation</t>
  </si>
  <si>
    <t>Day 1</t>
  </si>
  <si>
    <t>Day 2</t>
  </si>
  <si>
    <t>Scripts</t>
  </si>
  <si>
    <t>PnP w/interactive auth)</t>
  </si>
  <si>
    <t>WinProbDisplay</t>
  </si>
  <si>
    <t>Symbol</t>
  </si>
  <si>
    <t>➀</t>
  </si>
  <si>
    <t>➁</t>
  </si>
  <si>
    <t>➂</t>
  </si>
  <si>
    <t>➃</t>
  </si>
  <si>
    <t>➄</t>
  </si>
  <si>
    <t>➅</t>
  </si>
  <si>
    <t xml:space="preserve"> (Escalated PowerShell 7 &amp; </t>
  </si>
  <si>
    <t>StartDate</t>
  </si>
  <si>
    <t>RecurringRevenueModel</t>
  </si>
  <si>
    <t>Recurrences</t>
  </si>
  <si>
    <t>citizen</t>
  </si>
  <si>
    <t>2025-08-11T16:12:47Z</t>
  </si>
  <si>
    <t>2025-08-11T16:12:48Z</t>
  </si>
  <si>
    <t>2025-08-11T16:12:49Z</t>
  </si>
  <si>
    <t xml:space="preserve">new comment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</si>
</sst>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quot;$&quot;\ #,##0.0&quot;k&quot;"/>
    <numFmt numFmtId="165" formatCode="yyyy\-mmm\-dd"/>
    <numFmt numFmtId="166" formatCode="#&quot;d&quot;"/>
    <numFmt numFmtId="167" formatCode="&quot;$&quot;\ #,##0.0&quot;m&quot;"/>
    <numFmt numFmtId="168" formatCode="&quot;$&quot;#,##0.00"/>
    <numFmt numFmtId="169" formatCode="&quot;$&quot;\ 0.0&quot;k&quot;"/>
  </numFmts>
  <fonts count="19" x14ac:knownFonts="1">
    <font>
      <sz val="11"/>
      <color theme="1"/>
      <name val="Aptos Narrow"/>
      <family val="2"/>
      <scheme val="minor"/>
    </font>
    <font>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u/>
      <sz val="11"/>
      <color theme="10"/>
      <name val="Aptos Narrow"/>
      <family val="2"/>
      <scheme val="minor"/>
    </font>
    <font>
      <b/>
      <sz val="16"/>
      <color theme="0"/>
      <name val="Aptos Narrow"/>
      <family val="2"/>
      <scheme val="minor"/>
    </font>
    <font>
      <sz val="9"/>
      <color theme="1"/>
      <name val="Aptos Narrow"/>
      <family val="2"/>
      <scheme val="minor"/>
    </font>
    <font>
      <b/>
      <sz val="11"/>
      <color rgb="FF660000"/>
      <name val="Aptos Narrow"/>
      <family val="2"/>
      <scheme val="minor"/>
    </font>
    <font>
      <b/>
      <sz val="10"/>
      <color theme="0" tint="-0.499984740745262"/>
      <name val="Aptos Narrow"/>
      <family val="2"/>
      <scheme val="minor"/>
    </font>
    <font>
      <sz val="10"/>
      <color theme="0" tint="-0.499984740745262"/>
      <name val="Aptos Narrow"/>
      <family val="2"/>
      <scheme val="minor"/>
    </font>
    <font>
      <i/>
      <sz val="11"/>
      <color theme="0" tint="-0.499984740745262"/>
      <name val="Aptos Narrow"/>
      <family val="2"/>
      <scheme val="minor"/>
    </font>
    <font>
      <sz val="11"/>
      <color theme="1" tint="0.499984740745262"/>
      <name val="Aptos Narrow"/>
      <family val="2"/>
      <scheme val="minor"/>
    </font>
    <font>
      <u/>
      <sz val="11"/>
      <color theme="0"/>
      <name val="Aptos Narrow"/>
      <family val="2"/>
      <scheme val="minor"/>
    </font>
    <font>
      <i/>
      <u/>
      <sz val="11"/>
      <color theme="10"/>
      <name val="Aptos Narrow"/>
      <family val="2"/>
      <scheme val="minor"/>
    </font>
    <font>
      <sz val="11"/>
      <color rgb="FF001D35"/>
      <name val="Courier New"/>
      <family val="3"/>
    </font>
    <font>
      <sz val="11"/>
      <color rgb="FF9334E6"/>
      <name val="Courier New"/>
      <family val="3"/>
    </font>
    <font>
      <i/>
      <sz val="11"/>
      <color theme="0"/>
      <name val="Aptos Narrow"/>
      <family val="2"/>
      <scheme val="minor"/>
    </font>
    <font>
      <sz val="16"/>
      <color rgb="FF000000"/>
      <name val="Arial"/>
      <family val="2"/>
    </font>
  </fonts>
  <fills count="5">
    <fill>
      <patternFill patternType="none"/>
    </fill>
    <fill>
      <patternFill patternType="gray125"/>
    </fill>
    <fill>
      <patternFill patternType="solid">
        <fgColor theme="2"/>
        <bgColor indexed="64"/>
      </patternFill>
    </fill>
    <fill>
      <patternFill patternType="solid">
        <fgColor rgb="FF660000"/>
        <bgColor indexed="64"/>
      </patternFill>
    </fill>
    <fill>
      <patternFill patternType="solid">
        <fgColor theme="1" tint="0.499984740745262"/>
        <bgColor indexed="64"/>
      </patternFill>
    </fill>
  </fills>
  <borders count="4">
    <border>
      <left/>
      <right/>
      <top/>
      <bottom/>
      <diagonal/>
    </border>
    <border>
      <left/>
      <right/>
      <top style="thin">
        <color theme="1"/>
      </top>
      <bottom style="thin">
        <color theme="1"/>
      </bottom>
      <diagonal/>
    </border>
    <border>
      <left style="thick">
        <color rgb="FF660000"/>
      </left>
      <right style="thick">
        <color rgb="FF660000"/>
      </right>
      <top/>
      <bottom/>
      <diagonal/>
    </border>
    <border>
      <left style="thick">
        <color rgb="FF660000"/>
      </left>
      <right/>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54">
    <xf numFmtId="0" fontId="0" fillId="0" borderId="0" xfId="0"/>
    <xf numFmtId="164" fontId="0" fillId="0" borderId="0" xfId="1" applyNumberFormat="1" applyFont="1"/>
    <xf numFmtId="165" fontId="0" fillId="0" borderId="0" xfId="3" applyNumberFormat="1" applyFont="1"/>
    <xf numFmtId="166" fontId="0" fillId="0" borderId="0" xfId="3" applyNumberFormat="1" applyFont="1"/>
    <xf numFmtId="164" fontId="0" fillId="0" borderId="0" xfId="0" applyNumberFormat="1"/>
    <xf numFmtId="0" fontId="7" fillId="0" borderId="0" xfId="0" applyFont="1" applyAlignment="1">
      <alignment horizontal="center" vertical="top"/>
    </xf>
    <xf numFmtId="0" fontId="0" fillId="2" borderId="0" xfId="0" applyFill="1" applyAlignment="1">
      <alignment horizontal="left" indent="1"/>
    </xf>
    <xf numFmtId="0" fontId="6" fillId="3" borderId="0" xfId="0" applyFont="1" applyFill="1" applyAlignment="1">
      <alignment horizontal="centerContinuous"/>
    </xf>
    <xf numFmtId="167" fontId="6" fillId="3" borderId="0" xfId="1" applyNumberFormat="1" applyFont="1" applyFill="1" applyAlignment="1">
      <alignment horizontal="centerContinuous"/>
    </xf>
    <xf numFmtId="168" fontId="6" fillId="3" borderId="0" xfId="0" applyNumberFormat="1" applyFont="1" applyFill="1" applyAlignment="1">
      <alignment horizontal="centerContinuous"/>
    </xf>
    <xf numFmtId="0" fontId="3" fillId="3" borderId="0" xfId="0" applyFont="1" applyFill="1" applyAlignment="1">
      <alignment horizontal="centerContinuous"/>
    </xf>
    <xf numFmtId="0" fontId="2" fillId="3" borderId="1" xfId="0" applyFont="1" applyFill="1" applyBorder="1"/>
    <xf numFmtId="0" fontId="3" fillId="3" borderId="0" xfId="0" applyFont="1" applyFill="1"/>
    <xf numFmtId="0" fontId="7" fillId="0" borderId="2" xfId="0" applyFont="1" applyBorder="1" applyAlignment="1">
      <alignment horizontal="center" vertical="top"/>
    </xf>
    <xf numFmtId="167" fontId="8" fillId="0" borderId="2" xfId="0" applyNumberFormat="1" applyFont="1" applyBorder="1" applyAlignment="1">
      <alignment horizontal="center"/>
    </xf>
    <xf numFmtId="1" fontId="8" fillId="0" borderId="2" xfId="0" applyNumberFormat="1" applyFont="1" applyBorder="1" applyAlignment="1">
      <alignment horizontal="center"/>
    </xf>
    <xf numFmtId="9" fontId="8" fillId="0" borderId="2" xfId="3" applyFont="1" applyBorder="1" applyAlignment="1">
      <alignment horizontal="center"/>
    </xf>
    <xf numFmtId="0" fontId="0" fillId="3" borderId="0" xfId="0" applyFill="1" applyAlignment="1">
      <alignment horizontal="centerContinuous"/>
    </xf>
    <xf numFmtId="167" fontId="8" fillId="0" borderId="3" xfId="0" applyNumberFormat="1" applyFont="1" applyBorder="1" applyAlignment="1">
      <alignment horizontal="center"/>
    </xf>
    <xf numFmtId="0" fontId="2" fillId="3" borderId="0" xfId="0" applyFont="1" applyFill="1" applyAlignment="1">
      <alignment horizontal="right"/>
    </xf>
    <xf numFmtId="0" fontId="5" fillId="0" borderId="0" xfId="4"/>
    <xf numFmtId="167" fontId="0" fillId="0" borderId="0" xfId="2" applyNumberFormat="1" applyFont="1"/>
    <xf numFmtId="0" fontId="9" fillId="0" borderId="0" xfId="0" applyFont="1"/>
    <xf numFmtId="0" fontId="10" fillId="0" borderId="0" xfId="0" applyFont="1"/>
    <xf numFmtId="165" fontId="11" fillId="0" borderId="0" xfId="3" applyNumberFormat="1" applyFont="1" applyAlignment="1">
      <alignment horizontal="left" indent="1"/>
    </xf>
    <xf numFmtId="0" fontId="5" fillId="0" borderId="0" xfId="4" applyAlignment="1">
      <alignment horizontal="left" vertical="top"/>
    </xf>
    <xf numFmtId="169" fontId="0" fillId="0" borderId="0" xfId="0" applyNumberFormat="1"/>
    <xf numFmtId="164" fontId="0" fillId="0" borderId="0" xfId="3" applyNumberFormat="1" applyFont="1" applyAlignment="1">
      <alignment horizontal="left" indent="1"/>
    </xf>
    <xf numFmtId="164" fontId="0" fillId="0" borderId="0" xfId="3" applyNumberFormat="1" applyFont="1" applyAlignment="1">
      <alignment horizontal="right" indent="1"/>
    </xf>
    <xf numFmtId="0" fontId="0" fillId="2" borderId="0" xfId="0" applyFill="1" applyAlignment="1" applyProtection="1">
      <alignment horizontal="left" indent="1"/>
      <protection locked="0"/>
    </xf>
    <xf numFmtId="165" fontId="0" fillId="2" borderId="0" xfId="0" applyNumberFormat="1" applyFill="1" applyAlignment="1" applyProtection="1">
      <alignment horizontal="left" indent="2"/>
      <protection locked="0"/>
    </xf>
    <xf numFmtId="0" fontId="5" fillId="2" borderId="0" xfId="4" applyFill="1" applyAlignment="1" applyProtection="1">
      <alignment horizontal="left" indent="1"/>
      <protection locked="0"/>
    </xf>
    <xf numFmtId="0" fontId="12" fillId="2" borderId="0" xfId="0" applyFont="1" applyFill="1" applyAlignment="1">
      <alignment horizontal="left" indent="1"/>
    </xf>
    <xf numFmtId="0" fontId="12" fillId="0" borderId="0" xfId="0" applyFont="1"/>
    <xf numFmtId="0" fontId="0" fillId="0" borderId="0" xfId="0" applyAlignment="1" applyProtection="1">
      <alignment horizontal="right"/>
      <protection locked="0"/>
    </xf>
    <xf numFmtId="0" fontId="13" fillId="4" borderId="0" xfId="4" applyFont="1" applyFill="1" applyAlignment="1">
      <alignment horizontal="right" indent="1"/>
    </xf>
    <xf numFmtId="0" fontId="0" fillId="0" borderId="0" xfId="0" applyAlignment="1">
      <alignment horizontal="right" indent="1"/>
    </xf>
    <xf numFmtId="0" fontId="14" fillId="0" borderId="0" xfId="4" applyNumberFormat="1" applyFont="1" applyAlignment="1">
      <alignment horizontal="left" indent="1"/>
    </xf>
    <xf numFmtId="0" fontId="0" fillId="0" borderId="0" xfId="0" applyAlignment="1">
      <alignment horizontal="left" indent="1"/>
    </xf>
    <xf numFmtId="9" fontId="0" fillId="0" borderId="0" xfId="3" applyFont="1" applyProtection="1">
      <protection locked="0"/>
    </xf>
    <xf numFmtId="14"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2" fillId="3" borderId="0" xfId="0" applyFont="1" applyFill="1" applyAlignment="1">
      <alignment vertical="top" wrapText="1"/>
    </xf>
    <xf numFmtId="0" fontId="0" fillId="3" borderId="0" xfId="0" applyFill="1"/>
    <xf numFmtId="0" fontId="2" fillId="3" borderId="0" xfId="0" applyFont="1" applyFill="1"/>
    <xf numFmtId="0" fontId="0" fillId="2" borderId="0" xfId="0" applyFill="1"/>
    <xf numFmtId="0" fontId="15" fillId="0" borderId="0" xfId="0" applyFont="1"/>
    <xf numFmtId="164" fontId="5" fillId="0" borderId="0" xfId="4" applyNumberFormat="1" applyAlignment="1">
      <alignment horizontal="left" indent="1"/>
    </xf>
    <xf numFmtId="0" fontId="5" fillId="0" borderId="0" xfId="4" applyAlignment="1">
      <alignment horizontal="left" indent="1"/>
    </xf>
    <xf numFmtId="0" fontId="2" fillId="3" borderId="0" xfId="0" applyFont="1" applyFill="1" applyAlignment="1">
      <alignment horizontal="right" indent="1"/>
    </xf>
    <xf numFmtId="0" fontId="17" fillId="3" borderId="0" xfId="0" applyFont="1" applyFill="1" applyAlignment="1">
      <alignment horizontal="right" indent="1"/>
    </xf>
    <xf numFmtId="0" fontId="18" fillId="0" borderId="0" xfId="0" applyFont="1"/>
  </cellXfs>
  <cellStyles count="5">
    <cellStyle name="Comma" xfId="1" builtinId="3"/>
    <cellStyle name="Currency" xfId="2" builtinId="4"/>
    <cellStyle name="Hyperlink" xfId="4" builtinId="8"/>
    <cellStyle name="Normal" xfId="0" builtinId="0"/>
    <cellStyle name="Percent" xfId="3" builtinId="5"/>
  </cellStyles>
  <dxfs count="55">
    <dxf>
      <fill>
        <patternFill>
          <bgColor theme="3" tint="0.89996032593768116"/>
        </patternFill>
      </fill>
    </dxf>
    <dxf>
      <fill>
        <patternFill>
          <bgColor theme="0" tint="-4.9989318521683403E-2"/>
        </patternFill>
      </fill>
    </dxf>
    <dxf>
      <fill>
        <patternFill>
          <bgColor theme="2"/>
        </patternFill>
      </fill>
    </dxf>
    <dxf>
      <fill>
        <patternFill>
          <bgColor theme="9" tint="0.79998168889431442"/>
        </patternFill>
      </fill>
    </dxf>
    <dxf>
      <font>
        <color theme="0"/>
      </font>
      <fill>
        <patternFill>
          <bgColor theme="3" tint="0.499984740745262"/>
        </patternFill>
      </fill>
    </dxf>
    <dxf>
      <fill>
        <patternFill>
          <bgColor theme="3" tint="0.749961851863155"/>
        </patternFill>
      </fill>
    </dxf>
    <dxf>
      <font>
        <color theme="6"/>
      </font>
    </dxf>
    <dxf>
      <font>
        <color rgb="FF660000"/>
      </font>
    </dxf>
    <dxf>
      <font>
        <color theme="5" tint="-0.24994659260841701"/>
      </font>
    </dxf>
    <dxf>
      <font>
        <strike val="0"/>
        <outline val="0"/>
        <shadow val="0"/>
        <u val="none"/>
        <vertAlign val="baseline"/>
        <sz val="11"/>
        <color theme="1"/>
        <name val="Aptos Narrow"/>
        <family val="2"/>
        <scheme val="minor"/>
      </font>
      <numFmt numFmtId="0" formatCode="General"/>
      <alignment horizontal="right" vertical="bottom" textRotation="0" wrapText="0" indent="1"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19" formatCode="m/d/yyyy"/>
    </dxf>
    <dxf>
      <protection locked="0" hidden="0"/>
    </dxf>
    <dxf>
      <alignment horizontal="right" vertical="bottom" textRotation="0" wrapText="0" indent="0" justifyLastLine="0" shrinkToFit="0" readingOrder="0"/>
      <protection locked="0" hidden="0"/>
    </dxf>
    <dxf>
      <protection locked="0" hidden="0"/>
    </dxf>
    <dxf>
      <font>
        <b val="0"/>
        <i val="0"/>
        <strike val="0"/>
        <condense val="0"/>
        <extend val="0"/>
        <outline val="0"/>
        <shadow val="0"/>
        <u val="none"/>
        <vertAlign val="baseline"/>
        <sz val="11"/>
        <color theme="0"/>
        <name val="Aptos Narrow"/>
        <family val="2"/>
        <scheme val="minor"/>
      </font>
      <fill>
        <patternFill patternType="solid">
          <fgColor indexed="64"/>
          <bgColor rgb="FF660000"/>
        </patternFill>
      </fill>
    </dxf>
    <dxf>
      <font>
        <strike val="0"/>
        <outline val="0"/>
        <shadow val="0"/>
        <u val="none"/>
        <vertAlign val="baseline"/>
        <sz val="11"/>
        <color theme="1" tint="0.499984740745262"/>
        <name val="Aptos Narrow"/>
        <family val="2"/>
        <scheme val="minor"/>
      </font>
      <numFmt numFmtId="0" formatCode="General"/>
    </dxf>
    <dxf>
      <font>
        <strike val="0"/>
        <outline val="0"/>
        <shadow val="0"/>
        <u val="none"/>
        <vertAlign val="baseline"/>
        <sz val="11"/>
        <color theme="1" tint="0.499984740745262"/>
        <name val="Aptos Narrow"/>
        <family val="2"/>
        <scheme val="minor"/>
      </font>
    </dxf>
    <dxf>
      <font>
        <b val="0"/>
        <i val="0"/>
        <strike val="0"/>
        <condense val="0"/>
        <extend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0"/>
        <name val="Aptos Narrow"/>
        <family val="2"/>
        <scheme val="minor"/>
      </font>
      <fill>
        <patternFill patternType="solid">
          <fgColor indexed="64"/>
          <bgColor rgb="FF660000"/>
        </patternFill>
      </fill>
    </dxf>
    <dxf>
      <numFmt numFmtId="0" formatCode="General"/>
    </dxf>
    <dxf>
      <numFmt numFmtId="0" formatCode="General"/>
    </dxf>
    <dxf>
      <numFmt numFmtId="164" formatCode="&quot;$&quot;\ #,##0.0&quot;k&quot;"/>
    </dxf>
    <dxf>
      <numFmt numFmtId="164" formatCode="&quot;$&quot;\ #,##0.0&quot;k&quot;"/>
    </dxf>
    <dxf>
      <numFmt numFmtId="0" formatCode="General"/>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6" formatCode="#&quot;d&quot;"/>
    </dxf>
    <dxf>
      <font>
        <b val="0"/>
        <i/>
        <strike val="0"/>
        <condense val="0"/>
        <extend val="0"/>
        <outline val="0"/>
        <shadow val="0"/>
        <u val="none"/>
        <vertAlign val="baseline"/>
        <sz val="11"/>
        <color theme="0" tint="-0.499984740745262"/>
        <name val="Aptos Narrow"/>
        <family val="2"/>
        <scheme val="minor"/>
      </font>
      <numFmt numFmtId="165" formatCode="yyyy\-mmm\-dd"/>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5" formatCode="yyyy\-mmm\-dd"/>
    </dxf>
    <dxf>
      <font>
        <b val="0"/>
        <i val="0"/>
        <strike val="0"/>
        <condense val="0"/>
        <extend val="0"/>
        <outline val="0"/>
        <shadow val="0"/>
        <u val="none"/>
        <vertAlign val="baseline"/>
        <sz val="11"/>
        <color theme="1"/>
        <name val="Aptos Narrow"/>
        <family val="2"/>
        <scheme val="minor"/>
      </font>
      <numFmt numFmtId="164" formatCode="&quot;$&quot;\ #,##0.0&quot;k&quot;"/>
      <alignment horizontal="righ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4" formatCode="&quot;$&quot;\ #,##0.0&quot;k&quot;"/>
      <alignment horizontal="left" vertical="bottom" textRotation="0" wrapText="0" indent="1" justifyLastLine="0" shrinkToFit="0" readingOrder="0"/>
    </dxf>
    <dxf>
      <numFmt numFmtId="164" formatCode="&quot;$&quot;\ #,##0.0&quot;k&quot;"/>
    </dxf>
    <dxf>
      <numFmt numFmtId="0" formatCode="General"/>
      <fill>
        <patternFill patternType="none">
          <fgColor indexed="64"/>
          <bgColor indexed="65"/>
        </patternFill>
      </fill>
      <alignment horizontal="left" vertical="bottom" textRotation="0" wrapText="0" indent="1" justifyLastLine="0" shrinkToFit="0" readingOrder="0"/>
    </dxf>
    <dxf>
      <font>
        <b/>
        <u/>
        <color theme="10"/>
      </font>
      <numFmt numFmtId="164" formatCode="&quot;$&quot;\ #,##0.0&quot;k&quot;"/>
      <alignment horizontal="left" vertical="bottom" textRotation="0" wrapText="0" indent="1" justifyLastLine="0" shrinkToFit="0" readingOrder="0"/>
    </dxf>
    <dxf>
      <font>
        <i/>
        <u/>
        <color theme="10"/>
      </font>
      <numFmt numFmtId="0" formatCode="General"/>
      <alignment horizontal="left" vertical="bottom" textRotation="0" wrapText="0" indent="1" justifyLastLine="0" shrinkToFit="0" readingOrder="0"/>
    </dxf>
  </dxfs>
  <tableStyles count="0" defaultTableStyle="TableStyleMedium2" defaultPivotStyle="PivotStyleLight16"/>
  <colors>
    <mruColors>
      <color rgb="FF660000"/>
      <color rgb="FFFF7D7D"/>
      <color rgb="FFFFAB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theme" Target="theme/theme1.xml"/><Relationship Id="rId19" Type="http://schemas.openxmlformats.org/officeDocument/2006/relationships/customXml" Target="../customXml/item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 Id="rId22"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2.4779430000000002</c:v>
                </c:pt>
                <c:pt idx="1">
                  <c:v>4.1744479999999999</c:v>
                </c:pt>
                <c:pt idx="2">
                  <c:v>15.057593999999998</c:v>
                </c:pt>
                <c:pt idx="3">
                  <c:v>12.035836</c:v>
                </c:pt>
                <c:pt idx="4">
                  <c:v>7.9430969999999999</c:v>
                </c:pt>
                <c:pt idx="5">
                  <c:v>7.7807009999999996</c:v>
                </c:pt>
              </c:numCache>
            </c:numRef>
          </c:val>
          <c:extLst>
            <c:ext xmlns:c16="http://schemas.microsoft.com/office/drawing/2014/chart" uri="{C3380CC4-5D6E-409C-BE32-E72D297353CC}">
              <c16:uniqueId val="{00000000-5BE4-4183-AEEB-98DD779A6AE3}"/>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0.99117720000000009</c:v>
                </c:pt>
                <c:pt idx="1">
                  <c:v>1.129875</c:v>
                </c:pt>
                <c:pt idx="2">
                  <c:v>5.9017895999999999</c:v>
                </c:pt>
                <c:pt idx="3">
                  <c:v>6.6633384000000015</c:v>
                </c:pt>
                <c:pt idx="4">
                  <c:v>3.0896072000000006</c:v>
                </c:pt>
                <c:pt idx="5">
                  <c:v>3.4238735999999999</c:v>
                </c:pt>
              </c:numCache>
            </c:numRef>
          </c:val>
          <c:extLst>
            <c:ext xmlns:c16="http://schemas.microsoft.com/office/drawing/2014/chart" uri="{C3380CC4-5D6E-409C-BE32-E72D297353CC}">
              <c16:uniqueId val="{00000001-5BE4-4183-AEEB-98DD779A6AE3}"/>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2</c:v>
                </c:pt>
                <c:pt idx="1">
                  <c:v>3</c:v>
                </c:pt>
                <c:pt idx="2">
                  <c:v>12</c:v>
                </c:pt>
                <c:pt idx="3">
                  <c:v>11</c:v>
                </c:pt>
                <c:pt idx="4">
                  <c:v>6</c:v>
                </c:pt>
                <c:pt idx="5">
                  <c:v>6</c:v>
                </c:pt>
              </c:numCache>
            </c:numRef>
          </c:val>
          <c:smooth val="0"/>
          <c:extLst>
            <c:ext xmlns:c16="http://schemas.microsoft.com/office/drawing/2014/chart" uri="{C3380CC4-5D6E-409C-BE32-E72D297353CC}">
              <c16:uniqueId val="{00000002-5BE4-4183-AEEB-98DD779A6AE3}"/>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graphics!$AH$2:$AM$2</c:f>
              <c:numCache>
                <c:formatCode>"$"\ 0.0"k"</c:formatCode>
                <c:ptCount val="6"/>
                <c:pt idx="0">
                  <c:v>1.555472</c:v>
                </c:pt>
                <c:pt idx="1">
                  <c:v>0</c:v>
                </c:pt>
                <c:pt idx="2">
                  <c:v>0</c:v>
                </c:pt>
                <c:pt idx="3">
                  <c:v>0</c:v>
                </c:pt>
                <c:pt idx="4">
                  <c:v>0</c:v>
                </c:pt>
                <c:pt idx="5">
                  <c:v>0</c:v>
                </c:pt>
              </c:numCache>
            </c:numRef>
          </c:val>
          <c:extLst>
            <c:ext xmlns:c16="http://schemas.microsoft.com/office/drawing/2014/chart" uri="{C3380CC4-5D6E-409C-BE32-E72D297353CC}">
              <c16:uniqueId val="{00000000-15DF-406C-8E25-6A8BD7AC4B5D}"/>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graphics!$AH$3:$AM$3</c:f>
              <c:numCache>
                <c:formatCode>"$"\ 0.0"k"</c:formatCode>
                <c:ptCount val="6"/>
                <c:pt idx="0">
                  <c:v>1.8751599999999999</c:v>
                </c:pt>
                <c:pt idx="1">
                  <c:v>3.499682</c:v>
                </c:pt>
                <c:pt idx="2">
                  <c:v>3.5235759999999998</c:v>
                </c:pt>
                <c:pt idx="3">
                  <c:v>1.3087960000000001</c:v>
                </c:pt>
                <c:pt idx="4">
                  <c:v>0</c:v>
                </c:pt>
                <c:pt idx="5">
                  <c:v>0</c:v>
                </c:pt>
              </c:numCache>
            </c:numRef>
          </c:val>
          <c:extLst>
            <c:ext xmlns:c16="http://schemas.microsoft.com/office/drawing/2014/chart" uri="{C3380CC4-5D6E-409C-BE32-E72D297353CC}">
              <c16:uniqueId val="{00000001-15DF-406C-8E25-6A8BD7AC4B5D}"/>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graphics!$AH$4:$AM$4</c:f>
              <c:numCache>
                <c:formatCode>"$"\ 0.0"k"</c:formatCode>
                <c:ptCount val="6"/>
                <c:pt idx="0">
                  <c:v>4.3500690000000004</c:v>
                </c:pt>
                <c:pt idx="1">
                  <c:v>4.4434149999999999</c:v>
                </c:pt>
                <c:pt idx="2">
                  <c:v>8.5122599999999995</c:v>
                </c:pt>
                <c:pt idx="3">
                  <c:v>13.748797999999999</c:v>
                </c:pt>
                <c:pt idx="4">
                  <c:v>4.1744479999999999</c:v>
                </c:pt>
                <c:pt idx="5">
                  <c:v>2.4779430000000002</c:v>
                </c:pt>
              </c:numCache>
            </c:numRef>
          </c:val>
          <c:extLst>
            <c:ext xmlns:c16="http://schemas.microsoft.com/office/drawing/2014/chart" uri="{C3380CC4-5D6E-409C-BE32-E72D297353CC}">
              <c16:uniqueId val="{00000002-15DF-406C-8E25-6A8BD7AC4B5D}"/>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2.4779430000000002</c:v>
                </c:pt>
                <c:pt idx="1">
                  <c:v>4.1744479999999999</c:v>
                </c:pt>
                <c:pt idx="2">
                  <c:v>15.057593999999998</c:v>
                </c:pt>
                <c:pt idx="3">
                  <c:v>12.035836</c:v>
                </c:pt>
                <c:pt idx="4">
                  <c:v>7.9430969999999999</c:v>
                </c:pt>
                <c:pt idx="5">
                  <c:v>7.7807009999999996</c:v>
                </c:pt>
              </c:numCache>
            </c:numRef>
          </c:val>
          <c:extLst>
            <c:ext xmlns:c16="http://schemas.microsoft.com/office/drawing/2014/chart" uri="{C3380CC4-5D6E-409C-BE32-E72D297353CC}">
              <c16:uniqueId val="{00000001-C69F-4BD2-97F2-89F2DA78D65E}"/>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0.99117720000000009</c:v>
                </c:pt>
                <c:pt idx="1">
                  <c:v>1.129875</c:v>
                </c:pt>
                <c:pt idx="2">
                  <c:v>5.9017895999999999</c:v>
                </c:pt>
                <c:pt idx="3">
                  <c:v>6.6633384000000015</c:v>
                </c:pt>
                <c:pt idx="4">
                  <c:v>3.0896072000000006</c:v>
                </c:pt>
                <c:pt idx="5">
                  <c:v>3.4238735999999999</c:v>
                </c:pt>
              </c:numCache>
            </c:numRef>
          </c:val>
          <c:extLst>
            <c:ext xmlns:c16="http://schemas.microsoft.com/office/drawing/2014/chart" uri="{C3380CC4-5D6E-409C-BE32-E72D297353CC}">
              <c16:uniqueId val="{00000002-C69F-4BD2-97F2-89F2DA78D65E}"/>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2</c:v>
                </c:pt>
                <c:pt idx="1">
                  <c:v>3</c:v>
                </c:pt>
                <c:pt idx="2">
                  <c:v>12</c:v>
                </c:pt>
                <c:pt idx="3">
                  <c:v>11</c:v>
                </c:pt>
                <c:pt idx="4">
                  <c:v>6</c:v>
                </c:pt>
                <c:pt idx="5">
                  <c:v>6</c:v>
                </c:pt>
              </c:numCache>
            </c:numRef>
          </c:val>
          <c:smooth val="0"/>
          <c:extLst>
            <c:ext xmlns:c16="http://schemas.microsoft.com/office/drawing/2014/chart" uri="{C3380CC4-5D6E-409C-BE32-E72D297353CC}">
              <c16:uniqueId val="{00000000-C69F-4BD2-97F2-89F2DA78D65E}"/>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graphics!$AH$2:$AM$2</c:f>
              <c:numCache>
                <c:formatCode>"$"\ 0.0"k"</c:formatCode>
                <c:ptCount val="6"/>
                <c:pt idx="0">
                  <c:v>1.555472</c:v>
                </c:pt>
                <c:pt idx="1">
                  <c:v>0</c:v>
                </c:pt>
                <c:pt idx="2">
                  <c:v>0</c:v>
                </c:pt>
                <c:pt idx="3">
                  <c:v>0</c:v>
                </c:pt>
                <c:pt idx="4">
                  <c:v>0</c:v>
                </c:pt>
                <c:pt idx="5">
                  <c:v>0</c:v>
                </c:pt>
              </c:numCache>
            </c:numRef>
          </c:val>
          <c:extLst>
            <c:ext xmlns:c16="http://schemas.microsoft.com/office/drawing/2014/chart" uri="{C3380CC4-5D6E-409C-BE32-E72D297353CC}">
              <c16:uniqueId val="{00000000-8A13-4B16-A1DA-3CBD5042E2B1}"/>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graphics!$AH$3:$AM$3</c:f>
              <c:numCache>
                <c:formatCode>"$"\ 0.0"k"</c:formatCode>
                <c:ptCount val="6"/>
                <c:pt idx="0">
                  <c:v>1.8751599999999999</c:v>
                </c:pt>
                <c:pt idx="1">
                  <c:v>3.499682</c:v>
                </c:pt>
                <c:pt idx="2">
                  <c:v>3.5235759999999998</c:v>
                </c:pt>
                <c:pt idx="3">
                  <c:v>1.3087960000000001</c:v>
                </c:pt>
                <c:pt idx="4">
                  <c:v>0</c:v>
                </c:pt>
                <c:pt idx="5">
                  <c:v>0</c:v>
                </c:pt>
              </c:numCache>
            </c:numRef>
          </c:val>
          <c:extLst>
            <c:ext xmlns:c16="http://schemas.microsoft.com/office/drawing/2014/chart" uri="{C3380CC4-5D6E-409C-BE32-E72D297353CC}">
              <c16:uniqueId val="{00000001-8A13-4B16-A1DA-3CBD5042E2B1}"/>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graphics!$AH$4:$AM$4</c:f>
              <c:numCache>
                <c:formatCode>"$"\ 0.0"k"</c:formatCode>
                <c:ptCount val="6"/>
                <c:pt idx="0">
                  <c:v>4.3500690000000004</c:v>
                </c:pt>
                <c:pt idx="1">
                  <c:v>4.4434149999999999</c:v>
                </c:pt>
                <c:pt idx="2">
                  <c:v>8.5122599999999995</c:v>
                </c:pt>
                <c:pt idx="3">
                  <c:v>13.748797999999999</c:v>
                </c:pt>
                <c:pt idx="4">
                  <c:v>4.1744479999999999</c:v>
                </c:pt>
                <c:pt idx="5">
                  <c:v>2.4779430000000002</c:v>
                </c:pt>
              </c:numCache>
            </c:numRef>
          </c:val>
          <c:extLst>
            <c:ext xmlns:c16="http://schemas.microsoft.com/office/drawing/2014/chart" uri="{C3380CC4-5D6E-409C-BE32-E72D297353CC}">
              <c16:uniqueId val="{00000002-8A13-4B16-A1DA-3CBD5042E2B1}"/>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EA648490-A732-4863-B08E-CF45A6E8EB0F}">
          <cx:spPr>
            <a:solidFill>
              <a:schemeClr val="accent6">
                <a:lumMod val="20000"/>
                <a:lumOff val="80000"/>
              </a:schemeClr>
            </a:solidFill>
          </cx:spPr>
          <cx:dataPt idx="0">
            <cx:spPr>
              <a:pattFill prst="pct80">
                <a:fgClr>
                  <a:srgbClr val="E8E8E8"/>
                </a:fgClr>
                <a:bgClr>
                  <a:sysClr val="window" lastClr="FFFFFF">
                    <a:lumMod val="95000"/>
                  </a:sysClr>
                </a:bgClr>
              </a:pattFill>
            </cx:spPr>
          </cx:dataPt>
          <cx:dataPt idx="1">
            <cx:spPr>
              <a:solidFill>
                <a:srgbClr val="0E2841">
                  <a:lumMod val="10000"/>
                  <a:lumOff val="90000"/>
                </a:srgbClr>
              </a:solidFill>
            </cx:spPr>
          </cx:dataPt>
          <cx:dataPt idx="2">
            <cx:spPr>
              <a:solidFill>
                <a:srgbClr val="0E2841">
                  <a:lumMod val="25000"/>
                  <a:lumOff val="75000"/>
                </a:srgbClr>
              </a:solidFill>
            </cx:spPr>
          </cx:dataPt>
          <cx:dataPt idx="3">
            <cx:spPr>
              <a:solidFill>
                <a:srgbClr val="0E2841">
                  <a:lumMod val="50000"/>
                  <a:lumOff val="50000"/>
                </a:srgbClr>
              </a:solidFill>
            </cx:spPr>
          </cx:dataPt>
          <cx:dataPt idx="5">
            <cx:spPr>
              <a:solidFill>
                <a:srgbClr val="E8E8E8">
                  <a:lumMod val="90000"/>
                </a:srgbClr>
              </a:solidFill>
            </cx:spPr>
          </cx:dataPt>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1.xml"/><Relationship Id="rId1" Type="http://schemas.openxmlformats.org/officeDocument/2006/relationships/image" Target="../media/image1.emf"/><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absolute">
    <xdr:from>
      <xdr:col>2</xdr:col>
      <xdr:colOff>188633</xdr:colOff>
      <xdr:row>6</xdr:row>
      <xdr:rowOff>22225</xdr:rowOff>
    </xdr:from>
    <xdr:to>
      <xdr:col>3</xdr:col>
      <xdr:colOff>1481418</xdr:colOff>
      <xdr:row>17</xdr:row>
      <xdr:rowOff>155575</xdr:rowOff>
    </xdr:to>
    <mc:AlternateContent xmlns:mc="http://schemas.openxmlformats.org/markup-compatibility/2006" xmlns:sle15="http://schemas.microsoft.com/office/drawing/2012/slicer">
      <mc:Choice Requires="sle15">
        <xdr:graphicFrame macro="">
          <xdr:nvGraphicFramePr>
            <xdr:cNvPr id="4" name="Stage">
              <a:extLst>
                <a:ext uri="{FF2B5EF4-FFF2-40B4-BE49-F238E27FC236}">
                  <a16:creationId xmlns:a16="http://schemas.microsoft.com/office/drawing/2014/main" id="{52829658-3B61-01CB-586C-F22D75DC478A}"/>
                </a:ext>
              </a:extLst>
            </xdr:cNvPr>
            <xdr:cNvGraphicFramePr/>
          </xdr:nvGraphicFramePr>
          <xdr:xfrm>
            <a:off x="0" y="0"/>
            <a:ext cx="0" cy="0"/>
          </xdr:xfrm>
          <a:graphic>
            <a:graphicData uri="http://schemas.microsoft.com/office/drawing/2010/slicer">
              <sle:slicer xmlns:sle="http://schemas.microsoft.com/office/drawing/2010/slicer" name="Stage"/>
            </a:graphicData>
          </a:graphic>
        </xdr:graphicFrame>
      </mc:Choice>
      <mc:Fallback xmlns="">
        <xdr:sp macro="" textlink="">
          <xdr:nvSpPr>
            <xdr:cNvPr id="0" name=""/>
            <xdr:cNvSpPr>
              <a:spLocks noTextEdit="1"/>
            </xdr:cNvSpPr>
          </xdr:nvSpPr>
          <xdr:spPr>
            <a:xfrm>
              <a:off x="2028825" y="1241425"/>
              <a:ext cx="1828800" cy="22288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73025</xdr:colOff>
      <xdr:row>6</xdr:row>
      <xdr:rowOff>34925</xdr:rowOff>
    </xdr:from>
    <xdr:to>
      <xdr:col>2</xdr:col>
      <xdr:colOff>55283</xdr:colOff>
      <xdr:row>17</xdr:row>
      <xdr:rowOff>136525</xdr:rowOff>
    </xdr:to>
    <mc:AlternateContent xmlns:mc="http://schemas.openxmlformats.org/markup-compatibility/2006" xmlns:sle15="http://schemas.microsoft.com/office/drawing/2012/slicer">
      <mc:Choice Requires="sle15">
        <xdr:graphicFrame macro="">
          <xdr:nvGraphicFramePr>
            <xdr:cNvPr id="6" name="Close Quarter">
              <a:extLst>
                <a:ext uri="{FF2B5EF4-FFF2-40B4-BE49-F238E27FC236}">
                  <a16:creationId xmlns:a16="http://schemas.microsoft.com/office/drawing/2014/main" id="{371EBEA9-8C76-21D4-7D64-231D907B0C16}"/>
                </a:ext>
              </a:extLst>
            </xdr:cNvPr>
            <xdr:cNvGraphicFramePr/>
          </xdr:nvGraphicFramePr>
          <xdr:xfrm>
            <a:off x="0" y="0"/>
            <a:ext cx="0" cy="0"/>
          </xdr:xfrm>
          <a:graphic>
            <a:graphicData uri="http://schemas.microsoft.com/office/drawing/2010/slicer">
              <sle:slicer xmlns:sle="http://schemas.microsoft.com/office/drawing/2010/slicer" name="Close Quarter"/>
            </a:graphicData>
          </a:graphic>
        </xdr:graphicFrame>
      </mc:Choice>
      <mc:Fallback xmlns="">
        <xdr:sp macro="" textlink="">
          <xdr:nvSpPr>
            <xdr:cNvPr id="0" name=""/>
            <xdr:cNvSpPr>
              <a:spLocks noTextEdit="1"/>
            </xdr:cNvSpPr>
          </xdr:nvSpPr>
          <xdr:spPr>
            <a:xfrm>
              <a:off x="73025" y="1254125"/>
              <a:ext cx="1822450" cy="2197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5</xdr:col>
          <xdr:colOff>1095383</xdr:colOff>
          <xdr:row>2</xdr:row>
          <xdr:rowOff>144641</xdr:rowOff>
        </xdr:from>
        <xdr:to>
          <xdr:col>11</xdr:col>
          <xdr:colOff>531466</xdr:colOff>
          <xdr:row>5</xdr:row>
          <xdr:rowOff>15263</xdr:rowOff>
        </xdr:to>
        <xdr:pic>
          <xdr:nvPicPr>
            <xdr:cNvPr id="10" name="Picture 9">
              <a:extLst>
                <a:ext uri="{FF2B5EF4-FFF2-40B4-BE49-F238E27FC236}">
                  <a16:creationId xmlns:a16="http://schemas.microsoft.com/office/drawing/2014/main" id="{CE92B1F7-01FC-244D-8FC0-7CD21E791B0D}"/>
                </a:ext>
              </a:extLst>
            </xdr:cNvPr>
            <xdr:cNvPicPr>
              <a:picLocks noChangeAspect="1" noChangeArrowheads="1"/>
              <a:extLst>
                <a:ext uri="{84589F7E-364E-4C9E-8A38-B11213B215E9}">
                  <a14:cameraTool cellRange="graphics!$B$2:$E$3" spid="_x0000_s4408"/>
                </a:ext>
              </a:extLst>
            </xdr:cNvPicPr>
          </xdr:nvPicPr>
          <xdr:blipFill>
            <a:blip xmlns:r="http://schemas.openxmlformats.org/officeDocument/2006/relationships" r:embed="rId1"/>
            <a:srcRect/>
            <a:stretch>
              <a:fillRect/>
            </a:stretch>
          </xdr:blipFill>
          <xdr:spPr bwMode="auto">
            <a:xfrm>
              <a:off x="5443265" y="607817"/>
              <a:ext cx="8046497" cy="446978"/>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absolute">
    <xdr:from>
      <xdr:col>0</xdr:col>
      <xdr:colOff>92075</xdr:colOff>
      <xdr:row>17</xdr:row>
      <xdr:rowOff>187325</xdr:rowOff>
    </xdr:from>
    <xdr:to>
      <xdr:col>3</xdr:col>
      <xdr:colOff>1462368</xdr:colOff>
      <xdr:row>25</xdr:row>
      <xdr:rowOff>168275</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B8A06E76-A107-4CD0-BC1B-10D386CC049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2075" y="3502025"/>
              <a:ext cx="3756212" cy="15049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0</xdr:col>
      <xdr:colOff>73025</xdr:colOff>
      <xdr:row>26</xdr:row>
      <xdr:rowOff>15875</xdr:rowOff>
    </xdr:from>
    <xdr:to>
      <xdr:col>3</xdr:col>
      <xdr:colOff>1481418</xdr:colOff>
      <xdr:row>35</xdr:row>
      <xdr:rowOff>79375</xdr:rowOff>
    </xdr:to>
    <xdr:graphicFrame macro="">
      <xdr:nvGraphicFramePr>
        <xdr:cNvPr id="14" name="Chart 13">
          <a:extLst>
            <a:ext uri="{FF2B5EF4-FFF2-40B4-BE49-F238E27FC236}">
              <a16:creationId xmlns:a16="http://schemas.microsoft.com/office/drawing/2014/main" id="{7EFAC16D-3758-4C7D-AB4F-EA1E431D4E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95250</xdr:colOff>
      <xdr:row>35</xdr:row>
      <xdr:rowOff>168275</xdr:rowOff>
    </xdr:from>
    <xdr:to>
      <xdr:col>3</xdr:col>
      <xdr:colOff>1481418</xdr:colOff>
      <xdr:row>45</xdr:row>
      <xdr:rowOff>92075</xdr:rowOff>
    </xdr:to>
    <xdr:graphicFrame macro="">
      <xdr:nvGraphicFramePr>
        <xdr:cNvPr id="2" name="Chart 1">
          <a:extLst>
            <a:ext uri="{FF2B5EF4-FFF2-40B4-BE49-F238E27FC236}">
              <a16:creationId xmlns:a16="http://schemas.microsoft.com/office/drawing/2014/main" id="{1DACE7A4-F7E9-4CC8-A3A0-56C411DD74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17</xdr:col>
          <xdr:colOff>536575</xdr:colOff>
          <xdr:row>21</xdr:row>
          <xdr:rowOff>161925</xdr:rowOff>
        </xdr:to>
        <xdr:pic>
          <xdr:nvPicPr>
            <xdr:cNvPr id="3" name="Picture 2">
              <a:extLst>
                <a:ext uri="{FF2B5EF4-FFF2-40B4-BE49-F238E27FC236}">
                  <a16:creationId xmlns:a16="http://schemas.microsoft.com/office/drawing/2014/main" id="{B7C9B64A-A2FF-476F-A0D6-697C4D396214}"/>
                </a:ext>
              </a:extLst>
            </xdr:cNvPr>
            <xdr:cNvPicPr>
              <a:picLocks noChangeAspect="1" noChangeArrowheads="1"/>
              <a:extLst>
                <a:ext uri="{84589F7E-364E-4C9E-8A38-B11213B215E9}">
                  <a14:cameraTool cellRange="graphics!$AU$40:$BA$49" spid="_x0000_s10275"/>
                </a:ext>
              </a:extLst>
            </xdr:cNvPicPr>
          </xdr:nvPicPr>
          <xdr:blipFill>
            <a:blip xmlns:r="http://schemas.openxmlformats.org/officeDocument/2006/relationships" r:embed="rId1"/>
            <a:srcRect/>
            <a:stretch>
              <a:fillRect/>
            </a:stretch>
          </xdr:blipFill>
          <xdr:spPr bwMode="auto">
            <a:xfrm>
              <a:off x="0" y="0"/>
              <a:ext cx="10899775" cy="4162425"/>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7</xdr:col>
      <xdr:colOff>390525</xdr:colOff>
      <xdr:row>7</xdr:row>
      <xdr:rowOff>53975</xdr:rowOff>
    </xdr:from>
    <xdr:to>
      <xdr:col>12</xdr:col>
      <xdr:colOff>815975</xdr:colOff>
      <xdr:row>21</xdr:row>
      <xdr:rowOff>130175</xdr:rowOff>
    </xdr:to>
    <xdr:graphicFrame macro="">
      <xdr:nvGraphicFramePr>
        <xdr:cNvPr id="11" name="Chart 10">
          <a:extLst>
            <a:ext uri="{FF2B5EF4-FFF2-40B4-BE49-F238E27FC236}">
              <a16:creationId xmlns:a16="http://schemas.microsoft.com/office/drawing/2014/main" id="{754DB48E-8D3B-2956-D92D-2E1B1C8AAE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15</xdr:col>
      <xdr:colOff>152399</xdr:colOff>
      <xdr:row>4</xdr:row>
      <xdr:rowOff>130175</xdr:rowOff>
    </xdr:from>
    <xdr:to>
      <xdr:col>19</xdr:col>
      <xdr:colOff>301624</xdr:colOff>
      <xdr:row>14</xdr:row>
      <xdr:rowOff>57150</xdr:rowOff>
    </xdr:to>
    <xdr:graphicFrame macro="">
      <xdr:nvGraphicFramePr>
        <xdr:cNvPr id="2" name="Chart 1">
          <a:extLst>
            <a:ext uri="{FF2B5EF4-FFF2-40B4-BE49-F238E27FC236}">
              <a16:creationId xmlns:a16="http://schemas.microsoft.com/office/drawing/2014/main" id="{9A176B9F-BCBB-4C55-A01B-CA6C92B1B0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5A90C3D6-52B0-4DF4-BC35-405A66772E6B}" autoFormatId="16" applyNumberFormats="0" applyBorderFormats="0" applyFontFormats="0" applyPatternFormats="0" applyAlignmentFormats="0" applyWidthHeightFormats="0">
  <queryTableRefresh nextId="34" unboundColumnsLeft="9" unboundColumnsRight="6">
    <queryTableFields count="16">
      <queryTableField id="23" dataBound="0" tableColumnId="13"/>
      <queryTableField id="4" dataBound="0" tableColumnId="4"/>
      <queryTableField id="3" dataBound="0" tableColumnId="3"/>
      <queryTableField id="5" dataBound="0" tableColumnId="5"/>
      <queryTableField id="7" dataBound="0" tableColumnId="7"/>
      <queryTableField id="8" dataBound="0" tableColumnId="8"/>
      <queryTableField id="31" dataBound="0" tableColumnId="2"/>
      <queryTableField id="10" dataBound="0" tableColumnId="10"/>
      <queryTableField id="30" dataBound="0" tableColumnId="20"/>
      <queryTableField id="1" name="Id" tableColumnId="1"/>
      <queryTableField id="12" dataBound="0" tableColumnId="12"/>
      <queryTableField id="9" dataBound="0" tableColumnId="9"/>
      <queryTableField id="24" dataBound="0" tableColumnId="14"/>
      <queryTableField id="25" dataBound="0" tableColumnId="15"/>
      <queryTableField id="26" dataBound="0" tableColumnId="16"/>
      <queryTableField id="27" dataBound="0"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729422E9-14FA-487D-B5E9-61874EEF7803}" autoFormatId="16" applyNumberFormats="0" applyBorderFormats="0" applyFontFormats="0" applyPatternFormats="0" applyAlignmentFormats="0" applyWidthHeightFormats="0">
  <queryTableRefresh nextId="127" unboundColumnsRight="15">
    <queryTableFields count="30">
      <queryTableField id="2" name="Id" tableColumnId="2"/>
      <queryTableField id="100" name="OpportunityName" tableColumnId="13"/>
      <queryTableField id="19" name="Status" tableColumnId="19"/>
      <queryTableField id="21" name="Stage" tableColumnId="21"/>
      <queryTableField id="22" name="Amount" tableColumnId="22"/>
      <queryTableField id="23" name="Probability" tableColumnId="23"/>
      <queryTableField id="46" name="Close" tableColumnId="37"/>
      <queryTableField id="91" name="NextMilestoneDate" tableColumnId="11"/>
      <queryTableField id="92" name="NextMilestone" tableColumnId="12"/>
      <queryTableField id="125" name="CustomerId" tableColumnId="14"/>
      <queryTableField id="71" name="Comment Log" tableColumnId="53"/>
      <queryTableField id="89" name="OpportunityOwner" tableColumnId="9"/>
      <queryTableField id="122" name="StartDate" tableColumnId="1"/>
      <queryTableField id="123" name="RecurringRevenueModel" tableColumnId="8"/>
      <queryTableField id="124" name="Recurrences" tableColumnId="10"/>
      <queryTableField id="43" dataBound="0" tableColumnId="34"/>
      <queryTableField id="39" dataBound="0" tableColumnId="30"/>
      <queryTableField id="40" dataBound="0" tableColumnId="31"/>
      <queryTableField id="54" dataBound="0" tableColumnId="40"/>
      <queryTableField id="55" dataBound="0" tableColumnId="41"/>
      <queryTableField id="70" dataBound="0" tableColumnId="52"/>
      <queryTableField id="76" dataBound="0" tableColumnId="56"/>
      <queryTableField id="104" dataBound="0" tableColumnId="15"/>
      <queryTableField id="105" dataBound="0" tableColumnId="16"/>
      <queryTableField id="106" dataBound="0" tableColumnId="17"/>
      <queryTableField id="116" dataBound="0" tableColumnId="3"/>
      <queryTableField id="117" dataBound="0" tableColumnId="4"/>
      <queryTableField id="118" dataBound="0" tableColumnId="5"/>
      <queryTableField id="119" dataBound="0" tableColumnId="6"/>
      <queryTableField id="120" dataBound="0"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CC52348F-B359-43D4-B14F-ECC423B71301}" autoFormatId="16" applyNumberFormats="0" applyBorderFormats="0" applyFontFormats="0" applyPatternFormats="0" applyAlignmentFormats="0" applyWidthHeightFormats="0">
  <queryTableRefresh nextId="70" unboundColumnsRight="3">
    <queryTableFields count="14">
      <queryTableField id="1" name="Id" tableColumnId="1"/>
      <queryTableField id="68" name="Customer Name" tableColumnId="2"/>
      <queryTableField id="45" name="PrimaryContact" tableColumnId="15"/>
      <queryTableField id="46" name="PrimaryContactTitle" tableColumnId="16"/>
      <queryTableField id="47" name="AlternateContact" tableColumnId="17"/>
      <queryTableField id="48" name="AlternateContactTitle" tableColumnId="18"/>
      <queryTableField id="49" name="AlternateContact2" tableColumnId="21"/>
      <queryTableField id="50" name="AlternateContact2Title" tableColumnId="22"/>
      <queryTableField id="26" name="Url" tableColumnId="20"/>
      <queryTableField id="10" name="Modified" tableColumnId="10"/>
      <queryTableField id="11" name="Created" tableColumnId="11"/>
      <queryTableField id="19" dataBound="0" tableColumnId="19"/>
      <queryTableField id="60" dataBound="0" tableColumnId="23"/>
      <queryTableField id="61" dataBound="0" tableColumnId="24"/>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ge" xr10:uid="{6B149606-DCC4-49B8-ACA6-80CAE9D0ACAE}" sourceName="Stage">
  <extLst>
    <x:ext xmlns:x15="http://schemas.microsoft.com/office/spreadsheetml/2010/11/main" uri="{2F2917AC-EB37-4324-AD4E-5DD8C200BD13}">
      <x15:tableSlicerCache tableId="3" column="5"/>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ose_Quarter" xr10:uid="{F20C6E9A-4FC0-4F46-A8E7-3C0F59B268F8}" sourceName="Close Quarter">
  <extLst>
    <x:ext xmlns:x15="http://schemas.microsoft.com/office/spreadsheetml/2010/11/main" uri="{2F2917AC-EB37-4324-AD4E-5DD8C200BD13}">
      <x15:tableSlicerCache tableId="3"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ge" xr10:uid="{27EE4419-517B-44E3-A36C-AC5F1492DFBF}" cache="Slicer_Stage" caption="Stage" style="SlicerStyleOther1" rowHeight="257175"/>
  <slicer name="Close Quarter" xr10:uid="{8A17DDA6-3E07-46A8-B26A-2091359331B6}" cache="Slicer_Close_Quarter" caption="Close Quarter" style="SlicerStyleOther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5EA62C-D81E-48BA-B2FB-27C4C61792D5}" name="View" displayName="View" ref="E7:T47" tableType="queryTable" totalsRowShown="0">
  <autoFilter ref="E7:T47" xr:uid="{B35EA62C-D81E-48BA-B2FB-27C4C61792D5}"/>
  <sortState xmlns:xlrd2="http://schemas.microsoft.com/office/spreadsheetml/2017/richdata2" ref="E8:T47">
    <sortCondition ref="L7:L47"/>
  </sortState>
  <tableColumns count="16">
    <tableColumn id="13" xr3:uid="{147FBFBE-2CFC-486E-B125-6D8C29F38818}" uniqueName="13" name="S" queryTableFieldId="23" dataDxfId="9">
      <calculatedColumnFormula>_xlfn.XLOOKUP(View[[#This Row],[ID]],Opportunities[ID],Opportunities[status symbol])</calculatedColumnFormula>
    </tableColumn>
    <tableColumn id="4" xr3:uid="{D0C93997-AE18-4F2C-9498-E378F0368CD3}" uniqueName="4" name=" 🔗Opportunity" queryTableFieldId="4" dataDxfId="54" dataCellStyle="Hyperlink">
      <calculatedColumnFormula>HYPERLINK(siteUrl&amp;"Lists/"&amp;oppList&amp;"/DispForm.aspx?ID="&amp;View[[#This Row],[ID]],_xlfn.XLOOKUP(View[[#This Row],[ID]],Opportunities[ID],Opportunities[OpportunityName]))</calculatedColumnFormula>
    </tableColumn>
    <tableColumn id="3" xr3:uid="{3E4A8EA1-FA0C-4196-B6BC-1AD8EC635331}" uniqueName="3" name="🔗Customer " queryTableFieldId="3" dataDxfId="53" dataCellStyle="Hyperlink">
      <calculatedColumnFormula>HYPERLINK(_xlfn.XLOOKUP(View[[#This Row],[ID]],Opportunities[ID],Opportunities[url]),_xlfn.XLOOKUP(View[[#This Row],[ID]],Opportunities[ID],Opportunities[Customer Name]))</calculatedColumnFormula>
    </tableColumn>
    <tableColumn id="5" xr3:uid="{BE8EE8B1-D066-4E99-BDBA-DD40A4432652}" uniqueName="5" name="Stage" queryTableFieldId="5" dataDxfId="52" dataCellStyle="Normal">
      <calculatedColumnFormula>_xlfn.XLOOKUP(View[[#This Row],[ID]],Opportunities[ID],Opportunities[DisplayStage])</calculatedColumnFormula>
    </tableColumn>
    <tableColumn id="7" xr3:uid="{36D3885A-765B-43F4-B223-18E0110E7BAC}" uniqueName="7" name="Opp Value" queryTableFieldId="7" dataDxfId="51" dataCellStyle="Comma">
      <calculatedColumnFormula>IF(pipelineType="Unweighted",_xlfn.XLOOKUP(View[[#This Row],[ID]],Opportunities[ID],Opportunities[Amount])/1000,_xlfn.XLOOKUP(View[[#This Row],[ID]],Opportunities[ID],Opportunities[Weighted])/1000)</calculatedColumnFormula>
    </tableColumn>
    <tableColumn id="8" xr3:uid="{3B6386A9-4665-44D2-94FF-64420F041C4F}" uniqueName="8" name="Win Probability" queryTableFieldId="8" dataDxfId="50" dataCellStyle="Percent">
      <calculatedColumnFormula>_xlfn.XLOOKUP(View[[#This Row],[ID]],Opportunities[ID],Opportunities[WinProbDisplay])</calculatedColumnFormula>
    </tableColumn>
    <tableColumn id="2" xr3:uid="{CEE680CE-7B28-4425-8EF9-E8A1C22CD40F}" uniqueName="2" name="Expected Rev" queryTableFieldId="31" dataDxfId="49" dataCellStyle="Percent">
      <calculatedColumnFormula>View[[#This Row],[Estmated Revenue]]</calculatedColumnFormula>
    </tableColumn>
    <tableColumn id="10" xr3:uid="{B7055589-582D-4A7C-ACCD-633272C194D8}" uniqueName="10" name="Close" queryTableFieldId="10" dataDxfId="48" dataCellStyle="Percent">
      <calculatedColumnFormula>_xlfn.XLOOKUP(View[[#This Row],[ID]],Opportunities[ID],Opportunities[Close])</calculatedColumnFormula>
    </tableColumn>
    <tableColumn id="20" xr3:uid="{59C0ACCC-1D82-45A6-AFAA-3712BAC86C84}" uniqueName="20" name="Last Comment" queryTableFieldId="30" dataDxfId="47" dataCellStyle="Percent">
      <calculatedColumnFormula>IF(_xlfn.XLOOKUP(View[[#This Row],[ID]],Opportunities[ID],Opportunities[Comment Log])=0,"",_xlfn.XLOOKUP(View[[#This Row],[ID]],Opportunities[ID],Opportunities[Comment Log]))</calculatedColumnFormula>
    </tableColumn>
    <tableColumn id="1" xr3:uid="{7671D13C-CCEC-485A-8348-B9D36AA7543D}" uniqueName="1" name="ID" queryTableFieldId="1"/>
    <tableColumn id="12" xr3:uid="{A1ACC7B5-3719-4CFF-831A-06FFA9179F1E}" uniqueName="12" name="Next Milestone" queryTableFieldId="12" dataDxfId="46" dataCellStyle="Percent">
      <calculatedColumnFormula>_xlfn.XLOOKUP(View[[#This Row],[ID]],Opportunities[ID],Opportunities[NextMilestoneDate])-TODAY()</calculatedColumnFormula>
    </tableColumn>
    <tableColumn id="9" xr3:uid="{52FF3CBA-17BB-47F5-85A3-2DEE8B12587C}" uniqueName="9" name="Close Quarter" queryTableFieldId="9" dataDxfId="45">
      <calculatedColumnFormula>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calculatedColumnFormula>
    </tableColumn>
    <tableColumn id="14" xr3:uid="{07448A78-D3A9-4A09-89B7-13C1C1A6E61A}" uniqueName="14" name="Estmated Revenue" queryTableFieldId="24" dataDxfId="44" dataCellStyle="Comma">
      <calculatedColumnFormula>_xlfn.XLOOKUP(View[[#This Row],[ID]],Opportunities[ID],Opportunities[Weighted])/1000</calculatedColumnFormula>
    </tableColumn>
    <tableColumn id="15" xr3:uid="{FBDC7969-7E8D-49D4-8066-6E0E6F1203F0}" uniqueName="15" name="Unweighted" queryTableFieldId="25" dataDxfId="43">
      <calculatedColumnFormula>_xlfn.XLOOKUP(View[[#This Row],[ID]],Opportunities[ID],Opportunities[Amount])/1000</calculatedColumnFormula>
    </tableColumn>
    <tableColumn id="16" xr3:uid="{EF89BB7F-252B-45F9-8123-82BF9FB66AF0}" uniqueName="16" name="High Probability" queryTableFieldId="26" dataDxfId="42">
      <calculatedColumnFormula>View[[#This Row],[Win Probability]]="High"</calculatedColumnFormula>
    </tableColumn>
    <tableColumn id="17" xr3:uid="{4BD52F12-45D4-4BCC-83AA-14BDE7142C90}" uniqueName="17" name="Visible" queryTableFieldId="27" dataDxfId="41">
      <calculatedColumnFormula>SUBTOTAL(103, View[[#This Row],[S]])</calculatedColumnFormula>
    </tableColumn>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8014A7-9B70-4B09-AE44-5A5C555476EA}" name="stage" displayName="stage" ref="P12:S18" totalsRowShown="0" headerRowDxfId="40" dataDxfId="39">
  <autoFilter ref="P12:S18" xr:uid="{798014A7-9B70-4B09-AE44-5A5C555476EA}"/>
  <tableColumns count="4">
    <tableColumn id="2" xr3:uid="{AE651EA8-D54C-41D9-9B8B-F22570081D8A}" name="Index" dataDxfId="38"/>
    <tableColumn id="4" xr3:uid="{C19B61BA-D78B-49C2-A0CB-958A7968F4C6}" name="Symbol" dataDxfId="37"/>
    <tableColumn id="1" xr3:uid="{4A0C0D5E-C576-4851-BAD7-E1720F55F59A}" name="Stage Name" dataDxfId="36"/>
    <tableColumn id="3" xr3:uid="{38808F5D-2627-4FC4-9878-8AC61142049B}" name="Display" dataDxfId="35">
      <calculatedColumnFormula>stage[[#This Row],[Symbol]]&amp;" - "&amp;stage[[#This Row],[Stage Name]]</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50DF75-ED41-40F4-8782-A0EFFD2E6988}" name="prob" displayName="prob" ref="C3:D6" totalsRowShown="0" headerRowDxfId="34" dataDxfId="33">
  <autoFilter ref="C3:D6" xr:uid="{7A50DF75-ED41-40F4-8782-A0EFFD2E6988}"/>
  <tableColumns count="2">
    <tableColumn id="1" xr3:uid="{3B8690D0-B449-4F2C-BFA1-0D9AAF577107}" name="Win Probability" dataDxfId="32"/>
    <tableColumn id="2" xr3:uid="{E4A73AC8-36BB-4D8D-934C-54FE86976EC9}" name="Value" dataDxfId="31" dataCellStyle="Percent"/>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F0481C-9C4B-466A-BDA0-DD8E3D98821B}" name="Opportunities" displayName="Opportunities" ref="A1:AD41" tableType="queryTable" totalsRowShown="0">
  <autoFilter ref="A1:AD41" xr:uid="{8BF0481C-9C4B-466A-BDA0-DD8E3D98821B}"/>
  <tableColumns count="30">
    <tableColumn id="2" xr3:uid="{B70370C5-B6AF-449E-960D-FFB9104BBF2B}" uniqueName="2" name="ID" queryTableFieldId="2"/>
    <tableColumn id="13" xr3:uid="{256666E2-96C2-471E-974D-0D6F52C20BED}" uniqueName="13" name="OpportunityName" queryTableFieldId="100"/>
    <tableColumn id="19" xr3:uid="{D73E5052-B78D-4CCD-A875-182E21F867EB}" uniqueName="19" name="Status" queryTableFieldId="19"/>
    <tableColumn id="21" xr3:uid="{FA79FF91-3521-45AF-95C6-8165274CE5C6}" uniqueName="21" name="Stage" queryTableFieldId="21"/>
    <tableColumn id="22" xr3:uid="{AF38387D-BBEB-4291-883D-5228FA9BFD2A}" uniqueName="22" name="Amount" queryTableFieldId="22"/>
    <tableColumn id="23" xr3:uid="{A6D400CC-3231-471E-B7DD-16F34E6C0BCF}" uniqueName="23" name="Probability" queryTableFieldId="23"/>
    <tableColumn id="37" xr3:uid="{40351C2D-0AFC-4595-94A2-E12F64F8DF77}" uniqueName="37" name="Close" queryTableFieldId="46" dataDxfId="30"/>
    <tableColumn id="11" xr3:uid="{0D6E2E89-0B8C-4024-A956-046F884205B4}" uniqueName="11" name="NextMilestoneDate" queryTableFieldId="91" dataDxfId="29"/>
    <tableColumn id="12" xr3:uid="{8D70269A-7D67-4EE3-B02A-4A7CC88A1D52}" uniqueName="12" name="NextMilestone" queryTableFieldId="92"/>
    <tableColumn id="14" xr3:uid="{4FC5C8C1-F21E-41E5-A0E7-3F61269A4BC5}" uniqueName="14" name="CustomerId" queryTableFieldId="125"/>
    <tableColumn id="53" xr3:uid="{8B6F3023-16EE-4A61-9C62-F78DACC9B311}" uniqueName="53" name="Comment Log" queryTableFieldId="71"/>
    <tableColumn id="9" xr3:uid="{97DA2E30-FF84-4D59-8B7D-0FB3CF4EF53C}" uniqueName="9" name="OpportunityOwner" queryTableFieldId="89"/>
    <tableColumn id="1" xr3:uid="{648C5D06-4672-44BC-978F-7A608D0F7CDF}" uniqueName="1" name="StartDate" queryTableFieldId="122" dataDxfId="28"/>
    <tableColumn id="8" xr3:uid="{9FFDB5EC-CE5E-474B-BD77-196697CA898B}" uniqueName="8" name="RecurringRevenueModel" queryTableFieldId="123"/>
    <tableColumn id="10" xr3:uid="{F9A1A355-BEC8-4196-8A4E-7B267E042489}" uniqueName="10" name="Recurrences" queryTableFieldId="124"/>
    <tableColumn id="34" xr3:uid="{A794F34A-F2E4-4230-B129-BE7EF53921FE}" uniqueName="34" name="FQ" queryTableFieldId="43" dataDxfId="27">
      <calculatedColumnFormula>" FY"&amp;RIGHT(IF(MONTH(Opportunities[[#This Row],[Close]])&gt;=7,YEAR(Opportunities[[#This Row],[Close]])+1,YEAR(Opportunities[[#This Row],[Close]])),2)&amp;"-Q"&amp;IF(MONTH(Opportunities[[#This Row],[Close]])&gt;=7,CEILING((MONTH(Opportunities[[#This Row],[Close]])-6)/3,1),CEILING((MONTH(Opportunities[[#This Row],[Close]])+6)/3,1))</calculatedColumnFormula>
    </tableColumn>
    <tableColumn id="30" xr3:uid="{6260D86F-1639-40CB-91DA-FCEB1DCDC857}" uniqueName="30" name="CQ" queryTableFieldId="39" dataDxfId="26">
      <calculatedColumnFormula>"CY"&amp;RIGHT(YEAR(Opportunities[[#This Row],[Close]]),2)&amp;"-Q"&amp;ROUNDUP(MONTH(Opportunities[[#This Row],[Close]])/3, 0)</calculatedColumnFormula>
    </tableColumn>
    <tableColumn id="31" xr3:uid="{AFAB2CEE-41EC-476B-8EF4-F01AEE459A32}" uniqueName="31" name="url" queryTableFieldId="40" dataDxfId="25">
      <calculatedColumnFormula>siteUrl&amp;"/Lists/"&amp;oppList&amp;"/DispForm.aspx?ID="&amp;Opportunities[[#This Row],[ID]]</calculatedColumnFormula>
    </tableColumn>
    <tableColumn id="40" xr3:uid="{8BD6C9BB-E6FD-4E8E-A509-12D471DAA77F}" uniqueName="40" name="StageNumber" queryTableFieldId="54" dataDxfId="24">
      <calculatedColumnFormula>_xlfn.XLOOKUP(Opportunities[[#This Row],[Stage]],stage[Stage Name],stage[Index],"")</calculatedColumnFormula>
    </tableColumn>
    <tableColumn id="41" xr3:uid="{EDB4C612-1CC1-4B3C-B38D-DFE04A906351}" uniqueName="41" name="DisplayStage" queryTableFieldId="55" dataDxfId="23">
      <calculatedColumnFormula>_xlfn.XLOOKUP(Opportunities[[#This Row],[StageNumber]],stage[Index],stage[Display])</calculatedColumnFormula>
    </tableColumn>
    <tableColumn id="52" xr3:uid="{29FD805D-0C67-486B-AABC-E086612B3426}" uniqueName="52" name="Weighted" queryTableFieldId="70" dataDxfId="22">
      <calculatedColumnFormula>Opportunities[[#This Row],[Amount]]*_xlfn.XLOOKUP(Opportunities[[#This Row],[Probability]],prob[Win Probability],prob[Value])</calculatedColumnFormula>
    </tableColumn>
    <tableColumn id="56" xr3:uid="{9E365C66-70DC-4C5C-893A-3785B1B9D44C}" uniqueName="56" name="status symbol" queryTableFieldId="76" dataDxfId="21">
      <calculatedColumnFormula array="1">_xlfn.SWITCH(Opportunities[[#This Row],[Status]],"At Risk","⚠","Active","✓","⮾")</calculatedColumnFormula>
    </tableColumn>
    <tableColumn id="15" xr3:uid="{952135CC-0409-4FA2-BB0A-34668B61689B}" uniqueName="15" name="Customer Name" queryTableFieldId="104" dataDxfId="20">
      <calculatedColumnFormula>_xlfn.XLOOKUP(Opportunities[[#This Row],[CustomerId]],Customers[Id],Customers[Customer Name])</calculatedColumnFormula>
    </tableColumn>
    <tableColumn id="16" xr3:uid="{812C7365-FD2B-4EFB-8119-BF4F00253961}" uniqueName="16" name="CustomerRecordURL" queryTableFieldId="105" dataDxfId="19">
      <calculatedColumnFormula>_xlfn.XLOOKUP(Opportunities[[#This Row],[CustomerId]],Customers[Id],Customers[url2])</calculatedColumnFormula>
    </tableColumn>
    <tableColumn id="17" xr3:uid="{39447595-3500-4B90-9B69-594F9ED985D4}" uniqueName="17" name="Visible" queryTableFieldId="106" dataDxfId="18">
      <calculatedColumnFormula>_xlfn.XLOOKUP(Opportunities[[#This Row],[ID]],View[ID],View[Visible])</calculatedColumnFormula>
    </tableColumn>
    <tableColumn id="3" xr3:uid="{11F9B80B-B6B4-4FB8-ACD8-AAAC59768B2A}" uniqueName="3" name="Display" queryTableFieldId="116" dataDxfId="17">
      <calculatedColumnFormula>Opportunities[[#This Row],[status symbol]]&amp;" "&amp; Opportunities[[#This Row],[Customer Name]] &amp;CHAR(10)&amp;"("&amp;Opportunities[[#This Row],[OpportunityName]] &amp; ")"&amp;CHAR(10)&amp;" $"&amp;TEXT(Opportunities[[#This Row],[Amount]]/1000000,"#,0.0")&amp;"m • "&amp; Opportunities[[#This Row],[Stage]]&amp; " • Owner: " &amp; Opportunities[[#This Row],[OpportunityOwner]]</calculatedColumnFormula>
    </tableColumn>
    <tableColumn id="4" xr3:uid="{E5F0C4E2-BC19-440C-8E7A-9D81354C6CA5}" uniqueName="4" name="Close Quarter" queryTableFieldId="117" dataDxfId="16">
      <calculatedColumnFormula>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calculatedColumnFormula>
    </tableColumn>
    <tableColumn id="5" xr3:uid="{D94B8258-4855-491E-AA1A-4E19A88F166C}" uniqueName="5" name="EscalationDisplay" queryTableFieldId="118" dataDxfId="15"/>
    <tableColumn id="6" xr3:uid="{181A8E3E-DBF5-4AEA-99B6-D8CAED362658}" uniqueName="6" name="WinProbDisplay" queryTableFieldId="119" dataDxfId="14">
      <calculatedColumnFormula array="1">_xlfn.SWITCH(Opportunities[[#This Row],[Probability]],"High","↖","Medium","←","Low","↙")&amp;" " &amp;Opportunities[[#This Row],[Probability]]</calculatedColumnFormula>
    </tableColumn>
    <tableColumn id="7" xr3:uid="{9F06B2D1-4DE6-445F-822E-1ED8C0CBA76B}" uniqueName="7" name="High Probability" queryTableFieldId="120" dataDxfId="13">
      <calculatedColumnFormula>Opportunities[[#This Row],[WinProbDisplay]]="↖ High"</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464801-8CE7-41B6-B2AB-6D69477B150E}" name="Customers" displayName="Customers" ref="A1:N31" tableType="queryTable" totalsRowShown="0">
  <autoFilter ref="A1:N31" xr:uid="{AE464801-8CE7-41B6-B2AB-6D69477B150E}"/>
  <tableColumns count="14">
    <tableColumn id="1" xr3:uid="{2305243C-9291-4758-997F-C45BB134350E}" uniqueName="1" name="Id" queryTableFieldId="1"/>
    <tableColumn id="2" xr3:uid="{387BF9D4-2CED-40F2-B4ED-A255FD73BA3C}" uniqueName="2" name="Customer Name" queryTableFieldId="68"/>
    <tableColumn id="15" xr3:uid="{23CEF6B2-F844-409B-8BCB-0CC38B20B82C}" uniqueName="15" name="PrimaryContact" queryTableFieldId="45"/>
    <tableColumn id="16" xr3:uid="{3382E165-D6E8-476A-9022-75537FD07766}" uniqueName="16" name="PrimaryContactTitle" queryTableFieldId="46"/>
    <tableColumn id="17" xr3:uid="{CBEBC0CB-C302-4D3B-BBD1-1832301B1932}" uniqueName="17" name="AlternateContact" queryTableFieldId="47"/>
    <tableColumn id="18" xr3:uid="{440F7168-47AE-419A-879A-6661F526D95C}" uniqueName="18" name="AlternateContactTitle" queryTableFieldId="48"/>
    <tableColumn id="21" xr3:uid="{35D2454E-BF7F-41A8-B5E4-A108FBAAC6B9}" uniqueName="21" name="AlternateContact2" queryTableFieldId="49"/>
    <tableColumn id="22" xr3:uid="{DE937772-9C37-48D7-ABCE-7097105DA3A2}" uniqueName="22" name="AlternateContact2Title" queryTableFieldId="50"/>
    <tableColumn id="20" xr3:uid="{3EC9ACD4-AC06-433C-B023-B0859024C43F}" uniqueName="20" name="Url" queryTableFieldId="26"/>
    <tableColumn id="10" xr3:uid="{90217281-99E7-44C5-AC06-64A80AAF7E75}" uniqueName="10" name="Modified" queryTableFieldId="10"/>
    <tableColumn id="11" xr3:uid="{6DDC4946-26E8-4ED8-95E0-30F5C3236EF6}" uniqueName="11" name="Created" queryTableFieldId="11"/>
    <tableColumn id="19" xr3:uid="{041E2B89-1334-402B-BCFC-79B63963763C}" uniqueName="19" name="url2" queryTableFieldId="19" dataDxfId="12">
      <calculatedColumnFormula>siteUrl&amp;"/Lists/"&amp;custList&amp;"/DispForm.aspx?ID="&amp;Customers[[#This Row],[Id]]</calculatedColumnFormula>
    </tableColumn>
    <tableColumn id="23" xr3:uid="{F1BC9043-195B-408B-8596-3FE166B5CF78}" uniqueName="23" name="Customer Name2" queryTableFieldId="60" dataDxfId="11">
      <calculatedColumnFormula>_xlfn.XLOOKUP(Customers[[#This Row],[Id]],Customers[Id],#REF!)</calculatedColumnFormula>
    </tableColumn>
    <tableColumn id="24" xr3:uid="{388F5F30-FCA2-45B0-938D-A8DFAA1EFCA9}" uniqueName="24" name="CustomerRecordUrl" queryTableFieldId="61" dataDxfId="10">
      <calculatedColumnFormula>_xlfn.XLOOKUP(Customers[[#This Row],[Id]],Customers[Id],Customers[url2])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AE52-65EE-4C26-B3CD-4209BF9D18A7}">
  <sheetPr codeName="Sheet1">
    <tabColor rgb="FF660000"/>
  </sheetPr>
  <dimension ref="A1:W47"/>
  <sheetViews>
    <sheetView showGridLines="0" tabSelected="1" zoomScale="85" zoomScaleNormal="85" workbookViewId="0">
      <selection activeCell="Z26" sqref="Z26"/>
    </sheetView>
  </sheetViews>
  <sheetFormatPr defaultRowHeight="15" outlineLevelCol="1" x14ac:dyDescent="0.25"/>
  <cols>
    <col min="1" max="1" width="15.140625" customWidth="1"/>
    <col min="2" max="2" width="12.5703125" bestFit="1" customWidth="1"/>
    <col min="3" max="3" width="8.140625" customWidth="1"/>
    <col min="4" max="4" width="24.5703125" customWidth="1"/>
    <col min="5" max="5" width="4.85546875" bestFit="1" customWidth="1"/>
    <col min="6" max="6" width="33.85546875" bestFit="1" customWidth="1"/>
    <col min="7" max="7" width="27.42578125" bestFit="1" customWidth="1"/>
    <col min="8" max="8" width="22.140625" bestFit="1" customWidth="1"/>
    <col min="9" max="9" width="12.7109375" bestFit="1" customWidth="1"/>
    <col min="10" max="10" width="17.140625" bestFit="1" customWidth="1"/>
    <col min="11" max="11" width="15.7109375" customWidth="1"/>
    <col min="12" max="12" width="12.5703125" bestFit="1" customWidth="1"/>
    <col min="13" max="13" width="16.5703125" bestFit="1" customWidth="1"/>
    <col min="14" max="14" width="5.7109375" hidden="1" customWidth="1" outlineLevel="1"/>
    <col min="15" max="15" width="17.140625" hidden="1" customWidth="1" outlineLevel="1"/>
    <col min="16" max="16" width="16" hidden="1" customWidth="1" outlineLevel="1"/>
    <col min="17" max="17" width="20.5703125" hidden="1" customWidth="1" outlineLevel="1"/>
    <col min="18" max="18" width="14.28515625" hidden="1" customWidth="1" outlineLevel="1"/>
    <col min="19" max="19" width="17.7109375" hidden="1" customWidth="1" outlineLevel="1"/>
    <col min="20" max="20" width="9.7109375" hidden="1" customWidth="1" outlineLevel="1"/>
    <col min="21" max="21" width="9.140625" collapsed="1"/>
    <col min="25" max="25" width="13.28515625" bestFit="1" customWidth="1"/>
  </cols>
  <sheetData>
    <row r="1" spans="1:23" ht="21" x14ac:dyDescent="0.35">
      <c r="A1" s="25"/>
      <c r="D1" s="22"/>
      <c r="E1" s="7" t="str">
        <f>PROPER(listPrefix)&amp; " " &amp;"Sales Pipeline Dashboard"</f>
        <v>Citizen Sales Pipeline Dashboard</v>
      </c>
      <c r="F1" s="7"/>
      <c r="G1" s="7"/>
      <c r="H1" s="8"/>
      <c r="I1" s="9"/>
      <c r="J1" s="7"/>
      <c r="K1" s="7"/>
      <c r="L1" s="7"/>
      <c r="M1" s="7"/>
      <c r="N1" s="7"/>
      <c r="O1" s="7"/>
      <c r="P1" s="7"/>
      <c r="Q1" s="7"/>
      <c r="R1" s="7"/>
      <c r="S1" s="17"/>
      <c r="T1" s="45"/>
      <c r="W1" s="20"/>
    </row>
    <row r="2" spans="1:23" x14ac:dyDescent="0.25">
      <c r="A2" s="19" t="s">
        <v>145</v>
      </c>
      <c r="B2" s="50" t="str">
        <f>HYPERLINK(siteUrl&amp;"Lists/"&amp;custList&amp;"/NewForm.aspx?","New")</f>
        <v>New</v>
      </c>
      <c r="C2" s="50" t="str">
        <f>HYPERLINK(siteUrl&amp;"/Lists/"&amp;custList,"List")</f>
        <v>List</v>
      </c>
      <c r="D2" s="23"/>
      <c r="E2" s="10" t="str">
        <f>_xlfn.XLOOKUP(SUBTOTAL(5,View[Close]),View[Close],View[Close Quarter]) &amp;" to " &amp; _xlfn.XLOOKUP(SUBTOTAL(4,View[Close]),View[Close],View[Close Quarter])</f>
        <v>FY26-Q1 to FY27-Q2</v>
      </c>
      <c r="F2" s="10"/>
      <c r="G2" s="10"/>
      <c r="H2" s="10"/>
      <c r="I2" s="10"/>
      <c r="J2" s="10"/>
      <c r="K2" s="10"/>
      <c r="L2" s="10"/>
      <c r="M2" s="10"/>
      <c r="N2" s="10"/>
      <c r="O2" s="10"/>
      <c r="P2" s="10"/>
      <c r="Q2" s="10"/>
      <c r="R2" s="10"/>
      <c r="S2" s="17"/>
      <c r="T2" s="45"/>
    </row>
    <row r="3" spans="1:23" x14ac:dyDescent="0.25">
      <c r="A3" s="19" t="s">
        <v>48</v>
      </c>
      <c r="B3" s="50" t="str">
        <f>HYPERLINK(siteUrl&amp;"Lists/"&amp;oppList&amp;"/NewForm.aspx?","New ")</f>
        <v xml:space="preserve">New </v>
      </c>
      <c r="C3" s="50" t="str">
        <f>HYPERLINK(siteUrl&amp;"/Lists/"&amp;oppList,"List")</f>
        <v>List</v>
      </c>
      <c r="D3" s="50"/>
    </row>
    <row r="5" spans="1:23" x14ac:dyDescent="0.25">
      <c r="A5" s="19" t="s">
        <v>37</v>
      </c>
      <c r="B5" s="6" t="s">
        <v>31</v>
      </c>
    </row>
    <row r="6" spans="1:23" x14ac:dyDescent="0.25">
      <c r="A6" s="19" t="s">
        <v>42</v>
      </c>
      <c r="B6" s="6" t="s">
        <v>43</v>
      </c>
    </row>
    <row r="7" spans="1:23" x14ac:dyDescent="0.25">
      <c r="E7" s="11" t="s">
        <v>75</v>
      </c>
      <c r="F7" s="12" t="s">
        <v>82</v>
      </c>
      <c r="G7" s="12" t="s">
        <v>46</v>
      </c>
      <c r="H7" s="12" t="s">
        <v>14</v>
      </c>
      <c r="I7" s="12" t="s">
        <v>389</v>
      </c>
      <c r="J7" s="12" t="s">
        <v>80</v>
      </c>
      <c r="K7" s="12" t="s">
        <v>390</v>
      </c>
      <c r="L7" s="12" t="s">
        <v>34</v>
      </c>
      <c r="M7" s="12" t="s">
        <v>76</v>
      </c>
      <c r="N7" s="12" t="s">
        <v>385</v>
      </c>
      <c r="O7" s="12" t="s">
        <v>40</v>
      </c>
      <c r="P7" s="12" t="s">
        <v>30</v>
      </c>
      <c r="Q7" s="12" t="s">
        <v>81</v>
      </c>
      <c r="R7" s="12" t="s">
        <v>43</v>
      </c>
      <c r="S7" s="12" t="s">
        <v>28</v>
      </c>
      <c r="T7" s="12" t="s">
        <v>44</v>
      </c>
    </row>
    <row r="8" spans="1:23" x14ac:dyDescent="0.25">
      <c r="E8" s="36" t="str">
        <f>_xlfn.XLOOKUP(View[[#This Row],[ID]],Opportunities[ID],Opportunities[status symbol])</f>
        <v>✓</v>
      </c>
      <c r="F8" s="37" t="str">
        <f>HYPERLINK(siteUrl&amp;"Lists/"&amp;oppList&amp;"/DispForm.aspx?ID="&amp;View[[#This Row],[ID]],_xlfn.XLOOKUP(View[[#This Row],[ID]],Opportunities[ID],Opportunities[OpportunityName]))</f>
        <v>Integration Services Project</v>
      </c>
      <c r="G8" s="49" t="str">
        <f>HYPERLINK(_xlfn.XLOOKUP(View[[#This Row],[ID]],Opportunities[ID],Opportunities[url]),_xlfn.XLOOKUP(View[[#This Row],[ID]],Opportunities[ID],Opportunities[Customer Name]))</f>
        <v>Chemical Processing</v>
      </c>
      <c r="H8" s="38" t="str">
        <f>_xlfn.XLOOKUP(View[[#This Row],[ID]],Opportunities[ID],Opportunities[DisplayStage])</f>
        <v>➄ - Project Execution</v>
      </c>
      <c r="I8" s="1">
        <f>IF(pipelineType="Unweighted",_xlfn.XLOOKUP(View[[#This Row],[ID]],Opportunities[ID],Opportunities[Amount])/1000,_xlfn.XLOOKUP(View[[#This Row],[ID]],Opportunities[ID],Opportunities[Weighted])/1000)</f>
        <v>1259.133</v>
      </c>
      <c r="J8" s="27" t="str">
        <f>_xlfn.XLOOKUP(View[[#This Row],[ID]],Opportunities[ID],Opportunities[WinProbDisplay])</f>
        <v>← Medium</v>
      </c>
      <c r="K8" s="28">
        <f>View[[#This Row],[Estmated Revenue]]</f>
        <v>503.65320000000003</v>
      </c>
      <c r="L8" s="2">
        <f>_xlfn.XLOOKUP(View[[#This Row],[ID]],Opportunities[ID],Opportunities[Close])</f>
        <v>45896</v>
      </c>
      <c r="M8" s="24" t="str">
        <f>IF(_xlfn.XLOOKUP(View[[#This Row],[ID]],Opportunities[ID],Opportunities[Comment Log])=0,"",_xlfn.XLOOKUP(View[[#This Row],[ID]],Opportunities[ID],Opportunities[Comment Log]))</f>
        <v/>
      </c>
      <c r="N8">
        <v>36</v>
      </c>
      <c r="O8" s="3">
        <f ca="1">_xlfn.XLOOKUP(View[[#This Row],[ID]],Opportunities[ID],Opportunities[NextMilestoneDate])-TODAY()</f>
        <v>45</v>
      </c>
      <c r="P8"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Q8" s="1">
        <f>_xlfn.XLOOKUP(View[[#This Row],[ID]],Opportunities[ID],Opportunities[Weighted])/1000</f>
        <v>503.65320000000003</v>
      </c>
      <c r="R8" s="4">
        <f>_xlfn.XLOOKUP(View[[#This Row],[ID]],Opportunities[ID],Opportunities[Amount])/1000</f>
        <v>1259.133</v>
      </c>
      <c r="S8" t="b">
        <f>View[[#This Row],[Win Probability]]="High"</f>
        <v>0</v>
      </c>
      <c r="T8">
        <f>SUBTOTAL(103, View[[#This Row],[S]])</f>
        <v>1</v>
      </c>
    </row>
    <row r="9" spans="1:23" x14ac:dyDescent="0.25">
      <c r="E9" s="36" t="str">
        <f>_xlfn.XLOOKUP(View[[#This Row],[ID]],Opportunities[ID],Opportunities[status symbol])</f>
        <v>✓</v>
      </c>
      <c r="F9" s="37" t="str">
        <f>HYPERLINK(siteUrl&amp;"Lists/"&amp;oppList&amp;"/DispForm.aspx?ID="&amp;View[[#This Row],[ID]],_xlfn.XLOOKUP(View[[#This Row],[ID]],Opportunities[ID],Opportunities[OpportunityName]))</f>
        <v>Project Management Software</v>
      </c>
      <c r="G9" s="49" t="str">
        <f>HYPERLINK(_xlfn.XLOOKUP(View[[#This Row],[ID]],Opportunities[ID],Opportunities[url]),_xlfn.XLOOKUP(View[[#This Row],[ID]],Opportunities[ID],Opportunities[Customer Name]))</f>
        <v>ACME Corporation</v>
      </c>
      <c r="H9" s="38" t="str">
        <f>_xlfn.XLOOKUP(View[[#This Row],[ID]],Opportunities[ID],Opportunities[DisplayStage])</f>
        <v>➅ - Closeout</v>
      </c>
      <c r="I9" s="1">
        <f>IF(pipelineType="Unweighted",_xlfn.XLOOKUP(View[[#This Row],[ID]],Opportunities[ID],Opportunities[Amount])/1000,_xlfn.XLOOKUP(View[[#This Row],[ID]],Opportunities[ID],Opportunities[Weighted])/1000)</f>
        <v>1218.81</v>
      </c>
      <c r="J9" s="27" t="str">
        <f>_xlfn.XLOOKUP(View[[#This Row],[ID]],Opportunities[ID],Opportunities[WinProbDisplay])</f>
        <v>← Medium</v>
      </c>
      <c r="K9" s="28">
        <f>View[[#This Row],[Estmated Revenue]]</f>
        <v>487.524</v>
      </c>
      <c r="L9" s="2">
        <f>_xlfn.XLOOKUP(View[[#This Row],[ID]],Opportunities[ID],Opportunities[Close])</f>
        <v>45925</v>
      </c>
      <c r="M9" s="24" t="str">
        <f>IF(_xlfn.XLOOKUP(View[[#This Row],[ID]],Opportunities[ID],Opportunities[Comment Log])=0,"",_xlfn.XLOOKUP(View[[#This Row],[ID]],Opportunities[ID],Opportunities[Comment Log]))</f>
        <v xml:space="preserve">new comment
</v>
      </c>
      <c r="N9">
        <v>25</v>
      </c>
      <c r="O9" s="3">
        <f ca="1">_xlfn.XLOOKUP(View[[#This Row],[ID]],Opportunities[ID],Opportunities[NextMilestoneDate])-TODAY()</f>
        <v>53</v>
      </c>
      <c r="P9"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Q9" s="1">
        <f>_xlfn.XLOOKUP(View[[#This Row],[ID]],Opportunities[ID],Opportunities[Weighted])/1000</f>
        <v>487.524</v>
      </c>
      <c r="R9" s="4">
        <f>_xlfn.XLOOKUP(View[[#This Row],[ID]],Opportunities[ID],Opportunities[Amount])/1000</f>
        <v>1218.81</v>
      </c>
      <c r="S9" t="b">
        <f>View[[#This Row],[Win Probability]]="High"</f>
        <v>0</v>
      </c>
      <c r="T9">
        <f>SUBTOTAL(103, View[[#This Row],[S]])</f>
        <v>1</v>
      </c>
    </row>
    <row r="10" spans="1:23" x14ac:dyDescent="0.25">
      <c r="E10" s="36" t="str">
        <f>_xlfn.XLOOKUP(View[[#This Row],[ID]],Opportunities[ID],Opportunities[status symbol])</f>
        <v>✓</v>
      </c>
      <c r="F10" s="37" t="str">
        <f>HYPERLINK(siteUrl&amp;"Lists/"&amp;oppList&amp;"/DispForm.aspx?ID="&amp;View[[#This Row],[ID]],_xlfn.XLOOKUP(View[[#This Row],[ID]],Opportunities[ID],Opportunities[OpportunityName]))</f>
        <v>Digital Transformation Project</v>
      </c>
      <c r="G10" s="49" t="str">
        <f>HYPERLINK(_xlfn.XLOOKUP(View[[#This Row],[ID]],Opportunities[ID],Opportunities[url]),_xlfn.XLOOKUP(View[[#This Row],[ID]],Opportunities[ID],Opportunities[Customer Name]))</f>
        <v>ACME Corporation</v>
      </c>
      <c r="H10" s="38" t="str">
        <f>_xlfn.XLOOKUP(View[[#This Row],[ID]],Opportunities[ID],Opportunities[DisplayStage])</f>
        <v>➃ - Negotiation</v>
      </c>
      <c r="I10" s="1">
        <f>IF(pipelineType="Unweighted",_xlfn.XLOOKUP(View[[#This Row],[ID]],Opportunities[ID],Opportunities[Amount])/1000,_xlfn.XLOOKUP(View[[#This Row],[ID]],Opportunities[ID],Opportunities[Weighted])/1000)</f>
        <v>990.59299999999996</v>
      </c>
      <c r="J10" s="27" t="str">
        <f>_xlfn.XLOOKUP(View[[#This Row],[ID]],Opportunities[ID],Opportunities[WinProbDisplay])</f>
        <v>↙ Low</v>
      </c>
      <c r="K10" s="28">
        <f>View[[#This Row],[Estmated Revenue]]</f>
        <v>198.11860000000001</v>
      </c>
      <c r="L10" s="2">
        <f>_xlfn.XLOOKUP(View[[#This Row],[ID]],Opportunities[ID],Opportunities[Close])</f>
        <v>45943</v>
      </c>
      <c r="M10" s="24" t="str">
        <f>IF(_xlfn.XLOOKUP(View[[#This Row],[ID]],Opportunities[ID],Opportunities[Comment Log])=0,"",_xlfn.XLOOKUP(View[[#This Row],[ID]],Opportunities[ID],Opportunities[Comment Log]))</f>
        <v/>
      </c>
      <c r="N10">
        <v>6</v>
      </c>
      <c r="O10" s="3">
        <f ca="1">_xlfn.XLOOKUP(View[[#This Row],[ID]],Opportunities[ID],Opportunities[NextMilestoneDate])-TODAY()</f>
        <v>28</v>
      </c>
      <c r="P10"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Q10" s="1">
        <f>_xlfn.XLOOKUP(View[[#This Row],[ID]],Opportunities[ID],Opportunities[Weighted])/1000</f>
        <v>198.11860000000001</v>
      </c>
      <c r="R10" s="4">
        <f>_xlfn.XLOOKUP(View[[#This Row],[ID]],Opportunities[ID],Opportunities[Amount])/1000</f>
        <v>990.59299999999996</v>
      </c>
      <c r="S10" t="b">
        <f>View[[#This Row],[Win Probability]]="High"</f>
        <v>0</v>
      </c>
      <c r="T10">
        <f>SUBTOTAL(103, View[[#This Row],[S]])</f>
        <v>1</v>
      </c>
    </row>
    <row r="11" spans="1:23" x14ac:dyDescent="0.25">
      <c r="E11" s="36" t="str">
        <f>_xlfn.XLOOKUP(View[[#This Row],[ID]],Opportunities[ID],Opportunities[status symbol])</f>
        <v>✓</v>
      </c>
      <c r="F11" s="37" t="str">
        <f>HYPERLINK(siteUrl&amp;"Lists/"&amp;oppList&amp;"/DispForm.aspx?ID="&amp;View[[#This Row],[ID]],_xlfn.XLOOKUP(View[[#This Row],[ID]],Opportunities[ID],Opportunities[OpportunityName]))</f>
        <v>Compliance Management Tool</v>
      </c>
      <c r="G11" s="49" t="str">
        <f>HYPERLINK(_xlfn.XLOOKUP(View[[#This Row],[ID]],Opportunities[ID],Opportunities[url]),_xlfn.XLOOKUP(View[[#This Row],[ID]],Opportunities[ID],Opportunities[Customer Name]))</f>
        <v>ACME Corporation</v>
      </c>
      <c r="H11" s="38" t="str">
        <f>_xlfn.XLOOKUP(View[[#This Row],[ID]],Opportunities[ID],Opportunities[DisplayStage])</f>
        <v>➃ - Negotiation</v>
      </c>
      <c r="I11" s="1">
        <f>IF(pipelineType="Unweighted",_xlfn.XLOOKUP(View[[#This Row],[ID]],Opportunities[ID],Opportunities[Amount])/1000,_xlfn.XLOOKUP(View[[#This Row],[ID]],Opportunities[ID],Opportunities[Weighted])/1000)</f>
        <v>1708.9280000000001</v>
      </c>
      <c r="J11" s="27" t="str">
        <f>_xlfn.XLOOKUP(View[[#This Row],[ID]],Opportunities[ID],Opportunities[WinProbDisplay])</f>
        <v>↙ Low</v>
      </c>
      <c r="K11" s="28">
        <f>View[[#This Row],[Estmated Revenue]]</f>
        <v>341.78560000000004</v>
      </c>
      <c r="L11" s="2">
        <f>_xlfn.XLOOKUP(View[[#This Row],[ID]],Opportunities[ID],Opportunities[Close])</f>
        <v>45988</v>
      </c>
      <c r="M11" s="24" t="str">
        <f>IF(_xlfn.XLOOKUP(View[[#This Row],[ID]],Opportunities[ID],Opportunities[Comment Log])=0,"",_xlfn.XLOOKUP(View[[#This Row],[ID]],Opportunities[ID],Opportunities[Comment Log]))</f>
        <v/>
      </c>
      <c r="N11">
        <v>24</v>
      </c>
      <c r="O11" s="3">
        <f ca="1">_xlfn.XLOOKUP(View[[#This Row],[ID]],Opportunities[ID],Opportunities[NextMilestoneDate])-TODAY()</f>
        <v>58</v>
      </c>
      <c r="P11"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Q11" s="1">
        <f>_xlfn.XLOOKUP(View[[#This Row],[ID]],Opportunities[ID],Opportunities[Weighted])/1000</f>
        <v>341.78560000000004</v>
      </c>
      <c r="R11" s="4">
        <f>_xlfn.XLOOKUP(View[[#This Row],[ID]],Opportunities[ID],Opportunities[Amount])/1000</f>
        <v>1708.9280000000001</v>
      </c>
      <c r="S11" t="b">
        <f>View[[#This Row],[Win Probability]]="High"</f>
        <v>0</v>
      </c>
      <c r="T11">
        <f>SUBTOTAL(103, View[[#This Row],[S]])</f>
        <v>1</v>
      </c>
    </row>
    <row r="12" spans="1:23" x14ac:dyDescent="0.25">
      <c r="E12" s="36" t="str">
        <f>_xlfn.XLOOKUP(View[[#This Row],[ID]],Opportunities[ID],Opportunities[status symbol])</f>
        <v>✓</v>
      </c>
      <c r="F12" s="37" t="str">
        <f>HYPERLINK(siteUrl&amp;"Lists/"&amp;oppList&amp;"/DispForm.aspx?ID="&amp;View[[#This Row],[ID]],_xlfn.XLOOKUP(View[[#This Row],[ID]],Opportunities[ID],Opportunities[OpportunityName]))</f>
        <v>Machine Learning Implementation</v>
      </c>
      <c r="G12" s="49" t="str">
        <f>HYPERLINK(_xlfn.XLOOKUP(View[[#This Row],[ID]],Opportunities[ID],Opportunities[url]),_xlfn.XLOOKUP(View[[#This Row],[ID]],Opportunities[ID],Opportunities[Customer Name]))</f>
        <v>Tech Solutions Inc</v>
      </c>
      <c r="H12" s="38" t="str">
        <f>_xlfn.XLOOKUP(View[[#This Row],[ID]],Opportunities[ID],Opportunities[DisplayStage])</f>
        <v>➄ - Project Execution</v>
      </c>
      <c r="I12" s="1">
        <f>IF(pipelineType="Unweighted",_xlfn.XLOOKUP(View[[#This Row],[ID]],Opportunities[ID],Opportunities[Amount])/1000,_xlfn.XLOOKUP(View[[#This Row],[ID]],Opportunities[ID],Opportunities[Weighted])/1000)</f>
        <v>1474.9269999999999</v>
      </c>
      <c r="J12" s="27" t="str">
        <f>_xlfn.XLOOKUP(View[[#This Row],[ID]],Opportunities[ID],Opportunities[WinProbDisplay])</f>
        <v>← Medium</v>
      </c>
      <c r="K12" s="28">
        <f>View[[#This Row],[Estmated Revenue]]</f>
        <v>589.97080000000005</v>
      </c>
      <c r="L12" s="2">
        <f>_xlfn.XLOOKUP(View[[#This Row],[ID]],Opportunities[ID],Opportunities[Close])</f>
        <v>45999</v>
      </c>
      <c r="M12" s="24" t="str">
        <f>IF(_xlfn.XLOOKUP(View[[#This Row],[ID]],Opportunities[ID],Opportunities[Comment Log])=0,"",_xlfn.XLOOKUP(View[[#This Row],[ID]],Opportunities[ID],Opportunities[Comment Log]))</f>
        <v/>
      </c>
      <c r="N12">
        <v>40</v>
      </c>
      <c r="O12" s="3">
        <f ca="1">_xlfn.XLOOKUP(View[[#This Row],[ID]],Opportunities[ID],Opportunities[NextMilestoneDate])-TODAY()</f>
        <v>50</v>
      </c>
      <c r="P12"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Q12" s="1">
        <f>_xlfn.XLOOKUP(View[[#This Row],[ID]],Opportunities[ID],Opportunities[Weighted])/1000</f>
        <v>589.97080000000005</v>
      </c>
      <c r="R12" s="4">
        <f>_xlfn.XLOOKUP(View[[#This Row],[ID]],Opportunities[ID],Opportunities[Amount])/1000</f>
        <v>1474.9269999999999</v>
      </c>
      <c r="S12" t="b">
        <f>View[[#This Row],[Win Probability]]="High"</f>
        <v>0</v>
      </c>
      <c r="T12">
        <f>SUBTOTAL(103, View[[#This Row],[S]])</f>
        <v>1</v>
      </c>
    </row>
    <row r="13" spans="1:23" x14ac:dyDescent="0.25">
      <c r="E13" s="36" t="str">
        <f>_xlfn.XLOOKUP(View[[#This Row],[ID]],Opportunities[ID],Opportunities[status symbol])</f>
        <v>✓</v>
      </c>
      <c r="F13" s="37" t="str">
        <f>HYPERLINK(siteUrl&amp;"Lists/"&amp;oppList&amp;"/DispForm.aspx?ID="&amp;View[[#This Row],[ID]],_xlfn.XLOOKUP(View[[#This Row],[ID]],Opportunities[ID],Opportunities[OpportunityName]))</f>
        <v>Database Migration Project</v>
      </c>
      <c r="G13" s="49" t="str">
        <f>HYPERLINK(_xlfn.XLOOKUP(View[[#This Row],[ID]],Opportunities[ID],Opportunities[url]),_xlfn.XLOOKUP(View[[#This Row],[ID]],Opportunities[ID],Opportunities[Customer Name]))</f>
        <v>Construction Dynamics</v>
      </c>
      <c r="H13" s="38" t="str">
        <f>_xlfn.XLOOKUP(View[[#This Row],[ID]],Opportunities[ID],Opportunities[DisplayStage])</f>
        <v>➀ - Lead Qualification</v>
      </c>
      <c r="I13" s="1">
        <f>IF(pipelineType="Unweighted",_xlfn.XLOOKUP(View[[#This Row],[ID]],Opportunities[ID],Opportunities[Amount])/1000,_xlfn.XLOOKUP(View[[#This Row],[ID]],Opportunities[ID],Opportunities[Weighted])/1000)</f>
        <v>630.28899999999999</v>
      </c>
      <c r="J13" s="27" t="str">
        <f>_xlfn.XLOOKUP(View[[#This Row],[ID]],Opportunities[ID],Opportunities[WinProbDisplay])</f>
        <v>← Medium</v>
      </c>
      <c r="K13" s="28">
        <f>View[[#This Row],[Estmated Revenue]]</f>
        <v>252.1156</v>
      </c>
      <c r="L13" s="2">
        <f>_xlfn.XLOOKUP(View[[#This Row],[ID]],Opportunities[ID],Opportunities[Close])</f>
        <v>46024</v>
      </c>
      <c r="M13" s="24" t="str">
        <f>IF(_xlfn.XLOOKUP(View[[#This Row],[ID]],Opportunities[ID],Opportunities[Comment Log])=0,"",_xlfn.XLOOKUP(View[[#This Row],[ID]],Opportunities[ID],Opportunities[Comment Log]))</f>
        <v/>
      </c>
      <c r="N13">
        <v>37</v>
      </c>
      <c r="O13" s="3">
        <f ca="1">_xlfn.XLOOKUP(View[[#This Row],[ID]],Opportunities[ID],Opportunities[NextMilestoneDate])-TODAY()</f>
        <v>32</v>
      </c>
      <c r="P13"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Q13" s="1">
        <f>_xlfn.XLOOKUP(View[[#This Row],[ID]],Opportunities[ID],Opportunities[Weighted])/1000</f>
        <v>252.1156</v>
      </c>
      <c r="R13" s="4">
        <f>_xlfn.XLOOKUP(View[[#This Row],[ID]],Opportunities[ID],Opportunities[Amount])/1000</f>
        <v>630.28899999999999</v>
      </c>
      <c r="S13" t="b">
        <f>View[[#This Row],[Win Probability]]="High"</f>
        <v>0</v>
      </c>
      <c r="T13">
        <f>SUBTOTAL(103, View[[#This Row],[S]])</f>
        <v>1</v>
      </c>
    </row>
    <row r="14" spans="1:23" x14ac:dyDescent="0.25">
      <c r="E14" s="36" t="str">
        <f>_xlfn.XLOOKUP(View[[#This Row],[ID]],Opportunities[ID],Opportunities[status symbol])</f>
        <v>✓</v>
      </c>
      <c r="F14" s="37" t="str">
        <f>HYPERLINK(siteUrl&amp;"Lists/"&amp;oppList&amp;"/DispForm.aspx?ID="&amp;View[[#This Row],[ID]],_xlfn.XLOOKUP(View[[#This Row],[ID]],Opportunities[ID],Opportunities[OpportunityName]))</f>
        <v>Workflow Automation Tool</v>
      </c>
      <c r="G14" s="49" t="str">
        <f>HYPERLINK(_xlfn.XLOOKUP(View[[#This Row],[ID]],Opportunities[ID],Opportunities[url]),_xlfn.XLOOKUP(View[[#This Row],[ID]],Opportunities[ID],Opportunities[Customer Name]))</f>
        <v>Global Industries</v>
      </c>
      <c r="H14" s="38" t="str">
        <f>_xlfn.XLOOKUP(View[[#This Row],[ID]],Opportunities[ID],Opportunities[DisplayStage])</f>
        <v>➄ - Project Execution</v>
      </c>
      <c r="I14" s="1">
        <f>IF(pipelineType="Unweighted",_xlfn.XLOOKUP(View[[#This Row],[ID]],Opportunities[ID],Opportunities[Amount])/1000,_xlfn.XLOOKUP(View[[#This Row],[ID]],Opportunities[ID],Opportunities[Weighted])/1000)</f>
        <v>1362.8320000000001</v>
      </c>
      <c r="J14" s="27" t="str">
        <f>_xlfn.XLOOKUP(View[[#This Row],[ID]],Opportunities[ID],Opportunities[WinProbDisplay])</f>
        <v>← Medium</v>
      </c>
      <c r="K14" s="28">
        <f>View[[#This Row],[Estmated Revenue]]</f>
        <v>545.13280000000009</v>
      </c>
      <c r="L14" s="2">
        <f>_xlfn.XLOOKUP(View[[#This Row],[ID]],Opportunities[ID],Opportunities[Close])</f>
        <v>46035</v>
      </c>
      <c r="M14" s="24" t="str">
        <f>IF(_xlfn.XLOOKUP(View[[#This Row],[ID]],Opportunities[ID],Opportunities[Comment Log])=0,"",_xlfn.XLOOKUP(View[[#This Row],[ID]],Opportunities[ID],Opportunities[Comment Log]))</f>
        <v/>
      </c>
      <c r="N14">
        <v>35</v>
      </c>
      <c r="O14" s="3">
        <f ca="1">_xlfn.XLOOKUP(View[[#This Row],[ID]],Opportunities[ID],Opportunities[NextMilestoneDate])-TODAY()</f>
        <v>24</v>
      </c>
      <c r="P14"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Q14" s="1">
        <f>_xlfn.XLOOKUP(View[[#This Row],[ID]],Opportunities[ID],Opportunities[Weighted])/1000</f>
        <v>545.13280000000009</v>
      </c>
      <c r="R14" s="4">
        <f>_xlfn.XLOOKUP(View[[#This Row],[ID]],Opportunities[ID],Opportunities[Amount])/1000</f>
        <v>1362.8320000000001</v>
      </c>
      <c r="S14" t="b">
        <f>View[[#This Row],[Win Probability]]="High"</f>
        <v>0</v>
      </c>
      <c r="T14">
        <f>SUBTOTAL(103, View[[#This Row],[S]])</f>
        <v>1</v>
      </c>
    </row>
    <row r="15" spans="1:23" x14ac:dyDescent="0.25">
      <c r="E15" s="36" t="str">
        <f>_xlfn.XLOOKUP(View[[#This Row],[ID]],Opportunities[ID],Opportunities[status symbol])</f>
        <v>✓</v>
      </c>
      <c r="F15" s="37" t="str">
        <f>HYPERLINK(siteUrl&amp;"Lists/"&amp;oppList&amp;"/DispForm.aspx?ID="&amp;View[[#This Row],[ID]],_xlfn.XLOOKUP(View[[#This Row],[ID]],Opportunities[ID],Opportunities[OpportunityName]))</f>
        <v>Business Intelligence Solution</v>
      </c>
      <c r="G15" s="49" t="str">
        <f>HYPERLINK(_xlfn.XLOOKUP(View[[#This Row],[ID]],Opportunities[ID],Opportunities[url]),_xlfn.XLOOKUP(View[[#This Row],[ID]],Opportunities[ID],Opportunities[Customer Name]))</f>
        <v>Real Estate Ventures</v>
      </c>
      <c r="H15" s="38" t="str">
        <f>_xlfn.XLOOKUP(View[[#This Row],[ID]],Opportunities[ID],Opportunities[DisplayStage])</f>
        <v>➅ - Closeout</v>
      </c>
      <c r="I15" s="1">
        <f>IF(pipelineType="Unweighted",_xlfn.XLOOKUP(View[[#This Row],[ID]],Opportunities[ID],Opportunities[Amount])/1000,_xlfn.XLOOKUP(View[[#This Row],[ID]],Opportunities[ID],Opportunities[Weighted])/1000)</f>
        <v>666.33100000000002</v>
      </c>
      <c r="J15" s="27" t="str">
        <f>_xlfn.XLOOKUP(View[[#This Row],[ID]],Opportunities[ID],Opportunities[WinProbDisplay])</f>
        <v>← Medium</v>
      </c>
      <c r="K15" s="28">
        <f>View[[#This Row],[Estmated Revenue]]</f>
        <v>266.5324</v>
      </c>
      <c r="L15" s="2">
        <f>_xlfn.XLOOKUP(View[[#This Row],[ID]],Opportunities[ID],Opportunities[Close])</f>
        <v>46036</v>
      </c>
      <c r="M15" s="24" t="str">
        <f>IF(_xlfn.XLOOKUP(View[[#This Row],[ID]],Opportunities[ID],Opportunities[Comment Log])=0,"",_xlfn.XLOOKUP(View[[#This Row],[ID]],Opportunities[ID],Opportunities[Comment Log]))</f>
        <v/>
      </c>
      <c r="N15">
        <v>8</v>
      </c>
      <c r="O15" s="3">
        <f ca="1">_xlfn.XLOOKUP(View[[#This Row],[ID]],Opportunities[ID],Opportunities[NextMilestoneDate])-TODAY()</f>
        <v>37</v>
      </c>
      <c r="P15"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Q15" s="1">
        <f>_xlfn.XLOOKUP(View[[#This Row],[ID]],Opportunities[ID],Opportunities[Weighted])/1000</f>
        <v>266.5324</v>
      </c>
      <c r="R15" s="4">
        <f>_xlfn.XLOOKUP(View[[#This Row],[ID]],Opportunities[ID],Opportunities[Amount])/1000</f>
        <v>666.33100000000002</v>
      </c>
      <c r="S15" t="b">
        <f>View[[#This Row],[Win Probability]]="High"</f>
        <v>0</v>
      </c>
      <c r="T15">
        <f>SUBTOTAL(103, View[[#This Row],[S]])</f>
        <v>1</v>
      </c>
    </row>
    <row r="16" spans="1:23" x14ac:dyDescent="0.25">
      <c r="E16" s="36" t="str">
        <f>_xlfn.XLOOKUP(View[[#This Row],[ID]],Opportunities[ID],Opportunities[status symbol])</f>
        <v>✓</v>
      </c>
      <c r="F16" s="37" t="str">
        <f>HYPERLINK(siteUrl&amp;"Lists/"&amp;oppList&amp;"/DispForm.aspx?ID="&amp;View[[#This Row],[ID]],_xlfn.XLOOKUP(View[[#This Row],[ID]],Opportunities[ID],Opportunities[OpportunityName]))</f>
        <v>Social Media Management Tool</v>
      </c>
      <c r="G16" s="49" t="str">
        <f>HYPERLINK(_xlfn.XLOOKUP(View[[#This Row],[ID]],Opportunities[ID],Opportunities[url]),_xlfn.XLOOKUP(View[[#This Row],[ID]],Opportunities[ID],Opportunities[Customer Name]))</f>
        <v>Waste Management Co</v>
      </c>
      <c r="H16" s="38" t="str">
        <f>_xlfn.XLOOKUP(View[[#This Row],[ID]],Opportunities[ID],Opportunities[DisplayStage])</f>
        <v>➀ - Lead Qualification</v>
      </c>
      <c r="I16" s="1">
        <f>IF(pipelineType="Unweighted",_xlfn.XLOOKUP(View[[#This Row],[ID]],Opportunities[ID],Opportunities[Amount])/1000,_xlfn.XLOOKUP(View[[#This Row],[ID]],Opportunities[ID],Opportunities[Weighted])/1000)</f>
        <v>1091.6320000000001</v>
      </c>
      <c r="J16" s="27" t="str">
        <f>_xlfn.XLOOKUP(View[[#This Row],[ID]],Opportunities[ID],Opportunities[WinProbDisplay])</f>
        <v>↖ High</v>
      </c>
      <c r="K16" s="28">
        <f>View[[#This Row],[Estmated Revenue]]</f>
        <v>982.4688000000001</v>
      </c>
      <c r="L16" s="2">
        <f>_xlfn.XLOOKUP(View[[#This Row],[ID]],Opportunities[ID],Opportunities[Close])</f>
        <v>46038</v>
      </c>
      <c r="M16" s="24" t="str">
        <f>IF(_xlfn.XLOOKUP(View[[#This Row],[ID]],Opportunities[ID],Opportunities[Comment Log])=0,"",_xlfn.XLOOKUP(View[[#This Row],[ID]],Opportunities[ID],Opportunities[Comment Log]))</f>
        <v/>
      </c>
      <c r="N16">
        <v>29</v>
      </c>
      <c r="O16" s="3">
        <f ca="1">_xlfn.XLOOKUP(View[[#This Row],[ID]],Opportunities[ID],Opportunities[NextMilestoneDate])-TODAY()</f>
        <v>57</v>
      </c>
      <c r="P16"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Q16" s="1">
        <f>_xlfn.XLOOKUP(View[[#This Row],[ID]],Opportunities[ID],Opportunities[Weighted])/1000</f>
        <v>982.4688000000001</v>
      </c>
      <c r="R16" s="4">
        <f>_xlfn.XLOOKUP(View[[#This Row],[ID]],Opportunities[ID],Opportunities[Amount])/1000</f>
        <v>1091.6320000000001</v>
      </c>
      <c r="S16" t="b">
        <f>View[[#This Row],[Win Probability]]="High"</f>
        <v>0</v>
      </c>
      <c r="T16">
        <f>SUBTOTAL(103, View[[#This Row],[S]])</f>
        <v>1</v>
      </c>
    </row>
    <row r="17" spans="5:20" x14ac:dyDescent="0.25">
      <c r="E17" s="36" t="str">
        <f>_xlfn.XLOOKUP(View[[#This Row],[ID]],Opportunities[ID],Opportunities[status symbol])</f>
        <v>✓</v>
      </c>
      <c r="F17" s="37" t="str">
        <f>HYPERLINK(siteUrl&amp;"Lists/"&amp;oppList&amp;"/DispForm.aspx?ID="&amp;View[[#This Row],[ID]],_xlfn.XLOOKUP(View[[#This Row],[ID]],Opportunities[ID],Opportunities[OpportunityName]))</f>
        <v>Healthcare Data Analytics Platform</v>
      </c>
      <c r="G17" s="49" t="str">
        <f>HYPERLINK(_xlfn.XLOOKUP(View[[#This Row],[ID]],Opportunities[ID],Opportunities[url]),_xlfn.XLOOKUP(View[[#This Row],[ID]],Opportunities[ID],Opportunities[Customer Name]))</f>
        <v>Global Industries</v>
      </c>
      <c r="H17" s="38" t="str">
        <f>_xlfn.XLOOKUP(View[[#This Row],[ID]],Opportunities[ID],Opportunities[DisplayStage])</f>
        <v>➄ - Project Execution</v>
      </c>
      <c r="I17" s="1">
        <f>IF(pipelineType="Unweighted",_xlfn.XLOOKUP(View[[#This Row],[ID]],Opportunities[ID],Opportunities[Amount])/1000,_xlfn.XLOOKUP(View[[#This Row],[ID]],Opportunities[ID],Opportunities[Weighted])/1000)</f>
        <v>1191.2059999999999</v>
      </c>
      <c r="J17" s="27" t="str">
        <f>_xlfn.XLOOKUP(View[[#This Row],[ID]],Opportunities[ID],Opportunities[WinProbDisplay])</f>
        <v>↙ Low</v>
      </c>
      <c r="K17" s="28">
        <f>View[[#This Row],[Estmated Revenue]]</f>
        <v>238.24120000000002</v>
      </c>
      <c r="L17" s="2">
        <f>_xlfn.XLOOKUP(View[[#This Row],[ID]],Opportunities[ID],Opportunities[Close])</f>
        <v>46042</v>
      </c>
      <c r="M17" s="24" t="str">
        <f>IF(_xlfn.XLOOKUP(View[[#This Row],[ID]],Opportunities[ID],Opportunities[Comment Log])=0,"",_xlfn.XLOOKUP(View[[#This Row],[ID]],Opportunities[ID],Opportunities[Comment Log]))</f>
        <v/>
      </c>
      <c r="N17">
        <v>5</v>
      </c>
      <c r="O17" s="3">
        <f ca="1">_xlfn.XLOOKUP(View[[#This Row],[ID]],Opportunities[ID],Opportunities[NextMilestoneDate])-TODAY()</f>
        <v>9</v>
      </c>
      <c r="P17"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Q17" s="1">
        <f>_xlfn.XLOOKUP(View[[#This Row],[ID]],Opportunities[ID],Opportunities[Weighted])/1000</f>
        <v>238.24120000000002</v>
      </c>
      <c r="R17" s="4">
        <f>_xlfn.XLOOKUP(View[[#This Row],[ID]],Opportunities[ID],Opportunities[Amount])/1000</f>
        <v>1191.2059999999999</v>
      </c>
      <c r="S17" t="b">
        <f>View[[#This Row],[Win Probability]]="High"</f>
        <v>0</v>
      </c>
      <c r="T17">
        <f>SUBTOTAL(103, View[[#This Row],[S]])</f>
        <v>1</v>
      </c>
    </row>
    <row r="18" spans="5:20" x14ac:dyDescent="0.25">
      <c r="E18" s="36" t="str">
        <f>_xlfn.XLOOKUP(View[[#This Row],[ID]],Opportunities[ID],Opportunities[status symbol])</f>
        <v>✓</v>
      </c>
      <c r="F18" s="37" t="str">
        <f>HYPERLINK(siteUrl&amp;"Lists/"&amp;oppList&amp;"/DispForm.aspx?ID="&amp;View[[#This Row],[ID]],_xlfn.XLOOKUP(View[[#This Row],[ID]],Opportunities[ID],Opportunities[OpportunityName]))</f>
        <v>Point of Sale System</v>
      </c>
      <c r="G18" s="49" t="str">
        <f>HYPERLINK(_xlfn.XLOOKUP(View[[#This Row],[ID]],Opportunities[ID],Opportunities[url]),_xlfn.XLOOKUP(View[[#This Row],[ID]],Opportunities[ID],Opportunities[Customer Name]))</f>
        <v>Food Service Partners</v>
      </c>
      <c r="H18" s="38" t="str">
        <f>_xlfn.XLOOKUP(View[[#This Row],[ID]],Opportunities[ID],Opportunities[DisplayStage])</f>
        <v>➃ - Negotiation</v>
      </c>
      <c r="I18" s="1">
        <f>IF(pipelineType="Unweighted",_xlfn.XLOOKUP(View[[#This Row],[ID]],Opportunities[ID],Opportunities[Amount])/1000,_xlfn.XLOOKUP(View[[#This Row],[ID]],Opportunities[ID],Opportunities[Weighted])/1000)</f>
        <v>1236.222</v>
      </c>
      <c r="J18" s="27" t="str">
        <f>_xlfn.XLOOKUP(View[[#This Row],[ID]],Opportunities[ID],Opportunities[WinProbDisplay])</f>
        <v>← Medium</v>
      </c>
      <c r="K18" s="28">
        <f>View[[#This Row],[Estmated Revenue]]</f>
        <v>494.48880000000003</v>
      </c>
      <c r="L18" s="2">
        <f>_xlfn.XLOOKUP(View[[#This Row],[ID]],Opportunities[ID],Opportunities[Close])</f>
        <v>46050</v>
      </c>
      <c r="M18" s="24" t="str">
        <f>IF(_xlfn.XLOOKUP(View[[#This Row],[ID]],Opportunities[ID],Opportunities[Comment Log])=0,"",_xlfn.XLOOKUP(View[[#This Row],[ID]],Opportunities[ID],Opportunities[Comment Log]))</f>
        <v/>
      </c>
      <c r="N18">
        <v>23</v>
      </c>
      <c r="O18" s="3">
        <f ca="1">_xlfn.XLOOKUP(View[[#This Row],[ID]],Opportunities[ID],Opportunities[NextMilestoneDate])-TODAY()</f>
        <v>31</v>
      </c>
      <c r="P18"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Q18" s="1">
        <f>_xlfn.XLOOKUP(View[[#This Row],[ID]],Opportunities[ID],Opportunities[Weighted])/1000</f>
        <v>494.48880000000003</v>
      </c>
      <c r="R18" s="4">
        <f>_xlfn.XLOOKUP(View[[#This Row],[ID]],Opportunities[ID],Opportunities[Amount])/1000</f>
        <v>1236.222</v>
      </c>
      <c r="S18" t="b">
        <f>View[[#This Row],[Win Probability]]="High"</f>
        <v>0</v>
      </c>
      <c r="T18">
        <f>SUBTOTAL(103, View[[#This Row],[S]])</f>
        <v>1</v>
      </c>
    </row>
    <row r="19" spans="5:20" x14ac:dyDescent="0.25">
      <c r="E19" s="36" t="str">
        <f>_xlfn.XLOOKUP(View[[#This Row],[ID]],Opportunities[ID],Opportunities[status symbol])</f>
        <v>✓</v>
      </c>
      <c r="F19" s="37" t="str">
        <f>HYPERLINK(siteUrl&amp;"Lists/"&amp;oppList&amp;"/DispForm.aspx?ID="&amp;View[[#This Row],[ID]],_xlfn.XLOOKUP(View[[#This Row],[ID]],Opportunities[ID],Opportunities[OpportunityName]))</f>
        <v>Network Infrastructure Upgrade</v>
      </c>
      <c r="G19" s="49" t="str">
        <f>HYPERLINK(_xlfn.XLOOKUP(View[[#This Row],[ID]],Opportunities[ID],Opportunities[url]),_xlfn.XLOOKUP(View[[#This Row],[ID]],Opportunities[ID],Opportunities[Customer Name]))</f>
        <v>Pharmaceutical Research</v>
      </c>
      <c r="H19" s="38" t="str">
        <f>_xlfn.XLOOKUP(View[[#This Row],[ID]],Opportunities[ID],Opportunities[DisplayStage])</f>
        <v>➂ - Proposal</v>
      </c>
      <c r="I19" s="1">
        <f>IF(pipelineType="Unweighted",_xlfn.XLOOKUP(View[[#This Row],[ID]],Opportunities[ID],Opportunities[Amount])/1000,_xlfn.XLOOKUP(View[[#This Row],[ID]],Opportunities[ID],Opportunities[Weighted])/1000)</f>
        <v>1166.3920000000001</v>
      </c>
      <c r="J19" s="27" t="str">
        <f>_xlfn.XLOOKUP(View[[#This Row],[ID]],Opportunities[ID],Opportunities[WinProbDisplay])</f>
        <v>← Medium</v>
      </c>
      <c r="K19" s="28">
        <f>View[[#This Row],[Estmated Revenue]]</f>
        <v>466.55680000000007</v>
      </c>
      <c r="L19" s="2">
        <f>_xlfn.XLOOKUP(View[[#This Row],[ID]],Opportunities[ID],Opportunities[Close])</f>
        <v>46055</v>
      </c>
      <c r="M19" s="24" t="str">
        <f>IF(_xlfn.XLOOKUP(View[[#This Row],[ID]],Opportunities[ID],Opportunities[Comment Log])=0,"",_xlfn.XLOOKUP(View[[#This Row],[ID]],Opportunities[ID],Opportunities[Comment Log]))</f>
        <v/>
      </c>
      <c r="N19">
        <v>7</v>
      </c>
      <c r="O19" s="3">
        <f ca="1">_xlfn.XLOOKUP(View[[#This Row],[ID]],Opportunities[ID],Opportunities[NextMilestoneDate])-TODAY()</f>
        <v>39</v>
      </c>
      <c r="P19"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Q19" s="1">
        <f>_xlfn.XLOOKUP(View[[#This Row],[ID]],Opportunities[ID],Opportunities[Weighted])/1000</f>
        <v>466.55680000000007</v>
      </c>
      <c r="R19" s="4">
        <f>_xlfn.XLOOKUP(View[[#This Row],[ID]],Opportunities[ID],Opportunities[Amount])/1000</f>
        <v>1166.3920000000001</v>
      </c>
      <c r="S19" t="b">
        <f>View[[#This Row],[Win Probability]]="High"</f>
        <v>0</v>
      </c>
      <c r="T19">
        <f>SUBTOTAL(103, View[[#This Row],[S]])</f>
        <v>1</v>
      </c>
    </row>
    <row r="20" spans="5:20" x14ac:dyDescent="0.25">
      <c r="E20" s="36" t="str">
        <f>_xlfn.XLOOKUP(View[[#This Row],[ID]],Opportunities[ID],Opportunities[status symbol])</f>
        <v>⚠</v>
      </c>
      <c r="F20" s="37" t="str">
        <f>HYPERLINK(siteUrl&amp;"Lists/"&amp;oppList&amp;"/DispForm.aspx?ID="&amp;View[[#This Row],[ID]],_xlfn.XLOOKUP(View[[#This Row],[ID]],Opportunities[ID],Opportunities[OpportunityName]))</f>
        <v>Training &amp; Development Program</v>
      </c>
      <c r="G20" s="49" t="str">
        <f>HYPERLINK(_xlfn.XLOOKUP(View[[#This Row],[ID]],Opportunities[ID],Opportunities[url]),_xlfn.XLOOKUP(View[[#This Row],[ID]],Opportunities[ID],Opportunities[Customer Name]))</f>
        <v>Sports &amp; Recreation</v>
      </c>
      <c r="H20" s="38" t="str">
        <f>_xlfn.XLOOKUP(View[[#This Row],[ID]],Opportunities[ID],Opportunities[DisplayStage])</f>
        <v>➂ - Proposal</v>
      </c>
      <c r="I20" s="1">
        <f>IF(pipelineType="Unweighted",_xlfn.XLOOKUP(View[[#This Row],[ID]],Opportunities[ID],Opportunities[Amount])/1000,_xlfn.XLOOKUP(View[[#This Row],[ID]],Opportunities[ID],Opportunities[Weighted])/1000)</f>
        <v>1308.796</v>
      </c>
      <c r="J20" s="27" t="str">
        <f>_xlfn.XLOOKUP(View[[#This Row],[ID]],Opportunities[ID],Opportunities[WinProbDisplay])</f>
        <v>← Medium</v>
      </c>
      <c r="K20" s="28">
        <f>View[[#This Row],[Estmated Revenue]]</f>
        <v>523.51840000000004</v>
      </c>
      <c r="L20" s="2">
        <f>_xlfn.XLOOKUP(View[[#This Row],[ID]],Opportunities[ID],Opportunities[Close])</f>
        <v>46069</v>
      </c>
      <c r="M20" s="24" t="str">
        <f>IF(_xlfn.XLOOKUP(View[[#This Row],[ID]],Opportunities[ID],Opportunities[Comment Log])=0,"",_xlfn.XLOOKUP(View[[#This Row],[ID]],Opportunities[ID],Opportunities[Comment Log]))</f>
        <v/>
      </c>
      <c r="N20">
        <v>15</v>
      </c>
      <c r="O20" s="3">
        <f ca="1">_xlfn.XLOOKUP(View[[#This Row],[ID]],Opportunities[ID],Opportunities[NextMilestoneDate])-TODAY()</f>
        <v>57</v>
      </c>
      <c r="P20"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Q20" s="1">
        <f>_xlfn.XLOOKUP(View[[#This Row],[ID]],Opportunities[ID],Opportunities[Weighted])/1000</f>
        <v>523.51840000000004</v>
      </c>
      <c r="R20" s="4">
        <f>_xlfn.XLOOKUP(View[[#This Row],[ID]],Opportunities[ID],Opportunities[Amount])/1000</f>
        <v>1308.796</v>
      </c>
      <c r="S20" t="b">
        <f>View[[#This Row],[Win Probability]]="High"</f>
        <v>0</v>
      </c>
      <c r="T20">
        <f>SUBTOTAL(103, View[[#This Row],[S]])</f>
        <v>1</v>
      </c>
    </row>
    <row r="21" spans="5:20" x14ac:dyDescent="0.25">
      <c r="E21" s="36" t="str">
        <f>_xlfn.XLOOKUP(View[[#This Row],[ID]],Opportunities[ID],Opportunities[status symbol])</f>
        <v>✓</v>
      </c>
      <c r="F21" s="37" t="str">
        <f>HYPERLINK(siteUrl&amp;"Lists/"&amp;oppList&amp;"/DispForm.aspx?ID="&amp;View[[#This Row],[ID]],_xlfn.XLOOKUP(View[[#This Row],[ID]],Opportunities[ID],Opportunities[OpportunityName]))</f>
        <v>Performance Analytics Dashboard</v>
      </c>
      <c r="G21" s="49" t="str">
        <f>HYPERLINK(_xlfn.XLOOKUP(View[[#This Row],[ID]],Opportunities[ID],Opportunities[url]),_xlfn.XLOOKUP(View[[#This Row],[ID]],Opportunities[ID],Opportunities[Customer Name]))</f>
        <v>Global Industries</v>
      </c>
      <c r="H21" s="38" t="str">
        <f>_xlfn.XLOOKUP(View[[#This Row],[ID]],Opportunities[ID],Opportunities[DisplayStage])</f>
        <v>➃ - Negotiation</v>
      </c>
      <c r="I21" s="1">
        <f>IF(pipelineType="Unweighted",_xlfn.XLOOKUP(View[[#This Row],[ID]],Opportunities[ID],Opportunities[Amount])/1000,_xlfn.XLOOKUP(View[[#This Row],[ID]],Opportunities[ID],Opportunities[Weighted])/1000)</f>
        <v>1225.1579999999999</v>
      </c>
      <c r="J21" s="27" t="str">
        <f>_xlfn.XLOOKUP(View[[#This Row],[ID]],Opportunities[ID],Opportunities[WinProbDisplay])</f>
        <v>↙ Low</v>
      </c>
      <c r="K21" s="28">
        <f>View[[#This Row],[Estmated Revenue]]</f>
        <v>245.0316</v>
      </c>
      <c r="L21" s="2">
        <f>_xlfn.XLOOKUP(View[[#This Row],[ID]],Opportunities[ID],Opportunities[Close])</f>
        <v>46077</v>
      </c>
      <c r="M21" s="24" t="str">
        <f>IF(_xlfn.XLOOKUP(View[[#This Row],[ID]],Opportunities[ID],Opportunities[Comment Log])=0,"",_xlfn.XLOOKUP(View[[#This Row],[ID]],Opportunities[ID],Opportunities[Comment Log]))</f>
        <v/>
      </c>
      <c r="N21">
        <v>34</v>
      </c>
      <c r="O21" s="3">
        <f ca="1">_xlfn.XLOOKUP(View[[#This Row],[ID]],Opportunities[ID],Opportunities[NextMilestoneDate])-TODAY()</f>
        <v>50</v>
      </c>
      <c r="P21"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Q21" s="1">
        <f>_xlfn.XLOOKUP(View[[#This Row],[ID]],Opportunities[ID],Opportunities[Weighted])/1000</f>
        <v>245.0316</v>
      </c>
      <c r="R21" s="4">
        <f>_xlfn.XLOOKUP(View[[#This Row],[ID]],Opportunities[ID],Opportunities[Amount])/1000</f>
        <v>1225.1579999999999</v>
      </c>
      <c r="S21" t="b">
        <f>View[[#This Row],[Win Probability]]="High"</f>
        <v>0</v>
      </c>
      <c r="T21">
        <f>SUBTOTAL(103, View[[#This Row],[S]])</f>
        <v>1</v>
      </c>
    </row>
    <row r="22" spans="5:20" x14ac:dyDescent="0.25">
      <c r="E22" s="36" t="str">
        <f>_xlfn.XLOOKUP(View[[#This Row],[ID]],Opportunities[ID],Opportunities[status symbol])</f>
        <v>✓</v>
      </c>
      <c r="F22" s="37" t="str">
        <f>HYPERLINK(siteUrl&amp;"Lists/"&amp;oppList&amp;"/DispForm.aspx?ID="&amp;View[[#This Row],[ID]],_xlfn.XLOOKUP(View[[#This Row],[ID]],Opportunities[ID],Opportunities[OpportunityName]))</f>
        <v>Cybersecurity Enhancement</v>
      </c>
      <c r="G22" s="49" t="str">
        <f>HYPERLINK(_xlfn.XLOOKUP(View[[#This Row],[ID]],Opportunities[ID],Opportunities[url]),_xlfn.XLOOKUP(View[[#This Row],[ID]],Opportunities[ID],Opportunities[Customer Name]))</f>
        <v>Consulting Experts</v>
      </c>
      <c r="H22" s="38" t="str">
        <f>_xlfn.XLOOKUP(View[[#This Row],[ID]],Opportunities[ID],Opportunities[DisplayStage])</f>
        <v>➁ - Nurturing</v>
      </c>
      <c r="I22" s="1">
        <f>IF(pipelineType="Unweighted",_xlfn.XLOOKUP(View[[#This Row],[ID]],Opportunities[ID],Opportunities[Amount])/1000,_xlfn.XLOOKUP(View[[#This Row],[ID]],Opportunities[ID],Opportunities[Weighted])/1000)</f>
        <v>1217.08</v>
      </c>
      <c r="J22" s="27" t="str">
        <f>_xlfn.XLOOKUP(View[[#This Row],[ID]],Opportunities[ID],Opportunities[WinProbDisplay])</f>
        <v>↖ High</v>
      </c>
      <c r="K22" s="28">
        <f>View[[#This Row],[Estmated Revenue]]</f>
        <v>1095.3720000000001</v>
      </c>
      <c r="L22" s="2">
        <f>_xlfn.XLOOKUP(View[[#This Row],[ID]],Opportunities[ID],Opportunities[Close])</f>
        <v>46097</v>
      </c>
      <c r="M22" s="24" t="str">
        <f>IF(_xlfn.XLOOKUP(View[[#This Row],[ID]],Opportunities[ID],Opportunities[Comment Log])=0,"",_xlfn.XLOOKUP(View[[#This Row],[ID]],Opportunities[ID],Opportunities[Comment Log]))</f>
        <v/>
      </c>
      <c r="N22">
        <v>12</v>
      </c>
      <c r="O22" s="3">
        <f ca="1">_xlfn.XLOOKUP(View[[#This Row],[ID]],Opportunities[ID],Opportunities[NextMilestoneDate])-TODAY()</f>
        <v>49</v>
      </c>
      <c r="P22"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Q22" s="1">
        <f>_xlfn.XLOOKUP(View[[#This Row],[ID]],Opportunities[ID],Opportunities[Weighted])/1000</f>
        <v>1095.3720000000001</v>
      </c>
      <c r="R22" s="4">
        <f>_xlfn.XLOOKUP(View[[#This Row],[ID]],Opportunities[ID],Opportunities[Amount])/1000</f>
        <v>1217.08</v>
      </c>
      <c r="S22" t="b">
        <f>View[[#This Row],[Win Probability]]="High"</f>
        <v>0</v>
      </c>
      <c r="T22">
        <f>SUBTOTAL(103, View[[#This Row],[S]])</f>
        <v>1</v>
      </c>
    </row>
    <row r="23" spans="5:20" x14ac:dyDescent="0.25">
      <c r="E23" s="36" t="str">
        <f>_xlfn.XLOOKUP(View[[#This Row],[ID]],Opportunities[ID],Opportunities[status symbol])</f>
        <v>✓</v>
      </c>
      <c r="F23" s="37" t="str">
        <f>HYPERLINK(siteUrl&amp;"Lists/"&amp;oppList&amp;"/DispForm.aspx?ID="&amp;View[[#This Row],[ID]],_xlfn.XLOOKUP(View[[#This Row],[ID]],Opportunities[ID],Opportunities[OpportunityName]))</f>
        <v>Legacy System Modernization</v>
      </c>
      <c r="G23" s="49" t="str">
        <f>HYPERLINK(_xlfn.XLOOKUP(View[[#This Row],[ID]],Opportunities[ID],Opportunities[url]),_xlfn.XLOOKUP(View[[#This Row],[ID]],Opportunities[ID],Opportunities[Customer Name]))</f>
        <v>Professional Services Group</v>
      </c>
      <c r="H23" s="38" t="str">
        <f>_xlfn.XLOOKUP(View[[#This Row],[ID]],Opportunities[ID],Opportunities[DisplayStage])</f>
        <v>➁ - Nurturing</v>
      </c>
      <c r="I23" s="1">
        <f>IF(pipelineType="Unweighted",_xlfn.XLOOKUP(View[[#This Row],[ID]],Opportunities[ID],Opportunities[Amount])/1000,_xlfn.XLOOKUP(View[[#This Row],[ID]],Opportunities[ID],Opportunities[Weighted])/1000)</f>
        <v>1778.4090000000001</v>
      </c>
      <c r="J23" s="27" t="str">
        <f>_xlfn.XLOOKUP(View[[#This Row],[ID]],Opportunities[ID],Opportunities[WinProbDisplay])</f>
        <v>↙ Low</v>
      </c>
      <c r="K23" s="28">
        <f>View[[#This Row],[Estmated Revenue]]</f>
        <v>355.68180000000007</v>
      </c>
      <c r="L23" s="2">
        <f>_xlfn.XLOOKUP(View[[#This Row],[ID]],Opportunities[ID],Opportunities[Close])</f>
        <v>46099</v>
      </c>
      <c r="M23" s="24" t="str">
        <f>IF(_xlfn.XLOOKUP(View[[#This Row],[ID]],Opportunities[ID],Opportunities[Comment Log])=0,"",_xlfn.XLOOKUP(View[[#This Row],[ID]],Opportunities[ID],Opportunities[Comment Log]))</f>
        <v/>
      </c>
      <c r="N23">
        <v>38</v>
      </c>
      <c r="O23" s="3">
        <f ca="1">_xlfn.XLOOKUP(View[[#This Row],[ID]],Opportunities[ID],Opportunities[NextMilestoneDate])-TODAY()</f>
        <v>15</v>
      </c>
      <c r="P23"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Q23" s="1">
        <f>_xlfn.XLOOKUP(View[[#This Row],[ID]],Opportunities[ID],Opportunities[Weighted])/1000</f>
        <v>355.68180000000007</v>
      </c>
      <c r="R23" s="4">
        <f>_xlfn.XLOOKUP(View[[#This Row],[ID]],Opportunities[ID],Opportunities[Amount])/1000</f>
        <v>1778.4090000000001</v>
      </c>
      <c r="S23" t="b">
        <f>View[[#This Row],[Win Probability]]="High"</f>
        <v>0</v>
      </c>
      <c r="T23">
        <f>SUBTOTAL(103, View[[#This Row],[S]])</f>
        <v>1</v>
      </c>
    </row>
    <row r="24" spans="5:20" x14ac:dyDescent="0.25">
      <c r="E24" s="36" t="str">
        <f>_xlfn.XLOOKUP(View[[#This Row],[ID]],Opportunities[ID],Opportunities[status symbol])</f>
        <v>✓</v>
      </c>
      <c r="F24" s="37" t="str">
        <f>HYPERLINK(siteUrl&amp;"Lists/"&amp;oppList&amp;"/DispForm.aspx?ID="&amp;View[[#This Row],[ID]],_xlfn.XLOOKUP(View[[#This Row],[ID]],Opportunities[ID],Opportunities[OpportunityName]))</f>
        <v>Video Conferencing Solution</v>
      </c>
      <c r="G24" s="49" t="str">
        <f>HYPERLINK(_xlfn.XLOOKUP(View[[#This Row],[ID]],Opportunities[ID],Opportunities[url]),_xlfn.XLOOKUP(View[[#This Row],[ID]],Opportunities[ID],Opportunities[Customer Name]))</f>
        <v>Pharmaceutical Research</v>
      </c>
      <c r="H24" s="38" t="str">
        <f>_xlfn.XLOOKUP(View[[#This Row],[ID]],Opportunities[ID],Opportunities[DisplayStage])</f>
        <v>➃ - Negotiation</v>
      </c>
      <c r="I24" s="1">
        <f>IF(pipelineType="Unweighted",_xlfn.XLOOKUP(View[[#This Row],[ID]],Opportunities[ID],Opportunities[Amount])/1000,_xlfn.XLOOKUP(View[[#This Row],[ID]],Opportunities[ID],Opportunities[Weighted])/1000)</f>
        <v>2183.2469999999998</v>
      </c>
      <c r="J24" s="27" t="str">
        <f>_xlfn.XLOOKUP(View[[#This Row],[ID]],Opportunities[ID],Opportunities[WinProbDisplay])</f>
        <v>↙ Low</v>
      </c>
      <c r="K24" s="28">
        <f>View[[#This Row],[Estmated Revenue]]</f>
        <v>436.64940000000001</v>
      </c>
      <c r="L24" s="2">
        <f>_xlfn.XLOOKUP(View[[#This Row],[ID]],Opportunities[ID],Opportunities[Close])</f>
        <v>46100</v>
      </c>
      <c r="M24" s="24" t="str">
        <f>IF(_xlfn.XLOOKUP(View[[#This Row],[ID]],Opportunities[ID],Opportunities[Comment Log])=0,"",_xlfn.XLOOKUP(View[[#This Row],[ID]],Opportunities[ID],Opportunities[Comment Log]))</f>
        <v/>
      </c>
      <c r="N24">
        <v>26</v>
      </c>
      <c r="O24" s="3">
        <f ca="1">_xlfn.XLOOKUP(View[[#This Row],[ID]],Opportunities[ID],Opportunities[NextMilestoneDate])-TODAY()</f>
        <v>31</v>
      </c>
      <c r="P24"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Q24" s="1">
        <f>_xlfn.XLOOKUP(View[[#This Row],[ID]],Opportunities[ID],Opportunities[Weighted])/1000</f>
        <v>436.64940000000001</v>
      </c>
      <c r="R24" s="4">
        <f>_xlfn.XLOOKUP(View[[#This Row],[ID]],Opportunities[ID],Opportunities[Amount])/1000</f>
        <v>2183.2469999999998</v>
      </c>
      <c r="S24" t="b">
        <f>View[[#This Row],[Win Probability]]="High"</f>
        <v>0</v>
      </c>
      <c r="T24">
        <f>SUBTOTAL(103, View[[#This Row],[S]])</f>
        <v>1</v>
      </c>
    </row>
    <row r="25" spans="5:20" x14ac:dyDescent="0.25">
      <c r="E25" s="36" t="str">
        <f>_xlfn.XLOOKUP(View[[#This Row],[ID]],Opportunities[ID],Opportunities[status symbol])</f>
        <v>✓</v>
      </c>
      <c r="F25" s="37" t="str">
        <f>HYPERLINK(siteUrl&amp;"Lists/"&amp;oppList&amp;"/DispForm.aspx?ID="&amp;View[[#This Row],[ID]],_xlfn.XLOOKUP(View[[#This Row],[ID]],Opportunities[ID],Opportunities[OpportunityName]))</f>
        <v>Website Redesign Project</v>
      </c>
      <c r="G25" s="49" t="str">
        <f>HYPERLINK(_xlfn.XLOOKUP(View[[#This Row],[ID]],Opportunities[ID],Opportunities[url]),_xlfn.XLOOKUP(View[[#This Row],[ID]],Opportunities[ID],Opportunities[Customer Name]))</f>
        <v>Tech Solutions Inc</v>
      </c>
      <c r="H25" s="38" t="str">
        <f>_xlfn.XLOOKUP(View[[#This Row],[ID]],Opportunities[ID],Opportunities[DisplayStage])</f>
        <v>➁ - Nurturing</v>
      </c>
      <c r="I25" s="1">
        <f>IF(pipelineType="Unweighted",_xlfn.XLOOKUP(View[[#This Row],[ID]],Opportunities[ID],Opportunities[Amount])/1000,_xlfn.XLOOKUP(View[[#This Row],[ID]],Opportunities[ID],Opportunities[Weighted])/1000)</f>
        <v>1001.054</v>
      </c>
      <c r="J25" s="27" t="str">
        <f>_xlfn.XLOOKUP(View[[#This Row],[ID]],Opportunities[ID],Opportunities[WinProbDisplay])</f>
        <v>↖ High</v>
      </c>
      <c r="K25" s="28">
        <f>View[[#This Row],[Estmated Revenue]]</f>
        <v>900.94859999999994</v>
      </c>
      <c r="L25" s="2">
        <f>_xlfn.XLOOKUP(View[[#This Row],[ID]],Opportunities[ID],Opportunities[Close])</f>
        <v>46113</v>
      </c>
      <c r="M25" s="24" t="str">
        <f>IF(_xlfn.XLOOKUP(View[[#This Row],[ID]],Opportunities[ID],Opportunities[Comment Log])=0,"",_xlfn.XLOOKUP(View[[#This Row],[ID]],Opportunities[ID],Opportunities[Comment Log]))</f>
        <v/>
      </c>
      <c r="N25">
        <v>28</v>
      </c>
      <c r="O25" s="3">
        <f ca="1">_xlfn.XLOOKUP(View[[#This Row],[ID]],Opportunities[ID],Opportunities[NextMilestoneDate])-TODAY()</f>
        <v>7</v>
      </c>
      <c r="P25"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Q25" s="1">
        <f>_xlfn.XLOOKUP(View[[#This Row],[ID]],Opportunities[ID],Opportunities[Weighted])/1000</f>
        <v>900.94859999999994</v>
      </c>
      <c r="R25" s="4">
        <f>_xlfn.XLOOKUP(View[[#This Row],[ID]],Opportunities[ID],Opportunities[Amount])/1000</f>
        <v>1001.054</v>
      </c>
      <c r="S25" t="b">
        <f>View[[#This Row],[Win Probability]]="High"</f>
        <v>0</v>
      </c>
      <c r="T25">
        <f>SUBTOTAL(103, View[[#This Row],[S]])</f>
        <v>1</v>
      </c>
    </row>
    <row r="26" spans="5:20" x14ac:dyDescent="0.25">
      <c r="E26" s="36" t="str">
        <f>_xlfn.XLOOKUP(View[[#This Row],[ID]],Opportunities[ID],Opportunities[status symbol])</f>
        <v>⚠</v>
      </c>
      <c r="F26" s="37" t="str">
        <f>HYPERLINK(siteUrl&amp;"Lists/"&amp;oppList&amp;"/DispForm.aspx?ID="&amp;View[[#This Row],[ID]],_xlfn.XLOOKUP(View[[#This Row],[ID]],Opportunities[ID],Opportunities[OpportunityName]))</f>
        <v>Backup &amp; Recovery System</v>
      </c>
      <c r="G26" s="49" t="str">
        <f>HYPERLINK(_xlfn.XLOOKUP(View[[#This Row],[ID]],Opportunities[ID],Opportunities[url]),_xlfn.XLOOKUP(View[[#This Row],[ID]],Opportunities[ID],Opportunities[Customer Name]))</f>
        <v>Construction Dynamics</v>
      </c>
      <c r="H26" s="38" t="str">
        <f>_xlfn.XLOOKUP(View[[#This Row],[ID]],Opportunities[ID],Opportunities[DisplayStage])</f>
        <v>➁ - Nurturing</v>
      </c>
      <c r="I26" s="1">
        <f>IF(pipelineType="Unweighted",_xlfn.XLOOKUP(View[[#This Row],[ID]],Opportunities[ID],Opportunities[Amount])/1000,_xlfn.XLOOKUP(View[[#This Row],[ID]],Opportunities[ID],Opportunities[Weighted])/1000)</f>
        <v>993.71900000000005</v>
      </c>
      <c r="J26" s="27" t="str">
        <f>_xlfn.XLOOKUP(View[[#This Row],[ID]],Opportunities[ID],Opportunities[WinProbDisplay])</f>
        <v>← Medium</v>
      </c>
      <c r="K26" s="28">
        <f>View[[#This Row],[Estmated Revenue]]</f>
        <v>397.48760000000004</v>
      </c>
      <c r="L26" s="2">
        <f>_xlfn.XLOOKUP(View[[#This Row],[ID]],Opportunities[ID],Opportunities[Close])</f>
        <v>46118</v>
      </c>
      <c r="M26" s="24" t="str">
        <f>IF(_xlfn.XLOOKUP(View[[#This Row],[ID]],Opportunities[ID],Opportunities[Comment Log])=0,"",_xlfn.XLOOKUP(View[[#This Row],[ID]],Opportunities[ID],Opportunities[Comment Log]))</f>
        <v/>
      </c>
      <c r="N26">
        <v>27</v>
      </c>
      <c r="O26" s="3">
        <f ca="1">_xlfn.XLOOKUP(View[[#This Row],[ID]],Opportunities[ID],Opportunities[NextMilestoneDate])-TODAY()</f>
        <v>52</v>
      </c>
      <c r="P26"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Q26" s="1">
        <f>_xlfn.XLOOKUP(View[[#This Row],[ID]],Opportunities[ID],Opportunities[Weighted])/1000</f>
        <v>397.48760000000004</v>
      </c>
      <c r="R26" s="4">
        <f>_xlfn.XLOOKUP(View[[#This Row],[ID]],Opportunities[ID],Opportunities[Amount])/1000</f>
        <v>993.71900000000005</v>
      </c>
      <c r="S26" t="b">
        <f>View[[#This Row],[Win Probability]]="High"</f>
        <v>0</v>
      </c>
      <c r="T26">
        <f>SUBTOTAL(103, View[[#This Row],[S]])</f>
        <v>1</v>
      </c>
    </row>
    <row r="27" spans="5:20" x14ac:dyDescent="0.25">
      <c r="E27" s="36" t="str">
        <f>_xlfn.XLOOKUP(View[[#This Row],[ID]],Opportunities[ID],Opportunities[status symbol])</f>
        <v>⚠</v>
      </c>
      <c r="F27" s="37" t="str">
        <f>HYPERLINK(siteUrl&amp;"Lists/"&amp;oppList&amp;"/DispForm.aspx?ID="&amp;View[[#This Row],[ID]],_xlfn.XLOOKUP(View[[#This Row],[ID]],Opportunities[ID],Opportunities[OpportunityName]))</f>
        <v>Cloud Migration Initiative</v>
      </c>
      <c r="G27" s="49" t="str">
        <f>HYPERLINK(_xlfn.XLOOKUP(View[[#This Row],[ID]],Opportunities[ID],Opportunities[url]),_xlfn.XLOOKUP(View[[#This Row],[ID]],Opportunities[ID],Opportunities[Customer Name]))</f>
        <v>Food Service Partners</v>
      </c>
      <c r="H27" s="38" t="str">
        <f>_xlfn.XLOOKUP(View[[#This Row],[ID]],Opportunities[ID],Opportunities[DisplayStage])</f>
        <v>➀ - Lead Qualification</v>
      </c>
      <c r="I27" s="1">
        <f>IF(pipelineType="Unweighted",_xlfn.XLOOKUP(View[[#This Row],[ID]],Opportunities[ID],Opportunities[Amount])/1000,_xlfn.XLOOKUP(View[[#This Row],[ID]],Opportunities[ID],Opportunities[Weighted])/1000)</f>
        <v>1096.559</v>
      </c>
      <c r="J27" s="27" t="str">
        <f>_xlfn.XLOOKUP(View[[#This Row],[ID]],Opportunities[ID],Opportunities[WinProbDisplay])</f>
        <v>↖ High</v>
      </c>
      <c r="K27" s="28">
        <f>View[[#This Row],[Estmated Revenue]]</f>
        <v>986.90309999999999</v>
      </c>
      <c r="L27" s="2">
        <f>_xlfn.XLOOKUP(View[[#This Row],[ID]],Opportunities[ID],Opportunities[Close])</f>
        <v>46122</v>
      </c>
      <c r="M27" s="24" t="str">
        <f>IF(_xlfn.XLOOKUP(View[[#This Row],[ID]],Opportunities[ID],Opportunities[Comment Log])=0,"",_xlfn.XLOOKUP(View[[#This Row],[ID]],Opportunities[ID],Opportunities[Comment Log]))</f>
        <v/>
      </c>
      <c r="N27">
        <v>2</v>
      </c>
      <c r="O27" s="3">
        <f ca="1">_xlfn.XLOOKUP(View[[#This Row],[ID]],Opportunities[ID],Opportunities[NextMilestoneDate])-TODAY()</f>
        <v>50</v>
      </c>
      <c r="P27"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Q27" s="1">
        <f>_xlfn.XLOOKUP(View[[#This Row],[ID]],Opportunities[ID],Opportunities[Weighted])/1000</f>
        <v>986.90309999999999</v>
      </c>
      <c r="R27" s="4">
        <f>_xlfn.XLOOKUP(View[[#This Row],[ID]],Opportunities[ID],Opportunities[Amount])/1000</f>
        <v>1096.559</v>
      </c>
      <c r="S27" t="b">
        <f>View[[#This Row],[Win Probability]]="High"</f>
        <v>0</v>
      </c>
      <c r="T27">
        <f>SUBTOTAL(103, View[[#This Row],[S]])</f>
        <v>1</v>
      </c>
    </row>
    <row r="28" spans="5:20" x14ac:dyDescent="0.25">
      <c r="E28" s="36" t="str">
        <f>_xlfn.XLOOKUP(View[[#This Row],[ID]],Opportunities[ID],Opportunities[status symbol])</f>
        <v>✓</v>
      </c>
      <c r="F28" s="37" t="str">
        <f>HYPERLINK(siteUrl&amp;"Lists/"&amp;oppList&amp;"/DispForm.aspx?ID="&amp;View[[#This Row],[ID]],_xlfn.XLOOKUP(View[[#This Row],[ID]],Opportunities[ID],Opportunities[OpportunityName]))</f>
        <v>Supply Chain Optimization</v>
      </c>
      <c r="G28" s="49" t="str">
        <f>HYPERLINK(_xlfn.XLOOKUP(View[[#This Row],[ID]],Opportunities[ID],Opportunities[url]),_xlfn.XLOOKUP(View[[#This Row],[ID]],Opportunities[ID],Opportunities[Customer Name]))</f>
        <v>Education First</v>
      </c>
      <c r="H28" s="38" t="str">
        <f>_xlfn.XLOOKUP(View[[#This Row],[ID]],Opportunities[ID],Opportunities[DisplayStage])</f>
        <v>➂ - Proposal</v>
      </c>
      <c r="I28" s="1">
        <f>IF(pipelineType="Unweighted",_xlfn.XLOOKUP(View[[#This Row],[ID]],Opportunities[ID],Opportunities[Amount])/1000,_xlfn.XLOOKUP(View[[#This Row],[ID]],Opportunities[ID],Opportunities[Weighted])/1000)</f>
        <v>692.69600000000003</v>
      </c>
      <c r="J28" s="27" t="str">
        <f>_xlfn.XLOOKUP(View[[#This Row],[ID]],Opportunities[ID],Opportunities[WinProbDisplay])</f>
        <v>↙ Low</v>
      </c>
      <c r="K28" s="28">
        <f>View[[#This Row],[Estmated Revenue]]</f>
        <v>138.53920000000002</v>
      </c>
      <c r="L28" s="2">
        <f>_xlfn.XLOOKUP(View[[#This Row],[ID]],Opportunities[ID],Opportunities[Close])</f>
        <v>46127</v>
      </c>
      <c r="M28" s="24" t="str">
        <f>IF(_xlfn.XLOOKUP(View[[#This Row],[ID]],Opportunities[ID],Opportunities[Comment Log])=0,"",_xlfn.XLOOKUP(View[[#This Row],[ID]],Opportunities[ID],Opportunities[Comment Log]))</f>
        <v/>
      </c>
      <c r="N28">
        <v>17</v>
      </c>
      <c r="O28" s="3">
        <f ca="1">_xlfn.XLOOKUP(View[[#This Row],[ID]],Opportunities[ID],Opportunities[NextMilestoneDate])-TODAY()</f>
        <v>40</v>
      </c>
      <c r="P28"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Q28" s="1">
        <f>_xlfn.XLOOKUP(View[[#This Row],[ID]],Opportunities[ID],Opportunities[Weighted])/1000</f>
        <v>138.53920000000002</v>
      </c>
      <c r="R28" s="4">
        <f>_xlfn.XLOOKUP(View[[#This Row],[ID]],Opportunities[ID],Opportunities[Amount])/1000</f>
        <v>692.69600000000003</v>
      </c>
      <c r="S28" t="b">
        <f>View[[#This Row],[Win Probability]]="High"</f>
        <v>0</v>
      </c>
      <c r="T28">
        <f>SUBTOTAL(103, View[[#This Row],[S]])</f>
        <v>1</v>
      </c>
    </row>
    <row r="29" spans="5:20" x14ac:dyDescent="0.25">
      <c r="E29" s="36" t="str">
        <f>_xlfn.XLOOKUP(View[[#This Row],[ID]],Opportunities[ID],Opportunities[status symbol])</f>
        <v>✓</v>
      </c>
      <c r="F29" s="37" t="str">
        <f>HYPERLINK(siteUrl&amp;"Lists/"&amp;oppList&amp;"/DispForm.aspx?ID="&amp;View[[#This Row],[ID]],_xlfn.XLOOKUP(View[[#This Row],[ID]],Opportunities[ID],Opportunities[OpportunityName]))</f>
        <v>Mobile Application Development</v>
      </c>
      <c r="G29" s="49" t="str">
        <f>HYPERLINK(_xlfn.XLOOKUP(View[[#This Row],[ID]],Opportunities[ID],Opportunities[url]),_xlfn.XLOOKUP(View[[#This Row],[ID]],Opportunities[ID],Opportunities[Customer Name]))</f>
        <v>Publishing House</v>
      </c>
      <c r="H29" s="38" t="str">
        <f>_xlfn.XLOOKUP(View[[#This Row],[ID]],Opportunities[ID],Opportunities[DisplayStage])</f>
        <v>➀ - Lead Qualification</v>
      </c>
      <c r="I29" s="1">
        <f>IF(pipelineType="Unweighted",_xlfn.XLOOKUP(View[[#This Row],[ID]],Opportunities[ID],Opportunities[Amount])/1000,_xlfn.XLOOKUP(View[[#This Row],[ID]],Opportunities[ID],Opportunities[Weighted])/1000)</f>
        <v>1461.9259999999999</v>
      </c>
      <c r="J29" s="27" t="str">
        <f>_xlfn.XLOOKUP(View[[#This Row],[ID]],Opportunities[ID],Opportunities[WinProbDisplay])</f>
        <v>↖ High</v>
      </c>
      <c r="K29" s="28">
        <f>View[[#This Row],[Estmated Revenue]]</f>
        <v>1315.7334000000001</v>
      </c>
      <c r="L29" s="2">
        <f>_xlfn.XLOOKUP(View[[#This Row],[ID]],Opportunities[ID],Opportunities[Close])</f>
        <v>46139</v>
      </c>
      <c r="M29" s="24" t="str">
        <f>IF(_xlfn.XLOOKUP(View[[#This Row],[ID]],Opportunities[ID],Opportunities[Comment Log])=0,"",_xlfn.XLOOKUP(View[[#This Row],[ID]],Opportunities[ID],Opportunities[Comment Log]))</f>
        <v/>
      </c>
      <c r="N29">
        <v>10</v>
      </c>
      <c r="O29" s="3">
        <f ca="1">_xlfn.XLOOKUP(View[[#This Row],[ID]],Opportunities[ID],Opportunities[NextMilestoneDate])-TODAY()</f>
        <v>6</v>
      </c>
      <c r="P29"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Q29" s="1">
        <f>_xlfn.XLOOKUP(View[[#This Row],[ID]],Opportunities[ID],Opportunities[Weighted])/1000</f>
        <v>1315.7334000000001</v>
      </c>
      <c r="R29" s="4">
        <f>_xlfn.XLOOKUP(View[[#This Row],[ID]],Opportunities[ID],Opportunities[Amount])/1000</f>
        <v>1461.9259999999999</v>
      </c>
      <c r="S29" t="b">
        <f>View[[#This Row],[Win Probability]]="High"</f>
        <v>0</v>
      </c>
      <c r="T29">
        <f>SUBTOTAL(103, View[[#This Row],[S]])</f>
        <v>1</v>
      </c>
    </row>
    <row r="30" spans="5:20" x14ac:dyDescent="0.25">
      <c r="E30" s="36" t="str">
        <f>_xlfn.XLOOKUP(View[[#This Row],[ID]],Opportunities[ID],Opportunities[status symbol])</f>
        <v>✓</v>
      </c>
      <c r="F30" s="37" t="str">
        <f>HYPERLINK(siteUrl&amp;"Lists/"&amp;oppList&amp;"/DispForm.aspx?ID="&amp;View[[#This Row],[ID]],_xlfn.XLOOKUP(View[[#This Row],[ID]],Opportunities[ID],Opportunities[OpportunityName]))</f>
        <v>API Development Project</v>
      </c>
      <c r="G30" s="49" t="str">
        <f>HYPERLINK(_xlfn.XLOOKUP(View[[#This Row],[ID]],Opportunities[ID],Opportunities[url]),_xlfn.XLOOKUP(View[[#This Row],[ID]],Opportunities[ID],Opportunities[Customer Name]))</f>
        <v>Tech Solutions Inc</v>
      </c>
      <c r="H30" s="38" t="str">
        <f>_xlfn.XLOOKUP(View[[#This Row],[ID]],Opportunities[ID],Opportunities[DisplayStage])</f>
        <v>➃ - Negotiation</v>
      </c>
      <c r="I30" s="1">
        <f>IF(pipelineType="Unweighted",_xlfn.XLOOKUP(View[[#This Row],[ID]],Opportunities[ID],Opportunities[Amount])/1000,_xlfn.XLOOKUP(View[[#This Row],[ID]],Opportunities[ID],Opportunities[Weighted])/1000)</f>
        <v>1366.1969999999999</v>
      </c>
      <c r="J30" s="27" t="str">
        <f>_xlfn.XLOOKUP(View[[#This Row],[ID]],Opportunities[ID],Opportunities[WinProbDisplay])</f>
        <v>← Medium</v>
      </c>
      <c r="K30" s="28">
        <f>View[[#This Row],[Estmated Revenue]]</f>
        <v>546.47880000000009</v>
      </c>
      <c r="L30" s="2">
        <f>_xlfn.XLOOKUP(View[[#This Row],[ID]],Opportunities[ID],Opportunities[Close])</f>
        <v>46153</v>
      </c>
      <c r="M30" s="24" t="str">
        <f>IF(_xlfn.XLOOKUP(View[[#This Row],[ID]],Opportunities[ID],Opportunities[Comment Log])=0,"",_xlfn.XLOOKUP(View[[#This Row],[ID]],Opportunities[ID],Opportunities[Comment Log]))</f>
        <v/>
      </c>
      <c r="N30">
        <v>39</v>
      </c>
      <c r="O30" s="3">
        <f ca="1">_xlfn.XLOOKUP(View[[#This Row],[ID]],Opportunities[ID],Opportunities[NextMilestoneDate])-TODAY()</f>
        <v>5</v>
      </c>
      <c r="P30"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Q30" s="1">
        <f>_xlfn.XLOOKUP(View[[#This Row],[ID]],Opportunities[ID],Opportunities[Weighted])/1000</f>
        <v>546.47880000000009</v>
      </c>
      <c r="R30" s="4">
        <f>_xlfn.XLOOKUP(View[[#This Row],[ID]],Opportunities[ID],Opportunities[Amount])/1000</f>
        <v>1366.1969999999999</v>
      </c>
      <c r="S30" t="b">
        <f>View[[#This Row],[Win Probability]]="High"</f>
        <v>0</v>
      </c>
      <c r="T30">
        <f>SUBTOTAL(103, View[[#This Row],[S]])</f>
        <v>1</v>
      </c>
    </row>
    <row r="31" spans="5:20" x14ac:dyDescent="0.25">
      <c r="E31" s="36" t="str">
        <f>_xlfn.XLOOKUP(View[[#This Row],[ID]],Opportunities[ID],Opportunities[status symbol])</f>
        <v>✓</v>
      </c>
      <c r="F31" s="37" t="str">
        <f>HYPERLINK(siteUrl&amp;"Lists/"&amp;oppList&amp;"/DispForm.aspx?ID="&amp;View[[#This Row],[ID]],_xlfn.XLOOKUP(View[[#This Row],[ID]],Opportunities[ID],Opportunities[OpportunityName]))</f>
        <v>Marketing Automation Platform</v>
      </c>
      <c r="G31" s="49" t="str">
        <f>HYPERLINK(_xlfn.XLOOKUP(View[[#This Row],[ID]],Opportunities[ID],Opportunities[url]),_xlfn.XLOOKUP(View[[#This Row],[ID]],Opportunities[ID],Opportunities[Customer Name]))</f>
        <v>Environmental Services</v>
      </c>
      <c r="H31" s="38" t="str">
        <f>_xlfn.XLOOKUP(View[[#This Row],[ID]],Opportunities[ID],Opportunities[DisplayStage])</f>
        <v>➅ - Closeout</v>
      </c>
      <c r="I31" s="1">
        <f>IF(pipelineType="Unweighted",_xlfn.XLOOKUP(View[[#This Row],[ID]],Opportunities[ID],Opportunities[Amount])/1000,_xlfn.XLOOKUP(View[[#This Row],[ID]],Opportunities[ID],Opportunities[Weighted])/1000)</f>
        <v>1164.8589999999999</v>
      </c>
      <c r="J31" s="27" t="str">
        <f>_xlfn.XLOOKUP(View[[#This Row],[ID]],Opportunities[ID],Opportunities[WinProbDisplay])</f>
        <v>← Medium</v>
      </c>
      <c r="K31" s="28">
        <f>View[[#This Row],[Estmated Revenue]]</f>
        <v>465.94360000000006</v>
      </c>
      <c r="L31" s="2">
        <f>_xlfn.XLOOKUP(View[[#This Row],[ID]],Opportunities[ID],Opportunities[Close])</f>
        <v>46155</v>
      </c>
      <c r="M31" s="24" t="str">
        <f>IF(_xlfn.XLOOKUP(View[[#This Row],[ID]],Opportunities[ID],Opportunities[Comment Log])=0,"",_xlfn.XLOOKUP(View[[#This Row],[ID]],Opportunities[ID],Opportunities[Comment Log]))</f>
        <v/>
      </c>
      <c r="N31">
        <v>20</v>
      </c>
      <c r="O31" s="3">
        <f ca="1">_xlfn.XLOOKUP(View[[#This Row],[ID]],Opportunities[ID],Opportunities[NextMilestoneDate])-TODAY()</f>
        <v>20</v>
      </c>
      <c r="P31"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Q31" s="1">
        <f>_xlfn.XLOOKUP(View[[#This Row],[ID]],Opportunities[ID],Opportunities[Weighted])/1000</f>
        <v>465.94360000000006</v>
      </c>
      <c r="R31" s="4">
        <f>_xlfn.XLOOKUP(View[[#This Row],[ID]],Opportunities[ID],Opportunities[Amount])/1000</f>
        <v>1164.8589999999999</v>
      </c>
      <c r="S31" t="b">
        <f>View[[#This Row],[Win Probability]]="High"</f>
        <v>0</v>
      </c>
      <c r="T31">
        <f>SUBTOTAL(103, View[[#This Row],[S]])</f>
        <v>1</v>
      </c>
    </row>
    <row r="32" spans="5:20" x14ac:dyDescent="0.25">
      <c r="E32" s="36" t="str">
        <f>_xlfn.XLOOKUP(View[[#This Row],[ID]],Opportunities[ID],Opportunities[status symbol])</f>
        <v>⚠</v>
      </c>
      <c r="F32" s="37" t="str">
        <f>HYPERLINK(siteUrl&amp;"Lists/"&amp;oppList&amp;"/DispForm.aspx?ID="&amp;View[[#This Row],[ID]],_xlfn.XLOOKUP(View[[#This Row],[ID]],Opportunities[ID],Opportunities[OpportunityName]))</f>
        <v>Security Assessment &amp; Audit</v>
      </c>
      <c r="G32" s="49" t="str">
        <f>HYPERLINK(_xlfn.XLOOKUP(View[[#This Row],[ID]],Opportunities[ID],Opportunities[url]),_xlfn.XLOOKUP(View[[#This Row],[ID]],Opportunities[ID],Opportunities[Customer Name]))</f>
        <v>Telecommunications Inc</v>
      </c>
      <c r="H32" s="38" t="str">
        <f>_xlfn.XLOOKUP(View[[#This Row],[ID]],Opportunities[ID],Opportunities[DisplayStage])</f>
        <v>➁ - Nurturing</v>
      </c>
      <c r="I32" s="1">
        <f>IF(pipelineType="Unweighted",_xlfn.XLOOKUP(View[[#This Row],[ID]],Opportunities[ID],Opportunities[Amount])/1000,_xlfn.XLOOKUP(View[[#This Row],[ID]],Opportunities[ID],Opportunities[Weighted])/1000)</f>
        <v>1433.298</v>
      </c>
      <c r="J32" s="27" t="str">
        <f>_xlfn.XLOOKUP(View[[#This Row],[ID]],Opportunities[ID],Opportunities[WinProbDisplay])</f>
        <v>↙ Low</v>
      </c>
      <c r="K32" s="28">
        <f>View[[#This Row],[Estmated Revenue]]</f>
        <v>286.65960000000001</v>
      </c>
      <c r="L32" s="2">
        <f>_xlfn.XLOOKUP(View[[#This Row],[ID]],Opportunities[ID],Opportunities[Close])</f>
        <v>46171</v>
      </c>
      <c r="M32" s="24" t="str">
        <f>IF(_xlfn.XLOOKUP(View[[#This Row],[ID]],Opportunities[ID],Opportunities[Comment Log])=0,"",_xlfn.XLOOKUP(View[[#This Row],[ID]],Opportunities[ID],Opportunities[Comment Log]))</f>
        <v/>
      </c>
      <c r="N32">
        <v>3</v>
      </c>
      <c r="O32" s="3">
        <f ca="1">_xlfn.XLOOKUP(View[[#This Row],[ID]],Opportunities[ID],Opportunities[NextMilestoneDate])-TODAY()</f>
        <v>49</v>
      </c>
      <c r="P32"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Q32" s="1">
        <f>_xlfn.XLOOKUP(View[[#This Row],[ID]],Opportunities[ID],Opportunities[Weighted])/1000</f>
        <v>286.65960000000001</v>
      </c>
      <c r="R32" s="4">
        <f>_xlfn.XLOOKUP(View[[#This Row],[ID]],Opportunities[ID],Opportunities[Amount])/1000</f>
        <v>1433.298</v>
      </c>
      <c r="S32" t="b">
        <f>View[[#This Row],[Win Probability]]="High"</f>
        <v>0</v>
      </c>
      <c r="T32">
        <f>SUBTOTAL(103, View[[#This Row],[S]])</f>
        <v>1</v>
      </c>
    </row>
    <row r="33" spans="5:20" x14ac:dyDescent="0.25">
      <c r="E33" s="36" t="str">
        <f>_xlfn.XLOOKUP(View[[#This Row],[ID]],Opportunities[ID],Opportunities[status symbol])</f>
        <v>✓</v>
      </c>
      <c r="F33" s="37" t="str">
        <f>HYPERLINK(siteUrl&amp;"Lists/"&amp;oppList&amp;"/DispForm.aspx?ID="&amp;View[[#This Row],[ID]],_xlfn.XLOOKUP(View[[#This Row],[ID]],Opportunities[ID],Opportunities[OpportunityName]))</f>
        <v>Safety Management System</v>
      </c>
      <c r="G33" s="49" t="str">
        <f>HYPERLINK(_xlfn.XLOOKUP(View[[#This Row],[ID]],Opportunities[ID],Opportunities[url]),_xlfn.XLOOKUP(View[[#This Row],[ID]],Opportunities[ID],Opportunities[Customer Name]))</f>
        <v>Insurance Specialists</v>
      </c>
      <c r="H33" s="38" t="str">
        <f>_xlfn.XLOOKUP(View[[#This Row],[ID]],Opportunities[ID],Opportunities[DisplayStage])</f>
        <v>➂ - Proposal</v>
      </c>
      <c r="I33" s="1">
        <f>IF(pipelineType="Unweighted",_xlfn.XLOOKUP(View[[#This Row],[ID]],Opportunities[ID],Opportunities[Amount])/1000,_xlfn.XLOOKUP(View[[#This Row],[ID]],Opportunities[ID],Opportunities[Weighted])/1000)</f>
        <v>927.08</v>
      </c>
      <c r="J33" s="27" t="str">
        <f>_xlfn.XLOOKUP(View[[#This Row],[ID]],Opportunities[ID],Opportunities[WinProbDisplay])</f>
        <v>← Medium</v>
      </c>
      <c r="K33" s="28">
        <f>View[[#This Row],[Estmated Revenue]]</f>
        <v>370.83199999999999</v>
      </c>
      <c r="L33" s="2">
        <f>_xlfn.XLOOKUP(View[[#This Row],[ID]],Opportunities[ID],Opportunities[Close])</f>
        <v>46181</v>
      </c>
      <c r="M33" s="24" t="str">
        <f>IF(_xlfn.XLOOKUP(View[[#This Row],[ID]],Opportunities[ID],Opportunities[Comment Log])=0,"",_xlfn.XLOOKUP(View[[#This Row],[ID]],Opportunities[ID],Opportunities[Comment Log]))</f>
        <v/>
      </c>
      <c r="N33">
        <v>33</v>
      </c>
      <c r="O33" s="3">
        <f ca="1">_xlfn.XLOOKUP(View[[#This Row],[ID]],Opportunities[ID],Opportunities[NextMilestoneDate])-TODAY()</f>
        <v>49</v>
      </c>
      <c r="P33"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Q33" s="1">
        <f>_xlfn.XLOOKUP(View[[#This Row],[ID]],Opportunities[ID],Opportunities[Weighted])/1000</f>
        <v>370.83199999999999</v>
      </c>
      <c r="R33" s="4">
        <f>_xlfn.XLOOKUP(View[[#This Row],[ID]],Opportunities[ID],Opportunities[Amount])/1000</f>
        <v>927.08</v>
      </c>
      <c r="S33" t="b">
        <f>View[[#This Row],[Win Probability]]="High"</f>
        <v>0</v>
      </c>
      <c r="T33">
        <f>SUBTOTAL(103, View[[#This Row],[S]])</f>
        <v>1</v>
      </c>
    </row>
    <row r="34" spans="5:20" x14ac:dyDescent="0.25">
      <c r="E34" s="36" t="str">
        <f>_xlfn.XLOOKUP(View[[#This Row],[ID]],Opportunities[ID],Opportunities[status symbol])</f>
        <v>✓</v>
      </c>
      <c r="F34" s="37" t="str">
        <f>HYPERLINK(siteUrl&amp;"Lists/"&amp;oppList&amp;"/DispForm.aspx?ID="&amp;View[[#This Row],[ID]],_xlfn.XLOOKUP(View[[#This Row],[ID]],Opportunities[ID],Opportunities[OpportunityName]))</f>
        <v>HR Management System</v>
      </c>
      <c r="G34" s="49" t="str">
        <f>HYPERLINK(_xlfn.XLOOKUP(View[[#This Row],[ID]],Opportunities[ID],Opportunities[url]),_xlfn.XLOOKUP(View[[#This Row],[ID]],Opportunities[ID],Opportunities[Customer Name]))</f>
        <v>Hotel Management Group</v>
      </c>
      <c r="H34" s="38" t="str">
        <f>_xlfn.XLOOKUP(View[[#This Row],[ID]],Opportunities[ID],Opportunities[DisplayStage])</f>
        <v>➅ - Closeout</v>
      </c>
      <c r="I34" s="1">
        <f>IF(pipelineType="Unweighted",_xlfn.XLOOKUP(View[[#This Row],[ID]],Opportunities[ID],Opportunities[Amount])/1000,_xlfn.XLOOKUP(View[[#This Row],[ID]],Opportunities[ID],Opportunities[Weighted])/1000)</f>
        <v>1248.7470000000001</v>
      </c>
      <c r="J34" s="27" t="str">
        <f>_xlfn.XLOOKUP(View[[#This Row],[ID]],Opportunities[ID],Opportunities[WinProbDisplay])</f>
        <v>↖ High</v>
      </c>
      <c r="K34" s="28">
        <f>View[[#This Row],[Estmated Revenue]]</f>
        <v>1123.8723</v>
      </c>
      <c r="L34" s="2">
        <f>_xlfn.XLOOKUP(View[[#This Row],[ID]],Opportunities[ID],Opportunities[Close])</f>
        <v>46197</v>
      </c>
      <c r="M34" s="24" t="str">
        <f>IF(_xlfn.XLOOKUP(View[[#This Row],[ID]],Opportunities[ID],Opportunities[Comment Log])=0,"",_xlfn.XLOOKUP(View[[#This Row],[ID]],Opportunities[ID],Opportunities[Comment Log]))</f>
        <v/>
      </c>
      <c r="N34">
        <v>19</v>
      </c>
      <c r="O34" s="3">
        <f ca="1">_xlfn.XLOOKUP(View[[#This Row],[ID]],Opportunities[ID],Opportunities[NextMilestoneDate])-TODAY()</f>
        <v>8</v>
      </c>
      <c r="P34"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Q34" s="1">
        <f>_xlfn.XLOOKUP(View[[#This Row],[ID]],Opportunities[ID],Opportunities[Weighted])/1000</f>
        <v>1123.8723</v>
      </c>
      <c r="R34" s="4">
        <f>_xlfn.XLOOKUP(View[[#This Row],[ID]],Opportunities[ID],Opportunities[Amount])/1000</f>
        <v>1248.7470000000001</v>
      </c>
      <c r="S34" t="b">
        <f>View[[#This Row],[Win Probability]]="High"</f>
        <v>0</v>
      </c>
      <c r="T34">
        <f>SUBTOTAL(103, View[[#This Row],[S]])</f>
        <v>1</v>
      </c>
    </row>
    <row r="35" spans="5:20" x14ac:dyDescent="0.25">
      <c r="E35" s="36" t="str">
        <f>_xlfn.XLOOKUP(View[[#This Row],[ID]],Opportunities[ID],Opportunities[status symbol])</f>
        <v>✓</v>
      </c>
      <c r="F35" s="37" t="str">
        <f>HYPERLINK(siteUrl&amp;"Lists/"&amp;oppList&amp;"/DispForm.aspx?ID="&amp;View[[#This Row],[ID]],_xlfn.XLOOKUP(View[[#This Row],[ID]],Opportunities[ID],Opportunities[OpportunityName]))</f>
        <v>Manufacturing Automation System</v>
      </c>
      <c r="G35" s="49" t="str">
        <f>HYPERLINK(_xlfn.XLOOKUP(View[[#This Row],[ID]],Opportunities[ID],Opportunities[url]),_xlfn.XLOOKUP(View[[#This Row],[ID]],Opportunities[ID],Opportunities[Customer Name]))</f>
        <v>Security Solutions</v>
      </c>
      <c r="H35" s="38" t="str">
        <f>_xlfn.XLOOKUP(View[[#This Row],[ID]],Opportunities[ID],Opportunities[DisplayStage])</f>
        <v>➂ - Proposal</v>
      </c>
      <c r="I35" s="1">
        <f>IF(pipelineType="Unweighted",_xlfn.XLOOKUP(View[[#This Row],[ID]],Opportunities[ID],Opportunities[Amount])/1000,_xlfn.XLOOKUP(View[[#This Row],[ID]],Opportunities[ID],Opportunities[Weighted])/1000)</f>
        <v>649.70100000000002</v>
      </c>
      <c r="J35" s="27" t="str">
        <f>_xlfn.XLOOKUP(View[[#This Row],[ID]],Opportunities[ID],Opportunities[WinProbDisplay])</f>
        <v>↙ Low</v>
      </c>
      <c r="K35" s="28">
        <f>View[[#This Row],[Estmated Revenue]]</f>
        <v>129.9402</v>
      </c>
      <c r="L35" s="2">
        <f>_xlfn.XLOOKUP(View[[#This Row],[ID]],Opportunities[ID],Opportunities[Close])</f>
        <v>46197</v>
      </c>
      <c r="M35" s="24" t="str">
        <f>IF(_xlfn.XLOOKUP(View[[#This Row],[ID]],Opportunities[ID],Opportunities[Comment Log])=0,"",_xlfn.XLOOKUP(View[[#This Row],[ID]],Opportunities[ID],Opportunities[Comment Log]))</f>
        <v/>
      </c>
      <c r="N35">
        <v>4</v>
      </c>
      <c r="O35" s="3">
        <f ca="1">_xlfn.XLOOKUP(View[[#This Row],[ID]],Opportunities[ID],Opportunities[NextMilestoneDate])-TODAY()</f>
        <v>13</v>
      </c>
      <c r="P35"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Q35" s="1">
        <f>_xlfn.XLOOKUP(View[[#This Row],[ID]],Opportunities[ID],Opportunities[Weighted])/1000</f>
        <v>129.9402</v>
      </c>
      <c r="R35" s="4">
        <f>_xlfn.XLOOKUP(View[[#This Row],[ID]],Opportunities[ID],Opportunities[Amount])/1000</f>
        <v>649.70100000000002</v>
      </c>
      <c r="S35" t="b">
        <f>View[[#This Row],[Win Probability]]="High"</f>
        <v>0</v>
      </c>
      <c r="T35">
        <f>SUBTOTAL(103, View[[#This Row],[S]])</f>
        <v>1</v>
      </c>
    </row>
    <row r="36" spans="5:20" x14ac:dyDescent="0.25">
      <c r="E36" s="36" t="str">
        <f>_xlfn.XLOOKUP(View[[#This Row],[ID]],Opportunities[ID],Opportunities[status symbol])</f>
        <v>✓</v>
      </c>
      <c r="F36" s="37" t="str">
        <f>HYPERLINK(siteUrl&amp;"Lists/"&amp;oppList&amp;"/DispForm.aspx?ID="&amp;View[[#This Row],[ID]],_xlfn.XLOOKUP(View[[#This Row],[ID]],Opportunities[ID],Opportunities[OpportunityName]))</f>
        <v>Data Center Consolidation</v>
      </c>
      <c r="G36" s="49" t="str">
        <f>HYPERLINK(_xlfn.XLOOKUP(View[[#This Row],[ID]],Opportunities[ID],Opportunities[url]),_xlfn.XLOOKUP(View[[#This Row],[ID]],Opportunities[ID],Opportunities[Customer Name]))</f>
        <v>Transport Logistics</v>
      </c>
      <c r="H36" s="38" t="str">
        <f>_xlfn.XLOOKUP(View[[#This Row],[ID]],Opportunities[ID],Opportunities[DisplayStage])</f>
        <v>➃ - Negotiation</v>
      </c>
      <c r="I36" s="1">
        <f>IF(pipelineType="Unweighted",_xlfn.XLOOKUP(View[[#This Row],[ID]],Opportunities[ID],Opportunities[Amount])/1000,_xlfn.XLOOKUP(View[[#This Row],[ID]],Opportunities[ID],Opportunities[Weighted])/1000)</f>
        <v>1315.15</v>
      </c>
      <c r="J36" s="27" t="str">
        <f>_xlfn.XLOOKUP(View[[#This Row],[ID]],Opportunities[ID],Opportunities[WinProbDisplay])</f>
        <v>↙ Low</v>
      </c>
      <c r="K36" s="28">
        <f>View[[#This Row],[Estmated Revenue]]</f>
        <v>263.02999999999997</v>
      </c>
      <c r="L36" s="2">
        <f>_xlfn.XLOOKUP(View[[#This Row],[ID]],Opportunities[ID],Opportunities[Close])</f>
        <v>46204</v>
      </c>
      <c r="M36" s="24" t="str">
        <f>IF(_xlfn.XLOOKUP(View[[#This Row],[ID]],Opportunities[ID],Opportunities[Comment Log])=0,"",_xlfn.XLOOKUP(View[[#This Row],[ID]],Opportunities[ID],Opportunities[Comment Log]))</f>
        <v/>
      </c>
      <c r="N36">
        <v>11</v>
      </c>
      <c r="O36" s="3">
        <f ca="1">_xlfn.XLOOKUP(View[[#This Row],[ID]],Opportunities[ID],Opportunities[NextMilestoneDate])-TODAY()</f>
        <v>44</v>
      </c>
      <c r="P36"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Q36" s="1">
        <f>_xlfn.XLOOKUP(View[[#This Row],[ID]],Opportunities[ID],Opportunities[Weighted])/1000</f>
        <v>263.02999999999997</v>
      </c>
      <c r="R36" s="4">
        <f>_xlfn.XLOOKUP(View[[#This Row],[ID]],Opportunities[ID],Opportunities[Amount])/1000</f>
        <v>1315.15</v>
      </c>
      <c r="S36" t="b">
        <f>View[[#This Row],[Win Probability]]="High"</f>
        <v>0</v>
      </c>
      <c r="T36">
        <f>SUBTOTAL(103, View[[#This Row],[S]])</f>
        <v>1</v>
      </c>
    </row>
    <row r="37" spans="5:20" x14ac:dyDescent="0.25">
      <c r="E37" s="36" t="str">
        <f>_xlfn.XLOOKUP(View[[#This Row],[ID]],Opportunities[ID],Opportunities[status symbol])</f>
        <v>✓</v>
      </c>
      <c r="F37" s="37" t="str">
        <f>HYPERLINK(siteUrl&amp;"Lists/"&amp;oppList&amp;"/DispForm.aspx?ID="&amp;View[[#This Row],[ID]],_xlfn.XLOOKUP(View[[#This Row],[ID]],Opportunities[ID],Opportunities[OpportunityName]))</f>
        <v>Environmental Monitoring Solution</v>
      </c>
      <c r="G37" s="49" t="str">
        <f>HYPERLINK(_xlfn.XLOOKUP(View[[#This Row],[ID]],Opportunities[ID],Opportunities[url]),_xlfn.XLOOKUP(View[[#This Row],[ID]],Opportunities[ID],Opportunities[Customer Name]))</f>
        <v>Media Communications</v>
      </c>
      <c r="H37" s="38" t="str">
        <f>_xlfn.XLOOKUP(View[[#This Row],[ID]],Opportunities[ID],Opportunities[DisplayStage])</f>
        <v>➄ - Project Execution</v>
      </c>
      <c r="I37" s="1">
        <f>IF(pipelineType="Unweighted",_xlfn.XLOOKUP(View[[#This Row],[ID]],Opportunities[ID],Opportunities[Amount])/1000,_xlfn.XLOOKUP(View[[#This Row],[ID]],Opportunities[ID],Opportunities[Weighted])/1000)</f>
        <v>1850.0709999999999</v>
      </c>
      <c r="J37" s="27" t="str">
        <f>_xlfn.XLOOKUP(View[[#This Row],[ID]],Opportunities[ID],Opportunities[WinProbDisplay])</f>
        <v>← Medium</v>
      </c>
      <c r="K37" s="28">
        <f>View[[#This Row],[Estmated Revenue]]</f>
        <v>740.02840000000003</v>
      </c>
      <c r="L37" s="2">
        <f>_xlfn.XLOOKUP(View[[#This Row],[ID]],Opportunities[ID],Opportunities[Close])</f>
        <v>46211</v>
      </c>
      <c r="M37" s="24" t="str">
        <f>IF(_xlfn.XLOOKUP(View[[#This Row],[ID]],Opportunities[ID],Opportunities[Comment Log])=0,"",_xlfn.XLOOKUP(View[[#This Row],[ID]],Opportunities[ID],Opportunities[Comment Log]))</f>
        <v/>
      </c>
      <c r="N37">
        <v>32</v>
      </c>
      <c r="O37" s="3">
        <f ca="1">_xlfn.XLOOKUP(View[[#This Row],[ID]],Opportunities[ID],Opportunities[NextMilestoneDate])-TODAY()</f>
        <v>11</v>
      </c>
      <c r="P37"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Q37" s="1">
        <f>_xlfn.XLOOKUP(View[[#This Row],[ID]],Opportunities[ID],Opportunities[Weighted])/1000</f>
        <v>740.02840000000003</v>
      </c>
      <c r="R37" s="4">
        <f>_xlfn.XLOOKUP(View[[#This Row],[ID]],Opportunities[ID],Opportunities[Amount])/1000</f>
        <v>1850.0709999999999</v>
      </c>
      <c r="S37" t="b">
        <f>View[[#This Row],[Win Probability]]="High"</f>
        <v>0</v>
      </c>
      <c r="T37">
        <f>SUBTOTAL(103, View[[#This Row],[S]])</f>
        <v>1</v>
      </c>
    </row>
    <row r="38" spans="5:20" x14ac:dyDescent="0.25">
      <c r="E38" s="36" t="str">
        <f>_xlfn.XLOOKUP(View[[#This Row],[ID]],Opportunities[ID],Opportunities[status symbol])</f>
        <v>⚠</v>
      </c>
      <c r="F38" s="37" t="str">
        <f>HYPERLINK(siteUrl&amp;"Lists/"&amp;oppList&amp;"/DispForm.aspx?ID="&amp;View[[#This Row],[ID]],_xlfn.XLOOKUP(View[[#This Row],[ID]],Opportunities[ID],Opportunities[OpportunityName]))</f>
        <v>Fleet Management System</v>
      </c>
      <c r="G38" s="49" t="str">
        <f>HYPERLINK(_xlfn.XLOOKUP(View[[#This Row],[ID]],Opportunities[ID],Opportunities[url]),_xlfn.XLOOKUP(View[[#This Row],[ID]],Opportunities[ID],Opportunities[Customer Name]))</f>
        <v>Professional Services Group</v>
      </c>
      <c r="H38" s="38" t="str">
        <f>_xlfn.XLOOKUP(View[[#This Row],[ID]],Opportunities[ID],Opportunities[DisplayStage])</f>
        <v>➅ - Closeout</v>
      </c>
      <c r="I38" s="1">
        <f>IF(pipelineType="Unweighted",_xlfn.XLOOKUP(View[[#This Row],[ID]],Opportunities[ID],Opportunities[Amount])/1000,_xlfn.XLOOKUP(View[[#This Row],[ID]],Opportunities[ID],Opportunities[Weighted])/1000)</f>
        <v>1181.1890000000001</v>
      </c>
      <c r="J38" s="27" t="str">
        <f>_xlfn.XLOOKUP(View[[#This Row],[ID]],Opportunities[ID],Opportunities[WinProbDisplay])</f>
        <v>← Medium</v>
      </c>
      <c r="K38" s="28">
        <f>View[[#This Row],[Estmated Revenue]]</f>
        <v>472.47560000000004</v>
      </c>
      <c r="L38" s="2">
        <f>_xlfn.XLOOKUP(View[[#This Row],[ID]],Opportunities[ID],Opportunities[Close])</f>
        <v>46255</v>
      </c>
      <c r="M38" s="24" t="str">
        <f>IF(_xlfn.XLOOKUP(View[[#This Row],[ID]],Opportunities[ID],Opportunities[Comment Log])=0,"",_xlfn.XLOOKUP(View[[#This Row],[ID]],Opportunities[ID],Opportunities[Comment Log]))</f>
        <v/>
      </c>
      <c r="N38">
        <v>31</v>
      </c>
      <c r="O38" s="3">
        <f ca="1">_xlfn.XLOOKUP(View[[#This Row],[ID]],Opportunities[ID],Opportunities[NextMilestoneDate])-TODAY()</f>
        <v>58</v>
      </c>
      <c r="P38"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Q38" s="1">
        <f>_xlfn.XLOOKUP(View[[#This Row],[ID]],Opportunities[ID],Opportunities[Weighted])/1000</f>
        <v>472.47560000000004</v>
      </c>
      <c r="R38" s="4">
        <f>_xlfn.XLOOKUP(View[[#This Row],[ID]],Opportunities[ID],Opportunities[Amount])/1000</f>
        <v>1181.1890000000001</v>
      </c>
      <c r="S38" t="b">
        <f>View[[#This Row],[Win Probability]]="High"</f>
        <v>0</v>
      </c>
      <c r="T38">
        <f>SUBTOTAL(103, View[[#This Row],[S]])</f>
        <v>1</v>
      </c>
    </row>
    <row r="39" spans="5:20" x14ac:dyDescent="0.25">
      <c r="E39" s="36" t="str">
        <f>_xlfn.XLOOKUP(View[[#This Row],[ID]],Opportunities[ID],Opportunities[status symbol])</f>
        <v>⚠</v>
      </c>
      <c r="F39" s="37" t="str">
        <f>HYPERLINK(siteUrl&amp;"Lists/"&amp;oppList&amp;"/DispForm.aspx?ID="&amp;View[[#This Row],[ID]],_xlfn.XLOOKUP(View[[#This Row],[ID]],Opportunities[ID],Opportunities[OpportunityName]))</f>
        <v>ERP Implementation Project</v>
      </c>
      <c r="G39" s="49" t="str">
        <f>HYPERLINK(_xlfn.XLOOKUP(View[[#This Row],[ID]],Opportunities[ID],Opportunities[url]),_xlfn.XLOOKUP(View[[#This Row],[ID]],Opportunities[ID],Opportunities[Customer Name]))</f>
        <v>ACME Corporation</v>
      </c>
      <c r="H39" s="38" t="str">
        <f>_xlfn.XLOOKUP(View[[#This Row],[ID]],Opportunities[ID],Opportunities[DisplayStage])</f>
        <v>➀ - Lead Qualification</v>
      </c>
      <c r="I39" s="1">
        <f>IF(pipelineType="Unweighted",_xlfn.XLOOKUP(View[[#This Row],[ID]],Opportunities[ID],Opportunities[Amount])/1000,_xlfn.XLOOKUP(View[[#This Row],[ID]],Opportunities[ID],Opportunities[Weighted])/1000)</f>
        <v>908.38</v>
      </c>
      <c r="J39" s="27" t="str">
        <f>_xlfn.XLOOKUP(View[[#This Row],[ID]],Opportunities[ID],Opportunities[WinProbDisplay])</f>
        <v>↙ Low</v>
      </c>
      <c r="K39" s="28">
        <f>View[[#This Row],[Estmated Revenue]]</f>
        <v>181.67599999999999</v>
      </c>
      <c r="L39" s="2">
        <f>_xlfn.XLOOKUP(View[[#This Row],[ID]],Opportunities[ID],Opportunities[Close])</f>
        <v>46261</v>
      </c>
      <c r="M39" s="24" t="str">
        <f>IF(_xlfn.XLOOKUP(View[[#This Row],[ID]],Opportunities[ID],Opportunities[Comment Log])=0,"",_xlfn.XLOOKUP(View[[#This Row],[ID]],Opportunities[ID],Opportunities[Comment Log]))</f>
        <v/>
      </c>
      <c r="N39">
        <v>1</v>
      </c>
      <c r="O39" s="3">
        <f ca="1">_xlfn.XLOOKUP(View[[#This Row],[ID]],Opportunities[ID],Opportunities[NextMilestoneDate])-TODAY()</f>
        <v>40</v>
      </c>
      <c r="P39"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Q39" s="1">
        <f>_xlfn.XLOOKUP(View[[#This Row],[ID]],Opportunities[ID],Opportunities[Weighted])/1000</f>
        <v>181.67599999999999</v>
      </c>
      <c r="R39" s="4">
        <f>_xlfn.XLOOKUP(View[[#This Row],[ID]],Opportunities[ID],Opportunities[Amount])/1000</f>
        <v>908.38</v>
      </c>
      <c r="S39" t="b">
        <f>View[[#This Row],[Win Probability]]="High"</f>
        <v>0</v>
      </c>
      <c r="T39">
        <f>SUBTOTAL(103, View[[#This Row],[S]])</f>
        <v>1</v>
      </c>
    </row>
    <row r="40" spans="5:20" x14ac:dyDescent="0.25">
      <c r="E40" s="36" t="str">
        <f>_xlfn.XLOOKUP(View[[#This Row],[ID]],Opportunities[ID],Opportunities[status symbol])</f>
        <v>⚠</v>
      </c>
      <c r="F40" s="37" t="str">
        <f>HYPERLINK(siteUrl&amp;"Lists/"&amp;oppList&amp;"/DispForm.aspx?ID="&amp;View[[#This Row],[ID]],_xlfn.XLOOKUP(View[[#This Row],[ID]],Opportunities[ID],Opportunities[OpportunityName]))</f>
        <v>Document Management System</v>
      </c>
      <c r="G40" s="49" t="str">
        <f>HYPERLINK(_xlfn.XLOOKUP(View[[#This Row],[ID]],Opportunities[ID],Opportunities[url]),_xlfn.XLOOKUP(View[[#This Row],[ID]],Opportunities[ID],Opportunities[Customer Name]))</f>
        <v>Agricultural Systems</v>
      </c>
      <c r="H40" s="38" t="str">
        <f>_xlfn.XLOOKUP(View[[#This Row],[ID]],Opportunities[ID],Opportunities[DisplayStage])</f>
        <v>➀ - Lead Qualification</v>
      </c>
      <c r="I40" s="1">
        <f>IF(pipelineType="Unweighted",_xlfn.XLOOKUP(View[[#This Row],[ID]],Opportunities[ID],Opportunities[Amount])/1000,_xlfn.XLOOKUP(View[[#This Row],[ID]],Opportunities[ID],Opportunities[Weighted])/1000)</f>
        <v>1410.1130000000001</v>
      </c>
      <c r="J40" s="27" t="str">
        <f>_xlfn.XLOOKUP(View[[#This Row],[ID]],Opportunities[ID],Opportunities[WinProbDisplay])</f>
        <v>↙ Low</v>
      </c>
      <c r="K40" s="28">
        <f>View[[#This Row],[Estmated Revenue]]</f>
        <v>282.02260000000001</v>
      </c>
      <c r="L40" s="2">
        <f>_xlfn.XLOOKUP(View[[#This Row],[ID]],Opportunities[ID],Opportunities[Close])</f>
        <v>46283</v>
      </c>
      <c r="M40" s="24" t="str">
        <f>IF(_xlfn.XLOOKUP(View[[#This Row],[ID]],Opportunities[ID],Opportunities[Comment Log])=0,"",_xlfn.XLOOKUP(View[[#This Row],[ID]],Opportunities[ID],Opportunities[Comment Log]))</f>
        <v/>
      </c>
      <c r="N40">
        <v>14</v>
      </c>
      <c r="O40" s="3">
        <f ca="1">_xlfn.XLOOKUP(View[[#This Row],[ID]],Opportunities[ID],Opportunities[NextMilestoneDate])-TODAY()</f>
        <v>39</v>
      </c>
      <c r="P40"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Q40" s="1">
        <f>_xlfn.XLOOKUP(View[[#This Row],[ID]],Opportunities[ID],Opportunities[Weighted])/1000</f>
        <v>282.02260000000001</v>
      </c>
      <c r="R40" s="4">
        <f>_xlfn.XLOOKUP(View[[#This Row],[ID]],Opportunities[ID],Opportunities[Amount])/1000</f>
        <v>1410.1130000000001</v>
      </c>
      <c r="S40" t="b">
        <f>View[[#This Row],[Win Probability]]="High"</f>
        <v>0</v>
      </c>
      <c r="T40">
        <f>SUBTOTAL(103, View[[#This Row],[S]])</f>
        <v>1</v>
      </c>
    </row>
    <row r="41" spans="5:20" x14ac:dyDescent="0.25">
      <c r="E41" s="36" t="str">
        <f>_xlfn.XLOOKUP(View[[#This Row],[ID]],Opportunities[ID],Opportunities[status symbol])</f>
        <v>✓</v>
      </c>
      <c r="F41" s="37" t="str">
        <f>HYPERLINK(siteUrl&amp;"Lists/"&amp;oppList&amp;"/DispForm.aspx?ID="&amp;View[[#This Row],[ID]],_xlfn.XLOOKUP(View[[#This Row],[ID]],Opportunities[ID],Opportunities[OpportunityName]))</f>
        <v>CRM System Upgrade</v>
      </c>
      <c r="G41" s="49" t="str">
        <f>HYPERLINK(_xlfn.XLOOKUP(View[[#This Row],[ID]],Opportunities[ID],Opportunities[url]),_xlfn.XLOOKUP(View[[#This Row],[ID]],Opportunities[ID],Opportunities[Customer Name]))</f>
        <v>Transport Logistics</v>
      </c>
      <c r="H41" s="38" t="str">
        <f>_xlfn.XLOOKUP(View[[#This Row],[ID]],Opportunities[ID],Opportunities[DisplayStage])</f>
        <v>➀ - Lead Qualification</v>
      </c>
      <c r="I41" s="1">
        <f>IF(pipelineType="Unweighted",_xlfn.XLOOKUP(View[[#This Row],[ID]],Opportunities[ID],Opportunities[Amount])/1000,_xlfn.XLOOKUP(View[[#This Row],[ID]],Opportunities[ID],Opportunities[Weighted])/1000)</f>
        <v>1278.194</v>
      </c>
      <c r="J41" s="27" t="str">
        <f>_xlfn.XLOOKUP(View[[#This Row],[ID]],Opportunities[ID],Opportunities[WinProbDisplay])</f>
        <v>↖ High</v>
      </c>
      <c r="K41" s="28">
        <f>View[[#This Row],[Estmated Revenue]]</f>
        <v>1150.3746000000001</v>
      </c>
      <c r="L41" s="2">
        <f>_xlfn.XLOOKUP(View[[#This Row],[ID]],Opportunities[ID],Opportunities[Close])</f>
        <v>46286</v>
      </c>
      <c r="M41" s="24" t="str">
        <f>IF(_xlfn.XLOOKUP(View[[#This Row],[ID]],Opportunities[ID],Opportunities[Comment Log])=0,"",_xlfn.XLOOKUP(View[[#This Row],[ID]],Opportunities[ID],Opportunities[Comment Log]))</f>
        <v/>
      </c>
      <c r="N41">
        <v>21</v>
      </c>
      <c r="O41" s="3">
        <f ca="1">_xlfn.XLOOKUP(View[[#This Row],[ID]],Opportunities[ID],Opportunities[NextMilestoneDate])-TODAY()</f>
        <v>39</v>
      </c>
      <c r="P41"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Q41" s="1">
        <f>_xlfn.XLOOKUP(View[[#This Row],[ID]],Opportunities[ID],Opportunities[Weighted])/1000</f>
        <v>1150.3746000000001</v>
      </c>
      <c r="R41" s="4">
        <f>_xlfn.XLOOKUP(View[[#This Row],[ID]],Opportunities[ID],Opportunities[Amount])/1000</f>
        <v>1278.194</v>
      </c>
      <c r="S41" t="b">
        <f>View[[#This Row],[Win Probability]]="High"</f>
        <v>0</v>
      </c>
      <c r="T41">
        <f>SUBTOTAL(103, View[[#This Row],[S]])</f>
        <v>1</v>
      </c>
    </row>
    <row r="42" spans="5:20" x14ac:dyDescent="0.25">
      <c r="E42" s="36" t="str">
        <f>_xlfn.XLOOKUP(View[[#This Row],[ID]],Opportunities[ID],Opportunities[status symbol])</f>
        <v>⮾</v>
      </c>
      <c r="F42" s="37" t="str">
        <f>HYPERLINK(siteUrl&amp;"Lists/"&amp;oppList&amp;"/DispForm.aspx?ID="&amp;View[[#This Row],[ID]],_xlfn.XLOOKUP(View[[#This Row],[ID]],Opportunities[ID],Opportunities[OpportunityName]))</f>
        <v>Customer Service Platform</v>
      </c>
      <c r="G42" s="49" t="str">
        <f>HYPERLINK(_xlfn.XLOOKUP(View[[#This Row],[ID]],Opportunities[ID],Opportunities[url]),_xlfn.XLOOKUP(View[[#This Row],[ID]],Opportunities[ID],Opportunities[Customer Name]))</f>
        <v>ACME Corporation</v>
      </c>
      <c r="H42" s="38" t="str">
        <f>_xlfn.XLOOKUP(View[[#This Row],[ID]],Opportunities[ID],Opportunities[DisplayStage])</f>
        <v>➁ - Nurturing</v>
      </c>
      <c r="I42" s="1">
        <f>IF(pipelineType="Unweighted",_xlfn.XLOOKUP(View[[#This Row],[ID]],Opportunities[ID],Opportunities[Amount])/1000,_xlfn.XLOOKUP(View[[#This Row],[ID]],Opportunities[ID],Opportunities[Weighted])/1000)</f>
        <v>1555.472</v>
      </c>
      <c r="J42" s="27" t="str">
        <f>_xlfn.XLOOKUP(View[[#This Row],[ID]],Opportunities[ID],Opportunities[WinProbDisplay])</f>
        <v>← Medium</v>
      </c>
      <c r="K42" s="28">
        <f>View[[#This Row],[Estmated Revenue]]</f>
        <v>622.18880000000001</v>
      </c>
      <c r="L42" s="2">
        <f>_xlfn.XLOOKUP(View[[#This Row],[ID]],Opportunities[ID],Opportunities[Close])</f>
        <v>46307</v>
      </c>
      <c r="M42" s="24" t="str">
        <f>IF(_xlfn.XLOOKUP(View[[#This Row],[ID]],Opportunities[ID],Opportunities[Comment Log])=0,"",_xlfn.XLOOKUP(View[[#This Row],[ID]],Opportunities[ID],Opportunities[Comment Log]))</f>
        <v/>
      </c>
      <c r="N42">
        <v>30</v>
      </c>
      <c r="O42" s="3">
        <f ca="1">_xlfn.XLOOKUP(View[[#This Row],[ID]],Opportunities[ID],Opportunities[NextMilestoneDate])-TODAY()</f>
        <v>7</v>
      </c>
      <c r="P42"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Q42" s="1">
        <f>_xlfn.XLOOKUP(View[[#This Row],[ID]],Opportunities[ID],Opportunities[Weighted])/1000</f>
        <v>622.18880000000001</v>
      </c>
      <c r="R42" s="4">
        <f>_xlfn.XLOOKUP(View[[#This Row],[ID]],Opportunities[ID],Opportunities[Amount])/1000</f>
        <v>1555.472</v>
      </c>
      <c r="S42" t="b">
        <f>View[[#This Row],[Win Probability]]="High"</f>
        <v>0</v>
      </c>
      <c r="T42">
        <f>SUBTOTAL(103, View[[#This Row],[S]])</f>
        <v>1</v>
      </c>
    </row>
    <row r="43" spans="5:20" x14ac:dyDescent="0.25">
      <c r="E43" s="36" t="str">
        <f>_xlfn.XLOOKUP(View[[#This Row],[ID]],Opportunities[ID],Opportunities[status symbol])</f>
        <v>⚠</v>
      </c>
      <c r="F43" s="37" t="str">
        <f>HYPERLINK(siteUrl&amp;"Lists/"&amp;oppList&amp;"/DispForm.aspx?ID="&amp;View[[#This Row],[ID]],_xlfn.XLOOKUP(View[[#This Row],[ID]],Opportunities[ID],Opportunities[OpportunityName]))</f>
        <v>Customer Portal Development</v>
      </c>
      <c r="G43" s="49" t="str">
        <f>HYPERLINK(_xlfn.XLOOKUP(View[[#This Row],[ID]],Opportunities[ID],Opportunities[url]),_xlfn.XLOOKUP(View[[#This Row],[ID]],Opportunities[ID],Opportunities[Customer Name]))</f>
        <v>Textile Manufacturing</v>
      </c>
      <c r="H43" s="38" t="str">
        <f>_xlfn.XLOOKUP(View[[#This Row],[ID]],Opportunities[ID],Opportunities[DisplayStage])</f>
        <v>➅ - Closeout</v>
      </c>
      <c r="I43" s="1">
        <f>IF(pipelineType="Unweighted",_xlfn.XLOOKUP(View[[#This Row],[ID]],Opportunities[ID],Opportunities[Amount])/1000,_xlfn.XLOOKUP(View[[#This Row],[ID]],Opportunities[ID],Opportunities[Weighted])/1000)</f>
        <v>1095.721</v>
      </c>
      <c r="J43" s="27" t="str">
        <f>_xlfn.XLOOKUP(View[[#This Row],[ID]],Opportunities[ID],Opportunities[WinProbDisplay])</f>
        <v>← Medium</v>
      </c>
      <c r="K43" s="28">
        <f>View[[#This Row],[Estmated Revenue]]</f>
        <v>438.28840000000002</v>
      </c>
      <c r="L43" s="2">
        <f>_xlfn.XLOOKUP(View[[#This Row],[ID]],Opportunities[ID],Opportunities[Close])</f>
        <v>46321</v>
      </c>
      <c r="M43" s="24" t="str">
        <f>IF(_xlfn.XLOOKUP(View[[#This Row],[ID]],Opportunities[ID],Opportunities[Comment Log])=0,"",_xlfn.XLOOKUP(View[[#This Row],[ID]],Opportunities[ID],Opportunities[Comment Log]))</f>
        <v/>
      </c>
      <c r="N43">
        <v>9</v>
      </c>
      <c r="O43" s="3">
        <f ca="1">_xlfn.XLOOKUP(View[[#This Row],[ID]],Opportunities[ID],Opportunities[NextMilestoneDate])-TODAY()</f>
        <v>41</v>
      </c>
      <c r="P43"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Q43" s="1">
        <f>_xlfn.XLOOKUP(View[[#This Row],[ID]],Opportunities[ID],Opportunities[Weighted])/1000</f>
        <v>438.28840000000002</v>
      </c>
      <c r="R43" s="4">
        <f>_xlfn.XLOOKUP(View[[#This Row],[ID]],Opportunities[ID],Opportunities[Amount])/1000</f>
        <v>1095.721</v>
      </c>
      <c r="S43" t="b">
        <f>View[[#This Row],[Win Probability]]="High"</f>
        <v>0</v>
      </c>
      <c r="T43">
        <f>SUBTOTAL(103, View[[#This Row],[S]])</f>
        <v>1</v>
      </c>
    </row>
    <row r="44" spans="5:20" x14ac:dyDescent="0.25">
      <c r="E44" s="36" t="str">
        <f>_xlfn.XLOOKUP(View[[#This Row],[ID]],Opportunities[ID],Opportunities[status symbol])</f>
        <v>⚠</v>
      </c>
      <c r="F44" s="37" t="str">
        <f>HYPERLINK(siteUrl&amp;"Lists/"&amp;oppList&amp;"/DispForm.aspx?ID="&amp;View[[#This Row],[ID]],_xlfn.XLOOKUP(View[[#This Row],[ID]],Opportunities[ID],Opportunities[OpportunityName]))</f>
        <v>Financial Planning Software</v>
      </c>
      <c r="G44" s="49" t="str">
        <f>HYPERLINK(_xlfn.XLOOKUP(View[[#This Row],[ID]],Opportunities[ID],Opportunities[url]),_xlfn.XLOOKUP(View[[#This Row],[ID]],Opportunities[ID],Opportunities[Customer Name]))</f>
        <v>Education First</v>
      </c>
      <c r="H44" s="38" t="str">
        <f>_xlfn.XLOOKUP(View[[#This Row],[ID]],Opportunities[ID],Opportunities[DisplayStage])</f>
        <v>➂ - Proposal</v>
      </c>
      <c r="I44" s="1">
        <f>IF(pipelineType="Unweighted",_xlfn.XLOOKUP(View[[#This Row],[ID]],Opportunities[ID],Opportunities[Amount])/1000,_xlfn.XLOOKUP(View[[#This Row],[ID]],Opportunities[ID],Opportunities[Weighted])/1000)</f>
        <v>779.43899999999996</v>
      </c>
      <c r="J44" s="27" t="str">
        <f>_xlfn.XLOOKUP(View[[#This Row],[ID]],Opportunities[ID],Opportunities[WinProbDisplay])</f>
        <v>← Medium</v>
      </c>
      <c r="K44" s="28">
        <f>View[[#This Row],[Estmated Revenue]]</f>
        <v>311.77560000000005</v>
      </c>
      <c r="L44" s="2">
        <f>_xlfn.XLOOKUP(View[[#This Row],[ID]],Opportunities[ID],Opportunities[Close])</f>
        <v>46329</v>
      </c>
      <c r="M44" s="24" t="str">
        <f>IF(_xlfn.XLOOKUP(View[[#This Row],[ID]],Opportunities[ID],Opportunities[Comment Log])=0,"",_xlfn.XLOOKUP(View[[#This Row],[ID]],Opportunities[ID],Opportunities[Comment Log]))</f>
        <v/>
      </c>
      <c r="N44">
        <v>18</v>
      </c>
      <c r="O44" s="3">
        <f ca="1">_xlfn.XLOOKUP(View[[#This Row],[ID]],Opportunities[ID],Opportunities[NextMilestoneDate])-TODAY()</f>
        <v>24</v>
      </c>
      <c r="P44"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Q44" s="1">
        <f>_xlfn.XLOOKUP(View[[#This Row],[ID]],Opportunities[ID],Opportunities[Weighted])/1000</f>
        <v>311.77560000000005</v>
      </c>
      <c r="R44" s="4">
        <f>_xlfn.XLOOKUP(View[[#This Row],[ID]],Opportunities[ID],Opportunities[Amount])/1000</f>
        <v>779.43899999999996</v>
      </c>
      <c r="S44" t="b">
        <f>View[[#This Row],[Win Probability]]="High"</f>
        <v>0</v>
      </c>
      <c r="T44">
        <f>SUBTOTAL(103, View[[#This Row],[S]])</f>
        <v>1</v>
      </c>
    </row>
    <row r="45" spans="5:20" x14ac:dyDescent="0.25">
      <c r="E45" s="36" t="str">
        <f>_xlfn.XLOOKUP(View[[#This Row],[ID]],Opportunities[ID],Opportunities[status symbol])</f>
        <v>✓</v>
      </c>
      <c r="F45" s="37" t="str">
        <f>HYPERLINK(siteUrl&amp;"Lists/"&amp;oppList&amp;"/DispForm.aspx?ID="&amp;View[[#This Row],[ID]],_xlfn.XLOOKUP(View[[#This Row],[ID]],Opportunities[ID],Opportunities[OpportunityName]))</f>
        <v>Quality Management System</v>
      </c>
      <c r="G45" s="49" t="str">
        <f>HYPERLINK(_xlfn.XLOOKUP(View[[#This Row],[ID]],Opportunities[ID],Opportunities[url]),_xlfn.XLOOKUP(View[[#This Row],[ID]],Opportunities[ID],Opportunities[Customer Name]))</f>
        <v>Mining Operations</v>
      </c>
      <c r="H45" s="38" t="str">
        <f>_xlfn.XLOOKUP(View[[#This Row],[ID]],Opportunities[ID],Opportunities[DisplayStage])</f>
        <v>➂ - Proposal</v>
      </c>
      <c r="I45" s="1">
        <f>IF(pipelineType="Unweighted",_xlfn.XLOOKUP(View[[#This Row],[ID]],Opportunities[ID],Opportunities[Amount])/1000,_xlfn.XLOOKUP(View[[#This Row],[ID]],Opportunities[ID],Opportunities[Weighted])/1000)</f>
        <v>1818.9459999999999</v>
      </c>
      <c r="J45" s="27" t="str">
        <f>_xlfn.XLOOKUP(View[[#This Row],[ID]],Opportunities[ID],Opportunities[WinProbDisplay])</f>
        <v>↙ Low</v>
      </c>
      <c r="K45" s="28">
        <f>View[[#This Row],[Estmated Revenue]]</f>
        <v>363.78919999999999</v>
      </c>
      <c r="L45" s="2">
        <f>_xlfn.XLOOKUP(View[[#This Row],[ID]],Opportunities[ID],Opportunities[Close])</f>
        <v>46337</v>
      </c>
      <c r="M45" s="24" t="str">
        <f>IF(_xlfn.XLOOKUP(View[[#This Row],[ID]],Opportunities[ID],Opportunities[Comment Log])=0,"",_xlfn.XLOOKUP(View[[#This Row],[ID]],Opportunities[ID],Opportunities[Comment Log]))</f>
        <v/>
      </c>
      <c r="N45">
        <v>16</v>
      </c>
      <c r="O45" s="3">
        <f ca="1">_xlfn.XLOOKUP(View[[#This Row],[ID]],Opportunities[ID],Opportunities[NextMilestoneDate])-TODAY()</f>
        <v>6</v>
      </c>
      <c r="P45"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Q45" s="1">
        <f>_xlfn.XLOOKUP(View[[#This Row],[ID]],Opportunities[ID],Opportunities[Weighted])/1000</f>
        <v>363.78919999999999</v>
      </c>
      <c r="R45" s="4">
        <f>_xlfn.XLOOKUP(View[[#This Row],[ID]],Opportunities[ID],Opportunities[Amount])/1000</f>
        <v>1818.9459999999999</v>
      </c>
      <c r="S45" t="b">
        <f>View[[#This Row],[Win Probability]]="High"</f>
        <v>0</v>
      </c>
      <c r="T45">
        <f>SUBTOTAL(103, View[[#This Row],[S]])</f>
        <v>1</v>
      </c>
    </row>
    <row r="46" spans="5:20" x14ac:dyDescent="0.25">
      <c r="E46" s="36" t="str">
        <f>_xlfn.XLOOKUP(View[[#This Row],[ID]],Opportunities[ID],Opportunities[status symbol])</f>
        <v>✓</v>
      </c>
      <c r="F46" s="37" t="str">
        <f>HYPERLINK(siteUrl&amp;"Lists/"&amp;oppList&amp;"/DispForm.aspx?ID="&amp;View[[#This Row],[ID]],_xlfn.XLOOKUP(View[[#This Row],[ID]],Opportunities[ID],Opportunities[OpportunityName]))</f>
        <v>Inventory Management Solution</v>
      </c>
      <c r="G46" s="49" t="str">
        <f>HYPERLINK(_xlfn.XLOOKUP(View[[#This Row],[ID]],Opportunities[ID],Opportunities[url]),_xlfn.XLOOKUP(View[[#This Row],[ID]],Opportunities[ID],Opportunities[Customer Name]))</f>
        <v>Media Communications</v>
      </c>
      <c r="H46" s="38" t="str">
        <f>_xlfn.XLOOKUP(View[[#This Row],[ID]],Opportunities[ID],Opportunities[DisplayStage])</f>
        <v>➁ - Nurturing</v>
      </c>
      <c r="I46" s="1">
        <f>IF(pipelineType="Unweighted",_xlfn.XLOOKUP(View[[#This Row],[ID]],Opportunities[ID],Opportunities[Amount])/1000,_xlfn.XLOOKUP(View[[#This Row],[ID]],Opportunities[ID],Opportunities[Weighted])/1000)</f>
        <v>843.11300000000006</v>
      </c>
      <c r="J46" s="27" t="str">
        <f>_xlfn.XLOOKUP(View[[#This Row],[ID]],Opportunities[ID],Opportunities[WinProbDisplay])</f>
        <v>↙ Low</v>
      </c>
      <c r="K46" s="28">
        <f>View[[#This Row],[Estmated Revenue]]</f>
        <v>168.62260000000001</v>
      </c>
      <c r="L46" s="2">
        <f>_xlfn.XLOOKUP(View[[#This Row],[ID]],Opportunities[ID],Opportunities[Close])</f>
        <v>46339</v>
      </c>
      <c r="M46" s="24" t="str">
        <f>IF(_xlfn.XLOOKUP(View[[#This Row],[ID]],Opportunities[ID],Opportunities[Comment Log])=0,"",_xlfn.XLOOKUP(View[[#This Row],[ID]],Opportunities[ID],Opportunities[Comment Log]))</f>
        <v/>
      </c>
      <c r="N46">
        <v>22</v>
      </c>
      <c r="O46" s="3">
        <f ca="1">_xlfn.XLOOKUP(View[[#This Row],[ID]],Opportunities[ID],Opportunities[NextMilestoneDate])-TODAY()</f>
        <v>15</v>
      </c>
      <c r="P46"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Q46" s="1">
        <f>_xlfn.XLOOKUP(View[[#This Row],[ID]],Opportunities[ID],Opportunities[Weighted])/1000</f>
        <v>168.62260000000001</v>
      </c>
      <c r="R46" s="4">
        <f>_xlfn.XLOOKUP(View[[#This Row],[ID]],Opportunities[ID],Opportunities[Amount])/1000</f>
        <v>843.11300000000006</v>
      </c>
      <c r="S46" t="b">
        <f>View[[#This Row],[Win Probability]]="High"</f>
        <v>0</v>
      </c>
      <c r="T46">
        <f>SUBTOTAL(103, View[[#This Row],[S]])</f>
        <v>1</v>
      </c>
    </row>
    <row r="47" spans="5:20" x14ac:dyDescent="0.25">
      <c r="E47" s="36" t="str">
        <f>_xlfn.XLOOKUP(View[[#This Row],[ID]],Opportunities[ID],Opportunities[status symbol])</f>
        <v>✓</v>
      </c>
      <c r="F47" s="37" t="str">
        <f>HYPERLINK(siteUrl&amp;"Lists/"&amp;oppList&amp;"/DispForm.aspx?ID="&amp;View[[#This Row],[ID]],_xlfn.XLOOKUP(View[[#This Row],[ID]],Opportunities[ID],Opportunities[OpportunityName]))</f>
        <v>E-commerce Platform</v>
      </c>
      <c r="G47" s="49" t="str">
        <f>HYPERLINK(_xlfn.XLOOKUP(View[[#This Row],[ID]],Opportunities[ID],Opportunities[url]),_xlfn.XLOOKUP(View[[#This Row],[ID]],Opportunities[ID],Opportunities[Customer Name]))</f>
        <v>Automotive Parts Plus</v>
      </c>
      <c r="H47" s="38" t="str">
        <f>_xlfn.XLOOKUP(View[[#This Row],[ID]],Opportunities[ID],Opportunities[DisplayStage])</f>
        <v>➄ - Project Execution</v>
      </c>
      <c r="I47" s="1">
        <f>IF(pipelineType="Unweighted",_xlfn.XLOOKUP(View[[#This Row],[ID]],Opportunities[ID],Opportunities[Amount])/1000,_xlfn.XLOOKUP(View[[#This Row],[ID]],Opportunities[ID],Opportunities[Weighted])/1000)</f>
        <v>1688.01</v>
      </c>
      <c r="J47" s="27" t="str">
        <f>_xlfn.XLOOKUP(View[[#This Row],[ID]],Opportunities[ID],Opportunities[WinProbDisplay])</f>
        <v>↖ High</v>
      </c>
      <c r="K47" s="28">
        <f>View[[#This Row],[Estmated Revenue]]</f>
        <v>1519.2090000000001</v>
      </c>
      <c r="L47" s="2">
        <f>_xlfn.XLOOKUP(View[[#This Row],[ID]],Opportunities[ID],Opportunities[Close])</f>
        <v>46345</v>
      </c>
      <c r="M47" s="24" t="str">
        <f>IF(_xlfn.XLOOKUP(View[[#This Row],[ID]],Opportunities[ID],Opportunities[Comment Log])=0,"",_xlfn.XLOOKUP(View[[#This Row],[ID]],Opportunities[ID],Opportunities[Comment Log]))</f>
        <v/>
      </c>
      <c r="N47">
        <v>13</v>
      </c>
      <c r="O47" s="3">
        <f ca="1">_xlfn.XLOOKUP(View[[#This Row],[ID]],Opportunities[ID],Opportunities[NextMilestoneDate])-TODAY()</f>
        <v>18</v>
      </c>
      <c r="P47"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Q47" s="1">
        <f>_xlfn.XLOOKUP(View[[#This Row],[ID]],Opportunities[ID],Opportunities[Weighted])/1000</f>
        <v>1519.2090000000001</v>
      </c>
      <c r="R47" s="4">
        <f>_xlfn.XLOOKUP(View[[#This Row],[ID]],Opportunities[ID],Opportunities[Amount])/1000</f>
        <v>1688.01</v>
      </c>
      <c r="S47" t="b">
        <f>View[[#This Row],[Win Probability]]="High"</f>
        <v>0</v>
      </c>
      <c r="T47">
        <f>SUBTOTAL(103, View[[#This Row],[S]])</f>
        <v>1</v>
      </c>
    </row>
  </sheetData>
  <phoneticPr fontId="4" type="noConversion"/>
  <conditionalFormatting sqref="E8:F47">
    <cfRule type="expression" dxfId="8" priority="23">
      <formula>E8="⚠"</formula>
    </cfRule>
    <cfRule type="expression" dxfId="7" priority="24">
      <formula>E8="⮾"</formula>
    </cfRule>
    <cfRule type="expression" dxfId="6" priority="25">
      <formula>E8="✓"</formula>
    </cfRule>
  </conditionalFormatting>
  <conditionalFormatting sqref="G8">
    <cfRule type="iconSet" priority="1">
      <iconSet iconSet="4Rating">
        <cfvo type="percent" val="0"/>
        <cfvo type="percent" val="25"/>
        <cfvo type="percent" val="50"/>
        <cfvo type="percent" val="75"/>
      </iconSet>
    </cfRule>
  </conditionalFormatting>
  <conditionalFormatting sqref="H8:H47">
    <cfRule type="expression" dxfId="5" priority="10">
      <formula>H8="3 - Proposal"</formula>
    </cfRule>
    <cfRule type="expression" dxfId="4" priority="11">
      <formula>H8="4 - Negotiation"</formula>
    </cfRule>
    <cfRule type="expression" dxfId="3" priority="12">
      <formula>H8="5 - Project Execution"</formula>
    </cfRule>
    <cfRule type="expression" dxfId="2" priority="13">
      <formula>H8="6 - Closeout"</formula>
    </cfRule>
    <cfRule type="expression" dxfId="1" priority="14">
      <formula>H8="1 - Lead Qualification"</formula>
    </cfRule>
    <cfRule type="expression" dxfId="0" priority="15">
      <formula>H8="2 - Nurturing"</formula>
    </cfRule>
  </conditionalFormatting>
  <conditionalFormatting sqref="J8:J47">
    <cfRule type="iconSet" priority="919">
      <iconSet iconSet="4Rating">
        <cfvo type="percent" val="0"/>
        <cfvo type="percent" val="25"/>
        <cfvo type="percent" val="50"/>
        <cfvo type="percent" val="75"/>
      </iconSet>
    </cfRule>
  </conditionalFormatting>
  <conditionalFormatting sqref="O8:O47">
    <cfRule type="colorScale" priority="921">
      <colorScale>
        <cfvo type="min"/>
        <cfvo type="max"/>
        <color rgb="FF63BE7B"/>
        <color rgb="FFFCFCFF"/>
      </colorScale>
    </cfRule>
  </conditionalFormatting>
  <conditionalFormatting sqref="Q8:Q47">
    <cfRule type="dataBar" priority="923">
      <dataBar>
        <cfvo type="min"/>
        <cfvo type="max"/>
        <color rgb="FF638EC6"/>
      </dataBar>
      <extLst>
        <ext xmlns:x14="http://schemas.microsoft.com/office/spreadsheetml/2009/9/main" uri="{B025F937-C7B1-47D3-B67F-A62EFF666E3E}">
          <x14:id>{F92FD29D-C88D-410A-ACA9-27F3C313DEBC}</x14:id>
        </ext>
      </extLst>
    </cfRule>
  </conditionalFormatting>
  <conditionalFormatting sqref="R8">
    <cfRule type="dataBar" priority="8">
      <dataBar>
        <cfvo type="min"/>
        <cfvo type="max"/>
        <color rgb="FF638EC6"/>
      </dataBar>
      <extLst>
        <ext xmlns:x14="http://schemas.microsoft.com/office/spreadsheetml/2009/9/main" uri="{B025F937-C7B1-47D3-B67F-A62EFF666E3E}">
          <x14:id>{2422D1C5-79B1-490D-9A73-8B6B0ECAC5E0}</x14:id>
        </ext>
      </extLst>
    </cfRule>
  </conditionalFormatting>
  <conditionalFormatting sqref="R8:R47">
    <cfRule type="dataBar" priority="925">
      <dataBar>
        <cfvo type="min"/>
        <cfvo type="max"/>
        <color rgb="FF638EC6"/>
      </dataBar>
      <extLst>
        <ext xmlns:x14="http://schemas.microsoft.com/office/spreadsheetml/2009/9/main" uri="{B025F937-C7B1-47D3-B67F-A62EFF666E3E}">
          <x14:id>{6F3859E8-06BC-4889-A7F8-351765CFA609}</x14:id>
        </ext>
      </extLst>
    </cfRule>
  </conditionalFormatting>
  <dataValidations count="2">
    <dataValidation type="list" allowBlank="1" showInputMessage="1" showErrorMessage="1" sqref="B5" xr:uid="{0FFE2634-DCDA-4577-9878-5674941738A4}">
      <formula1>"FQ,CQ"</formula1>
    </dataValidation>
    <dataValidation type="list" allowBlank="1" showInputMessage="1" showErrorMessage="1" sqref="B6" xr:uid="{C0AF4A22-B492-4108-8DF4-750B60E03FFE}">
      <formula1>"Unweighted,Weighted"</formula1>
    </dataValidation>
  </dataValidations>
  <pageMargins left="0.7" right="0.7" top="0.75" bottom="0.75" header="0.3" footer="0.3"/>
  <pageSetup orientation="portrait" r:id="rId1"/>
  <drawing r:id="rId2"/>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F92FD29D-C88D-410A-ACA9-27F3C313DEBC}">
            <x14:dataBar minLength="0" maxLength="100" border="1" negativeBarBorderColorSameAsPositive="0">
              <x14:cfvo type="autoMin"/>
              <x14:cfvo type="autoMax"/>
              <x14:borderColor rgb="FF638EC6"/>
              <x14:negativeFillColor rgb="FFFF0000"/>
              <x14:negativeBorderColor rgb="FFFF0000"/>
              <x14:axisColor rgb="FF000000"/>
            </x14:dataBar>
          </x14:cfRule>
          <xm:sqref>Q8:Q47</xm:sqref>
        </x14:conditionalFormatting>
        <x14:conditionalFormatting xmlns:xm="http://schemas.microsoft.com/office/excel/2006/main">
          <x14:cfRule type="dataBar" id="{2422D1C5-79B1-490D-9A73-8B6B0ECAC5E0}">
            <x14:dataBar minLength="0" maxLength="100" border="1" negativeBarBorderColorSameAsPositive="0">
              <x14:cfvo type="autoMin"/>
              <x14:cfvo type="autoMax"/>
              <x14:borderColor rgb="FF638EC6"/>
              <x14:negativeFillColor rgb="FFFF0000"/>
              <x14:negativeBorderColor rgb="FFFF0000"/>
              <x14:axisColor rgb="FF000000"/>
            </x14:dataBar>
          </x14:cfRule>
          <xm:sqref>R8</xm:sqref>
        </x14:conditionalFormatting>
        <x14:conditionalFormatting xmlns:xm="http://schemas.microsoft.com/office/excel/2006/main">
          <x14:cfRule type="dataBar" id="{6F3859E8-06BC-4889-A7F8-351765CFA609}">
            <x14:dataBar minLength="0" maxLength="100" border="1" negativeBarBorderColorSameAsPositive="0">
              <x14:cfvo type="autoMin"/>
              <x14:cfvo type="autoMax"/>
              <x14:borderColor rgb="FF638EC6"/>
              <x14:negativeFillColor rgb="FFFF0000"/>
              <x14:negativeBorderColor rgb="FFFF0000"/>
              <x14:axisColor rgb="FF000000"/>
            </x14:dataBar>
          </x14:cfRule>
          <xm:sqref>R8:R47</xm:sqref>
        </x14:conditionalFormatting>
      </x14:conditionalFormattings>
    </ext>
    <ext xmlns:x15="http://schemas.microsoft.com/office/spreadsheetml/2010/11/main" uri="{3A4CF648-6AED-40f4-86FF-DC5316D8AED3}">
      <x14:slicerList xmlns:x14="http://schemas.microsoft.com/office/spreadsheetml/2009/9/main">
        <x14:slicer r:id="rId5"/>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31547-CB8E-4A4B-8DDA-B7FAB5180488}">
  <sheetPr>
    <tabColor rgb="FF660000"/>
  </sheetPr>
  <dimension ref="A1"/>
  <sheetViews>
    <sheetView workbookViewId="0"/>
  </sheetViews>
  <sheetFormatPr defaultRowHeight="15" x14ac:dyDescent="0.25"/>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5E433-4B91-46FC-AF56-7BE6A677C774}">
  <sheetPr>
    <tabColor rgb="FF660000"/>
  </sheetPr>
  <dimension ref="A1:S18"/>
  <sheetViews>
    <sheetView showGridLines="0" topLeftCell="K1" workbookViewId="0">
      <selection activeCell="P12" sqref="P12:S18"/>
    </sheetView>
  </sheetViews>
  <sheetFormatPr defaultRowHeight="15" x14ac:dyDescent="0.25"/>
  <cols>
    <col min="1" max="1" width="26" customWidth="1"/>
    <col min="2" max="2" width="8.28515625" bestFit="1" customWidth="1"/>
    <col min="3" max="3" width="17.42578125" bestFit="1" customWidth="1"/>
    <col min="4" max="4" width="20" bestFit="1" customWidth="1"/>
    <col min="5" max="5" width="2.28515625" customWidth="1"/>
    <col min="6" max="6" width="5.85546875" bestFit="1" customWidth="1"/>
    <col min="7" max="7" width="13.7109375" bestFit="1" customWidth="1"/>
    <col min="8" max="8" width="52.28515625" bestFit="1" customWidth="1"/>
    <col min="9" max="9" width="4.140625" customWidth="1"/>
    <col min="10" max="10" width="25.5703125" bestFit="1" customWidth="1"/>
    <col min="11" max="11" width="146.5703125" bestFit="1" customWidth="1"/>
    <col min="13" max="13" width="17.42578125" bestFit="1" customWidth="1"/>
    <col min="14" max="14" width="8.28515625" bestFit="1" customWidth="1"/>
    <col min="15" max="15" width="20" bestFit="1" customWidth="1"/>
    <col min="16" max="16" width="19.42578125" bestFit="1" customWidth="1"/>
    <col min="17" max="17" width="20" bestFit="1" customWidth="1"/>
    <col min="18" max="18" width="15.5703125" customWidth="1"/>
  </cols>
  <sheetData>
    <row r="1" spans="1:19" x14ac:dyDescent="0.25">
      <c r="A1" s="46" t="s">
        <v>395</v>
      </c>
      <c r="C1" s="19" t="s">
        <v>47</v>
      </c>
      <c r="D1" s="30">
        <v>45839</v>
      </c>
      <c r="G1" s="19" t="s">
        <v>49</v>
      </c>
      <c r="H1" s="31" t="s">
        <v>50</v>
      </c>
      <c r="J1" s="51" t="s">
        <v>398</v>
      </c>
      <c r="K1" s="46" t="s">
        <v>396</v>
      </c>
    </row>
    <row r="2" spans="1:19" x14ac:dyDescent="0.25">
      <c r="A2" s="50" t="str">
        <f>HYPERLINK("https://github.com/pgaljan/funneler/blob/main/docs/manual-deploy.md","Citizen Developer Guide")</f>
        <v>Citizen Developer Guide</v>
      </c>
      <c r="G2" s="19" t="s">
        <v>144</v>
      </c>
      <c r="H2" s="29" t="s">
        <v>412</v>
      </c>
      <c r="J2" s="52" t="s">
        <v>408</v>
      </c>
      <c r="K2" s="48" t="s">
        <v>393</v>
      </c>
    </row>
    <row r="3" spans="1:19" x14ac:dyDescent="0.25">
      <c r="A3" s="50" t="str">
        <f>HYPERLINK("https://github.com/pgaljan/funneler/blob/main/docs/auto-deploy.md","Operator Guide")</f>
        <v>Operator Guide</v>
      </c>
      <c r="C3" s="12" t="s">
        <v>80</v>
      </c>
      <c r="D3" s="12" t="s">
        <v>88</v>
      </c>
      <c r="F3" s="35" t="str">
        <f>HYPERLINK(siteUrl&amp;"/Lists/"&amp;custList,"Test")</f>
        <v>Test</v>
      </c>
      <c r="G3" s="19" t="s">
        <v>145</v>
      </c>
      <c r="H3" s="32" t="str">
        <f>listPrefix &amp; custListAppend</f>
        <v>citizenCustomers</v>
      </c>
      <c r="J3" s="52" t="s">
        <v>399</v>
      </c>
      <c r="K3" s="47" t="str" cm="1">
        <f t="array" ref="K3">"./Deploy-Lists.ps1"&amp; psAftermetter</f>
        <v>./Deploy-Lists.ps1 -SiteUrl "https://cleansheet5.sharepoint.com/sites/SalesFunnel/" -ListPrefix "citizen" -ClientId "4f2cadf3-cdfe-4c73-819d-6e8141ad5b51"</v>
      </c>
    </row>
    <row r="4" spans="1:19" x14ac:dyDescent="0.25">
      <c r="A4" s="50" t="str">
        <f>HYPERLINK("https://github.com/pgaljan/funneler/blob/main/docs/security.md","Security &amp; Governance")</f>
        <v>Security &amp; Governance</v>
      </c>
      <c r="C4" s="34" t="s">
        <v>85</v>
      </c>
      <c r="D4" s="39">
        <v>0.2</v>
      </c>
      <c r="F4" s="35" t="str">
        <f>HYPERLINK(siteUrl&amp;"/Lists/"&amp;oppList,"Test")</f>
        <v>Test</v>
      </c>
      <c r="G4" s="19" t="s">
        <v>48</v>
      </c>
      <c r="H4" s="32" t="str">
        <f>listPrefix &amp; oppListAppend</f>
        <v>citizenOpportunities</v>
      </c>
      <c r="K4" s="47" t="str" cm="1">
        <f t="array" ref="K4">"./Set-Required-Fields.ps1" &amp;psAftermetter</f>
        <v>./Set-Required-Fields.ps1 -SiteUrl "https://cleansheet5.sharepoint.com/sites/SalesFunnel/" -ListPrefix "citizen" -ClientId "4f2cadf3-cdfe-4c73-819d-6e8141ad5b51"</v>
      </c>
    </row>
    <row r="5" spans="1:19" x14ac:dyDescent="0.25">
      <c r="A5" s="50" t="str">
        <f>HYPERLINK("https://github.com/pgaljan/funneler/blob/main/docs/code-guide.md","Code Guide")</f>
        <v>Code Guide</v>
      </c>
      <c r="C5" s="34" t="s">
        <v>83</v>
      </c>
      <c r="D5" s="39">
        <v>0.4</v>
      </c>
      <c r="G5" s="19" t="s">
        <v>391</v>
      </c>
      <c r="H5" s="29" t="s">
        <v>392</v>
      </c>
      <c r="K5" s="47" t="str" cm="1">
        <f t="array" ref="K5">"./Add-Comment-Log.ps1"&amp;psAftermetter</f>
        <v>./Add-Comment-Log.ps1 -SiteUrl "https://cleansheet5.sharepoint.com/sites/SalesFunnel/" -ListPrefix "citizen" -ClientId "4f2cadf3-cdfe-4c73-819d-6e8141ad5b51"</v>
      </c>
    </row>
    <row r="6" spans="1:19" x14ac:dyDescent="0.25">
      <c r="A6" s="50" t="str">
        <f>HYPERLINK("https://github.com/pgaljan/funneler/blob/main/docs/form-body-json.md","Form Body JSON")</f>
        <v>Form Body JSON</v>
      </c>
      <c r="C6" s="34" t="s">
        <v>84</v>
      </c>
      <c r="D6" s="39">
        <v>0.9</v>
      </c>
      <c r="K6" s="47" t="str" cm="1">
        <f t="array" ref="K6">"./Populate-Sample-Data.ps1"&amp;psAftermetter</f>
        <v>./Populate-Sample-Data.ps1 -SiteUrl "https://cleansheet5.sharepoint.com/sites/SalesFunnel/" -ListPrefix "citizen" -ClientId "4f2cadf3-cdfe-4c73-819d-6e8141ad5b51"</v>
      </c>
    </row>
    <row r="7" spans="1:19" x14ac:dyDescent="0.25">
      <c r="A7" s="38"/>
      <c r="K7" s="46" t="s">
        <v>397</v>
      </c>
    </row>
    <row r="8" spans="1:19" x14ac:dyDescent="0.25">
      <c r="A8" s="38"/>
      <c r="K8" s="47" t="str" cm="1">
        <f t="array" ref="K8">"./Audit-List-Security.ps1"&amp;psAftermetter</f>
        <v>./Audit-List-Security.ps1 -SiteUrl "https://cleansheet5.sharepoint.com/sites/SalesFunnel/" -ListPrefix "citizen" -ClientId "4f2cadf3-cdfe-4c73-819d-6e8141ad5b51"</v>
      </c>
    </row>
    <row r="9" spans="1:19" x14ac:dyDescent="0.25">
      <c r="K9" s="47" t="str" cm="1">
        <f t="array" ref="K9">"./Delete-Lists.ps1"&amp;psAftermetter</f>
        <v>./Delete-Lists.ps1 -SiteUrl "https://cleansheet5.sharepoint.com/sites/SalesFunnel/" -ListPrefix "citizen" -ClientId "4f2cadf3-cdfe-4c73-819d-6e8141ad5b51"</v>
      </c>
    </row>
    <row r="11" spans="1:19" x14ac:dyDescent="0.25">
      <c r="I11" s="33"/>
    </row>
    <row r="12" spans="1:19" x14ac:dyDescent="0.25">
      <c r="I12" s="33"/>
      <c r="P12" s="12" t="s">
        <v>33</v>
      </c>
      <c r="Q12" s="12" t="s">
        <v>401</v>
      </c>
      <c r="R12" s="12" t="s">
        <v>87</v>
      </c>
      <c r="S12" s="12" t="s">
        <v>378</v>
      </c>
    </row>
    <row r="13" spans="1:19" ht="20.25" x14ac:dyDescent="0.3">
      <c r="I13" s="33"/>
      <c r="P13" s="33">
        <v>1</v>
      </c>
      <c r="Q13" s="53" t="s">
        <v>402</v>
      </c>
      <c r="R13" s="33" t="s">
        <v>20</v>
      </c>
      <c r="S13" s="33" t="str">
        <f>stage[[#This Row],[Symbol]]&amp;" - "&amp;stage[[#This Row],[Stage Name]]</f>
        <v>➀ - Lead Qualification</v>
      </c>
    </row>
    <row r="14" spans="1:19" ht="20.25" x14ac:dyDescent="0.3">
      <c r="I14" s="33"/>
      <c r="P14" s="33">
        <v>2</v>
      </c>
      <c r="Q14" s="53" t="s">
        <v>403</v>
      </c>
      <c r="R14" s="33" t="s">
        <v>23</v>
      </c>
      <c r="S14" s="33" t="str">
        <f>stage[[#This Row],[Symbol]]&amp;" - "&amp;stage[[#This Row],[Stage Name]]</f>
        <v>➁ - Nurturing</v>
      </c>
    </row>
    <row r="15" spans="1:19" ht="20.25" x14ac:dyDescent="0.3">
      <c r="H15" s="33"/>
      <c r="P15" s="33">
        <v>3</v>
      </c>
      <c r="Q15" s="53" t="s">
        <v>404</v>
      </c>
      <c r="R15" s="33" t="s">
        <v>22</v>
      </c>
      <c r="S15" s="33" t="str">
        <f>stage[[#This Row],[Symbol]]&amp;" - "&amp;stage[[#This Row],[Stage Name]]</f>
        <v>➂ - Proposal</v>
      </c>
    </row>
    <row r="16" spans="1:19" ht="20.25" x14ac:dyDescent="0.3">
      <c r="H16" s="33"/>
      <c r="P16" s="33">
        <v>4</v>
      </c>
      <c r="Q16" s="53" t="s">
        <v>405</v>
      </c>
      <c r="R16" s="33" t="s">
        <v>18</v>
      </c>
      <c r="S16" s="33" t="str">
        <f>stage[[#This Row],[Symbol]]&amp;" - "&amp;stage[[#This Row],[Stage Name]]</f>
        <v>➃ - Negotiation</v>
      </c>
    </row>
    <row r="17" spans="16:19" ht="20.25" x14ac:dyDescent="0.3">
      <c r="P17" s="33">
        <v>5</v>
      </c>
      <c r="Q17" s="53" t="s">
        <v>406</v>
      </c>
      <c r="R17" s="33" t="s">
        <v>21</v>
      </c>
      <c r="S17" s="33" t="str">
        <f>stage[[#This Row],[Symbol]]&amp;" - "&amp;stage[[#This Row],[Stage Name]]</f>
        <v>➄ - Project Execution</v>
      </c>
    </row>
    <row r="18" spans="16:19" ht="20.25" x14ac:dyDescent="0.3">
      <c r="P18" s="33">
        <v>6</v>
      </c>
      <c r="Q18" s="53" t="s">
        <v>407</v>
      </c>
      <c r="R18" s="33" t="s">
        <v>24</v>
      </c>
      <c r="S18" s="33" t="str">
        <f>stage[[#This Row],[Symbol]]&amp;" - "&amp;stage[[#This Row],[Stage Name]]</f>
        <v>➅ - Closeout</v>
      </c>
    </row>
  </sheetData>
  <hyperlinks>
    <hyperlink ref="H1" r:id="rId1" xr:uid="{5E8860C9-D945-4D2C-8E62-DBDFC7016757}"/>
  </hyperlinks>
  <pageMargins left="0.7" right="0.7" top="0.75" bottom="0.75" header="0.3" footer="0.3"/>
  <pageSetup orientation="portrait"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E98B-4D4F-4C20-B0F1-4A2BE343A19E}">
  <sheetPr codeName="Sheet3"/>
  <dimension ref="A1:AD41"/>
  <sheetViews>
    <sheetView topLeftCell="L1" zoomScale="85" zoomScaleNormal="85" workbookViewId="0">
      <selection activeCell="X3" sqref="X3"/>
    </sheetView>
  </sheetViews>
  <sheetFormatPr defaultRowHeight="15" x14ac:dyDescent="0.25"/>
  <cols>
    <col min="1" max="1" width="5.7109375" bestFit="1" customWidth="1"/>
    <col min="2" max="2" width="32.28515625" bestFit="1" customWidth="1"/>
    <col min="3" max="3" width="9.28515625" bestFit="1" customWidth="1"/>
    <col min="4" max="4" width="17.42578125" bestFit="1" customWidth="1"/>
    <col min="5" max="5" width="10.7109375" bestFit="1" customWidth="1"/>
    <col min="6" max="6" width="13.140625" bestFit="1" customWidth="1"/>
    <col min="7" max="7" width="11.42578125" bestFit="1" customWidth="1"/>
    <col min="8" max="8" width="21.140625" bestFit="1" customWidth="1"/>
    <col min="9" max="9" width="23.7109375" bestFit="1" customWidth="1"/>
    <col min="10" max="10" width="14.140625" bestFit="1" customWidth="1"/>
    <col min="11" max="11" width="16" bestFit="1" customWidth="1"/>
    <col min="12" max="12" width="20.28515625" bestFit="1" customWidth="1"/>
    <col min="13" max="13" width="12" bestFit="1" customWidth="1"/>
    <col min="14" max="14" width="26" bestFit="1" customWidth="1"/>
    <col min="15" max="15" width="14.85546875" customWidth="1"/>
    <col min="16" max="16" width="9" bestFit="1" customWidth="1"/>
    <col min="17" max="17" width="8.85546875" bestFit="1" customWidth="1"/>
    <col min="18" max="18" width="81.140625" bestFit="1" customWidth="1"/>
    <col min="19" max="19" width="15.7109375" bestFit="1" customWidth="1"/>
    <col min="20" max="20" width="20.7109375" bestFit="1" customWidth="1"/>
    <col min="21" max="21" width="12.28515625" bestFit="1" customWidth="1"/>
    <col min="22" max="22" width="16" bestFit="1" customWidth="1"/>
    <col min="23" max="23" width="26.140625" bestFit="1" customWidth="1"/>
    <col min="24" max="24" width="81.140625" bestFit="1" customWidth="1"/>
    <col min="25" max="25" width="9.7109375" bestFit="1" customWidth="1"/>
    <col min="26" max="26" width="81.140625" bestFit="1" customWidth="1"/>
    <col min="27" max="27" width="16" bestFit="1" customWidth="1"/>
    <col min="28" max="28" width="19.5703125" bestFit="1" customWidth="1"/>
    <col min="29" max="29" width="17.85546875" bestFit="1" customWidth="1"/>
    <col min="30" max="31" width="17.7109375" bestFit="1" customWidth="1"/>
    <col min="32" max="32" width="26.140625" bestFit="1" customWidth="1"/>
    <col min="33" max="33" width="81.140625" bestFit="1" customWidth="1"/>
    <col min="34" max="34" width="9.7109375" bestFit="1" customWidth="1"/>
    <col min="35" max="35" width="16" bestFit="1" customWidth="1"/>
    <col min="36" max="36" width="9" bestFit="1" customWidth="1"/>
    <col min="37" max="37" width="8.85546875" bestFit="1" customWidth="1"/>
    <col min="38" max="38" width="81.140625" bestFit="1" customWidth="1"/>
    <col min="39" max="39" width="15.7109375" bestFit="1" customWidth="1"/>
    <col min="40" max="40" width="20" bestFit="1" customWidth="1"/>
    <col min="41" max="41" width="13.42578125" bestFit="1" customWidth="1"/>
    <col min="42" max="42" width="14.5703125" bestFit="1" customWidth="1"/>
    <col min="43" max="43" width="15" bestFit="1" customWidth="1"/>
    <col min="44" max="44" width="14" bestFit="1" customWidth="1"/>
    <col min="45" max="45" width="13.28515625" bestFit="1" customWidth="1"/>
    <col min="46" max="46" width="13.85546875" bestFit="1" customWidth="1"/>
    <col min="47" max="48" width="13.42578125" bestFit="1" customWidth="1"/>
    <col min="49" max="49" width="21.85546875" bestFit="1" customWidth="1"/>
    <col min="50" max="50" width="18" bestFit="1" customWidth="1"/>
    <col min="51" max="51" width="25" bestFit="1" customWidth="1"/>
    <col min="52" max="52" width="38" bestFit="1" customWidth="1"/>
  </cols>
  <sheetData>
    <row r="1" spans="1:30" x14ac:dyDescent="0.25">
      <c r="A1" t="s">
        <v>385</v>
      </c>
      <c r="B1" t="s">
        <v>91</v>
      </c>
      <c r="C1" t="s">
        <v>13</v>
      </c>
      <c r="D1" t="s">
        <v>14</v>
      </c>
      <c r="E1" t="s">
        <v>15</v>
      </c>
      <c r="F1" t="s">
        <v>16</v>
      </c>
      <c r="G1" t="s">
        <v>34</v>
      </c>
      <c r="H1" t="s">
        <v>39</v>
      </c>
      <c r="I1" t="s">
        <v>38</v>
      </c>
      <c r="J1" t="s">
        <v>386</v>
      </c>
      <c r="K1" t="s">
        <v>45</v>
      </c>
      <c r="L1" t="s">
        <v>90</v>
      </c>
      <c r="M1" t="s">
        <v>409</v>
      </c>
      <c r="N1" t="s">
        <v>410</v>
      </c>
      <c r="O1" t="s">
        <v>411</v>
      </c>
      <c r="P1" t="s">
        <v>31</v>
      </c>
      <c r="Q1" t="s">
        <v>32</v>
      </c>
      <c r="R1" t="s">
        <v>29</v>
      </c>
      <c r="S1" t="s">
        <v>35</v>
      </c>
      <c r="T1" t="s">
        <v>36</v>
      </c>
      <c r="U1" t="s">
        <v>41</v>
      </c>
      <c r="V1" t="s">
        <v>74</v>
      </c>
      <c r="W1" t="s">
        <v>86</v>
      </c>
      <c r="X1" t="s">
        <v>143</v>
      </c>
      <c r="Y1" t="s">
        <v>44</v>
      </c>
      <c r="Z1" t="s">
        <v>378</v>
      </c>
      <c r="AA1" t="s">
        <v>30</v>
      </c>
      <c r="AB1" t="s">
        <v>388</v>
      </c>
      <c r="AC1" t="s">
        <v>400</v>
      </c>
      <c r="AD1" t="s">
        <v>28</v>
      </c>
    </row>
    <row r="2" spans="1:30" x14ac:dyDescent="0.25">
      <c r="A2">
        <v>1</v>
      </c>
      <c r="B2" t="s">
        <v>92</v>
      </c>
      <c r="C2" t="s">
        <v>17</v>
      </c>
      <c r="D2" t="s">
        <v>20</v>
      </c>
      <c r="E2">
        <v>908380</v>
      </c>
      <c r="F2" t="s">
        <v>85</v>
      </c>
      <c r="G2" s="40">
        <v>46261</v>
      </c>
      <c r="H2" s="40">
        <v>45920</v>
      </c>
      <c r="I2" t="s">
        <v>106</v>
      </c>
      <c r="J2">
        <v>1</v>
      </c>
      <c r="L2" t="s">
        <v>93</v>
      </c>
      <c r="M2" s="40">
        <v>46317</v>
      </c>
      <c r="O2">
        <v>0</v>
      </c>
      <c r="P2" t="str">
        <f>" FY"&amp;RIGHT(IF(MONTH(Opportunities[[#This Row],[Close]])&gt;=7,YEAR(Opportunities[[#This Row],[Close]])+1,YEAR(Opportunities[[#This Row],[Close]])),2)&amp;"-Q"&amp;IF(MONTH(Opportunities[[#This Row],[Close]])&gt;=7,CEILING((MONTH(Opportunities[[#This Row],[Close]])-6)/3,1),CEILING((MONTH(Opportunities[[#This Row],[Close]])+6)/3,1))</f>
        <v xml:space="preserve"> FY27-Q1</v>
      </c>
      <c r="Q2" t="str">
        <f>"CY"&amp;RIGHT(YEAR(Opportunities[[#This Row],[Close]]),2)&amp;"-Q"&amp;ROUNDUP(MONTH(Opportunities[[#This Row],[Close]])/3, 0)</f>
        <v>CY26-Q3</v>
      </c>
      <c r="R2" t="str">
        <f>siteUrl&amp;"/Lists/"&amp;oppList&amp;"/DispForm.aspx?ID="&amp;Opportunities[[#This Row],[ID]]</f>
        <v>https://cleansheet5.sharepoint.com/sites/SalesFunnel//Lists/citizenOpportunities/DispForm.aspx?ID=1</v>
      </c>
      <c r="S2">
        <f>_xlfn.XLOOKUP(Opportunities[[#This Row],[Stage]],stage[Stage Name],stage[Index],"")</f>
        <v>1</v>
      </c>
      <c r="T2" t="str">
        <f>_xlfn.XLOOKUP(Opportunities[[#This Row],[StageNumber]],stage[Index],stage[Display])</f>
        <v>➀ - Lead Qualification</v>
      </c>
      <c r="U2">
        <f>Opportunities[[#This Row],[Amount]]*_xlfn.XLOOKUP(Opportunities[[#This Row],[Probability]],prob[Win Probability],prob[Value])</f>
        <v>181676</v>
      </c>
      <c r="V2" t="str" cm="1">
        <f t="array" ref="V2">_xlfn.SWITCH(Opportunities[[#This Row],[Status]],"At Risk","⚠","Active","✓","⮾")</f>
        <v>⚠</v>
      </c>
      <c r="W2" t="str">
        <f>_xlfn.XLOOKUP(Opportunities[[#This Row],[CustomerId]],Customers[Id],Customers[Customer Name])</f>
        <v>ACME Corporation</v>
      </c>
      <c r="X2" t="str">
        <f>_xlfn.XLOOKUP(Opportunities[[#This Row],[CustomerId]],Customers[Id],Customers[url2])</f>
        <v>https://cleansheet5.sharepoint.com/sites/SalesFunnel//Lists/citizenCustomers/DispForm.aspx?ID=1</v>
      </c>
      <c r="Y2">
        <f>_xlfn.XLOOKUP(Opportunities[[#This Row],[ID]],View[ID],View[Visible])</f>
        <v>1</v>
      </c>
      <c r="Z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(ERP Implementation Project)
 $0.9m • Lead Qualification • Owner: John Manager</v>
      </c>
      <c r="AA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2" t="str" cm="1">
        <f t="array" ref="AC2">_xlfn.SWITCH(Opportunities[[#This Row],[Probability]],"High","↖","Medium","←","Low","↙")&amp;" " &amp;Opportunities[[#This Row],[Probability]]</f>
        <v>↙ Low</v>
      </c>
      <c r="AD2" t="b">
        <f>Opportunities[[#This Row],[WinProbDisplay]]="↖ High"</f>
        <v>0</v>
      </c>
    </row>
    <row r="3" spans="1:30" x14ac:dyDescent="0.25">
      <c r="A3">
        <v>2</v>
      </c>
      <c r="B3" t="s">
        <v>95</v>
      </c>
      <c r="C3" t="s">
        <v>17</v>
      </c>
      <c r="D3" t="s">
        <v>20</v>
      </c>
      <c r="E3">
        <v>1096559</v>
      </c>
      <c r="F3" t="s">
        <v>84</v>
      </c>
      <c r="G3" s="40">
        <v>46122</v>
      </c>
      <c r="H3" s="40">
        <v>45930</v>
      </c>
      <c r="I3" t="s">
        <v>152</v>
      </c>
      <c r="J3">
        <v>12</v>
      </c>
      <c r="L3" t="s">
        <v>146</v>
      </c>
      <c r="M3" s="40">
        <v>46200</v>
      </c>
      <c r="O3">
        <v>0</v>
      </c>
      <c r="P3" t="str">
        <f>" FY"&amp;RIGHT(IF(MONTH(Opportunities[[#This Row],[Close]])&gt;=7,YEAR(Opportunities[[#This Row],[Close]])+1,YEAR(Opportunities[[#This Row],[Close]])),2)&amp;"-Q"&amp;IF(MONTH(Opportunities[[#This Row],[Close]])&gt;=7,CEILING((MONTH(Opportunities[[#This Row],[Close]])-6)/3,1),CEILING((MONTH(Opportunities[[#This Row],[Close]])+6)/3,1))</f>
        <v xml:space="preserve"> FY26-Q4</v>
      </c>
      <c r="Q3" t="str">
        <f>"CY"&amp;RIGHT(YEAR(Opportunities[[#This Row],[Close]]),2)&amp;"-Q"&amp;ROUNDUP(MONTH(Opportunities[[#This Row],[Close]])/3, 0)</f>
        <v>CY26-Q2</v>
      </c>
      <c r="R3" t="str">
        <f>siteUrl&amp;"/Lists/"&amp;oppList&amp;"/DispForm.aspx?ID="&amp;Opportunities[[#This Row],[ID]]</f>
        <v>https://cleansheet5.sharepoint.com/sites/SalesFunnel//Lists/citizenOpportunities/DispForm.aspx?ID=2</v>
      </c>
      <c r="S3">
        <f>_xlfn.XLOOKUP(Opportunities[[#This Row],[Stage]],stage[Stage Name],stage[Index],"")</f>
        <v>1</v>
      </c>
      <c r="T3" t="str">
        <f>_xlfn.XLOOKUP(Opportunities[[#This Row],[StageNumber]],stage[Index],stage[Display])</f>
        <v>➀ - Lead Qualification</v>
      </c>
      <c r="U3">
        <f>Opportunities[[#This Row],[Amount]]*_xlfn.XLOOKUP(Opportunities[[#This Row],[Probability]],prob[Win Probability],prob[Value])</f>
        <v>986903.1</v>
      </c>
      <c r="V3" t="str" cm="1">
        <f t="array" ref="V3">_xlfn.SWITCH(Opportunities[[#This Row],[Status]],"At Risk","⚠","Active","✓","⮾")</f>
        <v>⚠</v>
      </c>
      <c r="W3" t="str">
        <f>_xlfn.XLOOKUP(Opportunities[[#This Row],[CustomerId]],Customers[Id],Customers[Customer Name])</f>
        <v>Food Service Partners</v>
      </c>
      <c r="X3" t="str">
        <f>_xlfn.XLOOKUP(Opportunities[[#This Row],[CustomerId]],Customers[Id],Customers[url2])</f>
        <v>https://cleansheet5.sharepoint.com/sites/SalesFunnel//Lists/citizenCustomers/DispForm.aspx?ID=12</v>
      </c>
      <c r="Y3">
        <f>_xlfn.XLOOKUP(Opportunities[[#This Row],[ID]],View[ID],View[Visible])</f>
        <v>1</v>
      </c>
      <c r="Z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(Cloud Migration Initiative)
 $1.1m • Lead Qualification • Owner: Jennifer PM</v>
      </c>
      <c r="AA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3" t="str" cm="1">
        <f t="array" ref="AC3">_xlfn.SWITCH(Opportunities[[#This Row],[Probability]],"High","↖","Medium","←","Low","↙")&amp;" " &amp;Opportunities[[#This Row],[Probability]]</f>
        <v>↖ High</v>
      </c>
      <c r="AD3" t="b">
        <f>Opportunities[[#This Row],[WinProbDisplay]]="↖ High"</f>
        <v>1</v>
      </c>
    </row>
    <row r="4" spans="1:30" x14ac:dyDescent="0.25">
      <c r="A4">
        <v>3</v>
      </c>
      <c r="B4" t="s">
        <v>98</v>
      </c>
      <c r="C4" t="s">
        <v>17</v>
      </c>
      <c r="D4" t="s">
        <v>23</v>
      </c>
      <c r="E4">
        <v>1433298</v>
      </c>
      <c r="F4" t="s">
        <v>85</v>
      </c>
      <c r="G4" s="40">
        <v>46171</v>
      </c>
      <c r="H4" s="40">
        <v>45929</v>
      </c>
      <c r="I4" t="s">
        <v>103</v>
      </c>
      <c r="J4">
        <v>28</v>
      </c>
      <c r="L4" t="s">
        <v>102</v>
      </c>
      <c r="M4" s="40">
        <v>46234</v>
      </c>
      <c r="O4">
        <v>0</v>
      </c>
      <c r="P4" t="str">
        <f>" FY"&amp;RIGHT(IF(MONTH(Opportunities[[#This Row],[Close]])&gt;=7,YEAR(Opportunities[[#This Row],[Close]])+1,YEAR(Opportunities[[#This Row],[Close]])),2)&amp;"-Q"&amp;IF(MONTH(Opportunities[[#This Row],[Close]])&gt;=7,CEILING((MONTH(Opportunities[[#This Row],[Close]])-6)/3,1),CEILING((MONTH(Opportunities[[#This Row],[Close]])+6)/3,1))</f>
        <v xml:space="preserve"> FY26-Q4</v>
      </c>
      <c r="Q4" t="str">
        <f>"CY"&amp;RIGHT(YEAR(Opportunities[[#This Row],[Close]]),2)&amp;"-Q"&amp;ROUNDUP(MONTH(Opportunities[[#This Row],[Close]])/3, 0)</f>
        <v>CY26-Q2</v>
      </c>
      <c r="R4" t="str">
        <f>siteUrl&amp;"/Lists/"&amp;oppList&amp;"/DispForm.aspx?ID="&amp;Opportunities[[#This Row],[ID]]</f>
        <v>https://cleansheet5.sharepoint.com/sites/SalesFunnel//Lists/citizenOpportunities/DispForm.aspx?ID=3</v>
      </c>
      <c r="S4">
        <f>_xlfn.XLOOKUP(Opportunities[[#This Row],[Stage]],stage[Stage Name],stage[Index],"")</f>
        <v>2</v>
      </c>
      <c r="T4" t="str">
        <f>_xlfn.XLOOKUP(Opportunities[[#This Row],[StageNumber]],stage[Index],stage[Display])</f>
        <v>➁ - Nurturing</v>
      </c>
      <c r="U4">
        <f>Opportunities[[#This Row],[Amount]]*_xlfn.XLOOKUP(Opportunities[[#This Row],[Probability]],prob[Win Probability],prob[Value])</f>
        <v>286659.60000000003</v>
      </c>
      <c r="V4" t="str" cm="1">
        <f t="array" ref="V4">_xlfn.SWITCH(Opportunities[[#This Row],[Status]],"At Risk","⚠","Active","✓","⮾")</f>
        <v>⚠</v>
      </c>
      <c r="W4" t="str">
        <f>_xlfn.XLOOKUP(Opportunities[[#This Row],[CustomerId]],Customers[Id],Customers[Customer Name])</f>
        <v>Telecommunications Inc</v>
      </c>
      <c r="X4" t="str">
        <f>_xlfn.XLOOKUP(Opportunities[[#This Row],[CustomerId]],Customers[Id],Customers[url2])</f>
        <v>https://cleansheet5.sharepoint.com/sites/SalesFunnel//Lists/citizenCustomers/DispForm.aspx?ID=28</v>
      </c>
      <c r="Y4">
        <f>_xlfn.XLOOKUP(Opportunities[[#This Row],[ID]],View[ID],View[Visible])</f>
        <v>1</v>
      </c>
      <c r="Z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Telecommunications Inc
(Security Assessment &amp; Audit)
 $1.4m • Nurturing • Owner: Lisa Engineer</v>
      </c>
      <c r="AA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4" t="str" cm="1">
        <f t="array" ref="AC4">_xlfn.SWITCH(Opportunities[[#This Row],[Probability]],"High","↖","Medium","←","Low","↙")&amp;" " &amp;Opportunities[[#This Row],[Probability]]</f>
        <v>↙ Low</v>
      </c>
      <c r="AD4" t="b">
        <f>Opportunities[[#This Row],[WinProbDisplay]]="↖ High"</f>
        <v>0</v>
      </c>
    </row>
    <row r="5" spans="1:30" x14ac:dyDescent="0.25">
      <c r="A5">
        <v>4</v>
      </c>
      <c r="B5" t="s">
        <v>101</v>
      </c>
      <c r="C5" t="s">
        <v>19</v>
      </c>
      <c r="D5" t="s">
        <v>22</v>
      </c>
      <c r="E5">
        <v>649701</v>
      </c>
      <c r="F5" t="s">
        <v>85</v>
      </c>
      <c r="G5" s="40">
        <v>46197</v>
      </c>
      <c r="H5" s="40">
        <v>45893</v>
      </c>
      <c r="I5" t="s">
        <v>154</v>
      </c>
      <c r="J5">
        <v>24</v>
      </c>
      <c r="L5" t="s">
        <v>158</v>
      </c>
      <c r="M5" s="40">
        <v>46284</v>
      </c>
      <c r="O5">
        <v>0</v>
      </c>
      <c r="P5" t="str">
        <f>" FY"&amp;RIGHT(IF(MONTH(Opportunities[[#This Row],[Close]])&gt;=7,YEAR(Opportunities[[#This Row],[Close]])+1,YEAR(Opportunities[[#This Row],[Close]])),2)&amp;"-Q"&amp;IF(MONTH(Opportunities[[#This Row],[Close]])&gt;=7,CEILING((MONTH(Opportunities[[#This Row],[Close]])-6)/3,1),CEILING((MONTH(Opportunities[[#This Row],[Close]])+6)/3,1))</f>
        <v xml:space="preserve"> FY26-Q4</v>
      </c>
      <c r="Q5" t="str">
        <f>"CY"&amp;RIGHT(YEAR(Opportunities[[#This Row],[Close]]),2)&amp;"-Q"&amp;ROUNDUP(MONTH(Opportunities[[#This Row],[Close]])/3, 0)</f>
        <v>CY26-Q2</v>
      </c>
      <c r="R5" t="str">
        <f>siteUrl&amp;"/Lists/"&amp;oppList&amp;"/DispForm.aspx?ID="&amp;Opportunities[[#This Row],[ID]]</f>
        <v>https://cleansheet5.sharepoint.com/sites/SalesFunnel//Lists/citizenOpportunities/DispForm.aspx?ID=4</v>
      </c>
      <c r="S5">
        <f>_xlfn.XLOOKUP(Opportunities[[#This Row],[Stage]],stage[Stage Name],stage[Index],"")</f>
        <v>3</v>
      </c>
      <c r="T5" t="str">
        <f>_xlfn.XLOOKUP(Opportunities[[#This Row],[StageNumber]],stage[Index],stage[Display])</f>
        <v>➂ - Proposal</v>
      </c>
      <c r="U5">
        <f>Opportunities[[#This Row],[Amount]]*_xlfn.XLOOKUP(Opportunities[[#This Row],[Probability]],prob[Win Probability],prob[Value])</f>
        <v>129940.20000000001</v>
      </c>
      <c r="V5" t="str" cm="1">
        <f t="array" ref="V5">_xlfn.SWITCH(Opportunities[[#This Row],[Status]],"At Risk","⚠","Active","✓","⮾")</f>
        <v>✓</v>
      </c>
      <c r="W5" t="str">
        <f>_xlfn.XLOOKUP(Opportunities[[#This Row],[CustomerId]],Customers[Id],Customers[Customer Name])</f>
        <v>Security Solutions</v>
      </c>
      <c r="X5" t="str">
        <f>_xlfn.XLOOKUP(Opportunities[[#This Row],[CustomerId]],Customers[Id],Customers[url2])</f>
        <v>https://cleansheet5.sharepoint.com/sites/SalesFunnel//Lists/citizenCustomers/DispForm.aspx?ID=24</v>
      </c>
      <c r="Y5">
        <f>_xlfn.XLOOKUP(Opportunities[[#This Row],[ID]],View[ID],View[Visible])</f>
        <v>1</v>
      </c>
      <c r="Z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Security Solutions
(Manufacturing Automation System)
 $0.6m • Proposal • Owner: Robert Analyst</v>
      </c>
      <c r="AA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5" t="str" cm="1">
        <f t="array" ref="AC5">_xlfn.SWITCH(Opportunities[[#This Row],[Probability]],"High","↖","Medium","←","Low","↙")&amp;" " &amp;Opportunities[[#This Row],[Probability]]</f>
        <v>↙ Low</v>
      </c>
      <c r="AD5" t="b">
        <f>Opportunities[[#This Row],[WinProbDisplay]]="↖ High"</f>
        <v>0</v>
      </c>
    </row>
    <row r="6" spans="1:30" x14ac:dyDescent="0.25">
      <c r="A6">
        <v>5</v>
      </c>
      <c r="B6" t="s">
        <v>104</v>
      </c>
      <c r="C6" t="s">
        <v>19</v>
      </c>
      <c r="D6" t="s">
        <v>21</v>
      </c>
      <c r="E6">
        <v>1191206</v>
      </c>
      <c r="F6" t="s">
        <v>85</v>
      </c>
      <c r="G6" s="40">
        <v>46042</v>
      </c>
      <c r="H6" s="40">
        <v>45889</v>
      </c>
      <c r="I6" t="s">
        <v>149</v>
      </c>
      <c r="J6">
        <v>2</v>
      </c>
      <c r="L6" t="s">
        <v>102</v>
      </c>
      <c r="M6" s="40">
        <v>46091</v>
      </c>
      <c r="O6">
        <v>0</v>
      </c>
      <c r="P6" t="str">
        <f>" FY"&amp;RIGHT(IF(MONTH(Opportunities[[#This Row],[Close]])&gt;=7,YEAR(Opportunities[[#This Row],[Close]])+1,YEAR(Opportunities[[#This Row],[Close]])),2)&amp;"-Q"&amp;IF(MONTH(Opportunities[[#This Row],[Close]])&gt;=7,CEILING((MONTH(Opportunities[[#This Row],[Close]])-6)/3,1),CEILING((MONTH(Opportunities[[#This Row],[Close]])+6)/3,1))</f>
        <v xml:space="preserve"> FY26-Q3</v>
      </c>
      <c r="Q6" t="str">
        <f>"CY"&amp;RIGHT(YEAR(Opportunities[[#This Row],[Close]]),2)&amp;"-Q"&amp;ROUNDUP(MONTH(Opportunities[[#This Row],[Close]])/3, 0)</f>
        <v>CY26-Q1</v>
      </c>
      <c r="R6" t="str">
        <f>siteUrl&amp;"/Lists/"&amp;oppList&amp;"/DispForm.aspx?ID="&amp;Opportunities[[#This Row],[ID]]</f>
        <v>https://cleansheet5.sharepoint.com/sites/SalesFunnel//Lists/citizenOpportunities/DispForm.aspx?ID=5</v>
      </c>
      <c r="S6">
        <f>_xlfn.XLOOKUP(Opportunities[[#This Row],[Stage]],stage[Stage Name],stage[Index],"")</f>
        <v>5</v>
      </c>
      <c r="T6" t="str">
        <f>_xlfn.XLOOKUP(Opportunities[[#This Row],[StageNumber]],stage[Index],stage[Display])</f>
        <v>➄ - Project Execution</v>
      </c>
      <c r="U6">
        <f>Opportunities[[#This Row],[Amount]]*_xlfn.XLOOKUP(Opportunities[[#This Row],[Probability]],prob[Win Probability],prob[Value])</f>
        <v>238241.2</v>
      </c>
      <c r="V6" t="str" cm="1">
        <f t="array" ref="V6">_xlfn.SWITCH(Opportunities[[#This Row],[Status]],"At Risk","⚠","Active","✓","⮾")</f>
        <v>✓</v>
      </c>
      <c r="W6" t="str">
        <f>_xlfn.XLOOKUP(Opportunities[[#This Row],[CustomerId]],Customers[Id],Customers[Customer Name])</f>
        <v>Global Industries</v>
      </c>
      <c r="X6" t="str">
        <f>_xlfn.XLOOKUP(Opportunities[[#This Row],[CustomerId]],Customers[Id],Customers[url2])</f>
        <v>https://cleansheet5.sharepoint.com/sites/SalesFunnel//Lists/citizenCustomers/DispForm.aspx?ID=2</v>
      </c>
      <c r="Y6">
        <f>_xlfn.XLOOKUP(Opportunities[[#This Row],[ID]],View[ID],View[Visible])</f>
        <v>1</v>
      </c>
      <c r="Z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(Healthcare Data Analytics Platform)
 $1.2m • Project Execution • Owner: Lisa Engineer</v>
      </c>
      <c r="AA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6" t="str" cm="1">
        <f t="array" ref="AC6">_xlfn.SWITCH(Opportunities[[#This Row],[Probability]],"High","↖","Medium","←","Low","↙")&amp;" " &amp;Opportunities[[#This Row],[Probability]]</f>
        <v>↙ Low</v>
      </c>
      <c r="AD6" t="b">
        <f>Opportunities[[#This Row],[WinProbDisplay]]="↖ High"</f>
        <v>0</v>
      </c>
    </row>
    <row r="7" spans="1:30" x14ac:dyDescent="0.25">
      <c r="A7">
        <v>6</v>
      </c>
      <c r="B7" t="s">
        <v>148</v>
      </c>
      <c r="C7" t="s">
        <v>19</v>
      </c>
      <c r="D7" t="s">
        <v>18</v>
      </c>
      <c r="E7">
        <v>990593</v>
      </c>
      <c r="F7" t="s">
        <v>85</v>
      </c>
      <c r="G7" s="40">
        <v>45943</v>
      </c>
      <c r="H7" s="40">
        <v>45908</v>
      </c>
      <c r="I7" t="s">
        <v>94</v>
      </c>
      <c r="J7">
        <v>1</v>
      </c>
      <c r="L7" t="s">
        <v>93</v>
      </c>
      <c r="M7" s="40">
        <v>46012</v>
      </c>
      <c r="O7">
        <v>0</v>
      </c>
      <c r="P7" t="str">
        <f>" FY"&amp;RIGHT(IF(MONTH(Opportunities[[#This Row],[Close]])&gt;=7,YEAR(Opportunities[[#This Row],[Close]])+1,YEAR(Opportunities[[#This Row],[Close]])),2)&amp;"-Q"&amp;IF(MONTH(Opportunities[[#This Row],[Close]])&gt;=7,CEILING((MONTH(Opportunities[[#This Row],[Close]])-6)/3,1),CEILING((MONTH(Opportunities[[#This Row],[Close]])+6)/3,1))</f>
        <v xml:space="preserve"> FY26-Q2</v>
      </c>
      <c r="Q7" t="str">
        <f>"CY"&amp;RIGHT(YEAR(Opportunities[[#This Row],[Close]]),2)&amp;"-Q"&amp;ROUNDUP(MONTH(Opportunities[[#This Row],[Close]])/3, 0)</f>
        <v>CY25-Q4</v>
      </c>
      <c r="R7" t="str">
        <f>siteUrl&amp;"/Lists/"&amp;oppList&amp;"/DispForm.aspx?ID="&amp;Opportunities[[#This Row],[ID]]</f>
        <v>https://cleansheet5.sharepoint.com/sites/SalesFunnel//Lists/citizenOpportunities/DispForm.aspx?ID=6</v>
      </c>
      <c r="S7">
        <f>_xlfn.XLOOKUP(Opportunities[[#This Row],[Stage]],stage[Stage Name],stage[Index],"")</f>
        <v>4</v>
      </c>
      <c r="T7" t="str">
        <f>_xlfn.XLOOKUP(Opportunities[[#This Row],[StageNumber]],stage[Index],stage[Display])</f>
        <v>➃ - Negotiation</v>
      </c>
      <c r="U7">
        <f>Opportunities[[#This Row],[Amount]]*_xlfn.XLOOKUP(Opportunities[[#This Row],[Probability]],prob[Win Probability],prob[Value])</f>
        <v>198118.6</v>
      </c>
      <c r="V7" t="str" cm="1">
        <f t="array" ref="V7">_xlfn.SWITCH(Opportunities[[#This Row],[Status]],"At Risk","⚠","Active","✓","⮾")</f>
        <v>✓</v>
      </c>
      <c r="W7" t="str">
        <f>_xlfn.XLOOKUP(Opportunities[[#This Row],[CustomerId]],Customers[Id],Customers[Customer Name])</f>
        <v>ACME Corporation</v>
      </c>
      <c r="X7" t="str">
        <f>_xlfn.XLOOKUP(Opportunities[[#This Row],[CustomerId]],Customers[Id],Customers[url2])</f>
        <v>https://cleansheet5.sharepoint.com/sites/SalesFunnel//Lists/citizenCustomers/DispForm.aspx?ID=1</v>
      </c>
      <c r="Y7">
        <f>_xlfn.XLOOKUP(Opportunities[[#This Row],[ID]],View[ID],View[Visible])</f>
        <v>1</v>
      </c>
      <c r="Z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(Digital Transformation Project)
 $1.0m • Negotiation • Owner: John Manager</v>
      </c>
      <c r="AA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7" t="str" cm="1">
        <f t="array" ref="AC7">_xlfn.SWITCH(Opportunities[[#This Row],[Probability]],"High","↖","Medium","←","Low","↙")&amp;" " &amp;Opportunities[[#This Row],[Probability]]</f>
        <v>↙ Low</v>
      </c>
      <c r="AD7" t="b">
        <f>Opportunities[[#This Row],[WinProbDisplay]]="↖ High"</f>
        <v>0</v>
      </c>
    </row>
    <row r="8" spans="1:30" x14ac:dyDescent="0.25">
      <c r="A8">
        <v>7</v>
      </c>
      <c r="B8" t="s">
        <v>150</v>
      </c>
      <c r="C8" t="s">
        <v>19</v>
      </c>
      <c r="D8" t="s">
        <v>22</v>
      </c>
      <c r="E8">
        <v>1166392</v>
      </c>
      <c r="F8" t="s">
        <v>83</v>
      </c>
      <c r="G8" s="40">
        <v>46055</v>
      </c>
      <c r="H8" s="40">
        <v>45919</v>
      </c>
      <c r="I8" t="s">
        <v>154</v>
      </c>
      <c r="J8">
        <v>15</v>
      </c>
      <c r="L8" t="s">
        <v>158</v>
      </c>
      <c r="M8" s="40">
        <v>46069</v>
      </c>
      <c r="O8">
        <v>0</v>
      </c>
      <c r="P8" t="str">
        <f>" FY"&amp;RIGHT(IF(MONTH(Opportunities[[#This Row],[Close]])&gt;=7,YEAR(Opportunities[[#This Row],[Close]])+1,YEAR(Opportunities[[#This Row],[Close]])),2)&amp;"-Q"&amp;IF(MONTH(Opportunities[[#This Row],[Close]])&gt;=7,CEILING((MONTH(Opportunities[[#This Row],[Close]])-6)/3,1),CEILING((MONTH(Opportunities[[#This Row],[Close]])+6)/3,1))</f>
        <v xml:space="preserve"> FY26-Q3</v>
      </c>
      <c r="Q8" t="str">
        <f>"CY"&amp;RIGHT(YEAR(Opportunities[[#This Row],[Close]]),2)&amp;"-Q"&amp;ROUNDUP(MONTH(Opportunities[[#This Row],[Close]])/3, 0)</f>
        <v>CY26-Q1</v>
      </c>
      <c r="R8" t="str">
        <f>siteUrl&amp;"/Lists/"&amp;oppList&amp;"/DispForm.aspx?ID="&amp;Opportunities[[#This Row],[ID]]</f>
        <v>https://cleansheet5.sharepoint.com/sites/SalesFunnel//Lists/citizenOpportunities/DispForm.aspx?ID=7</v>
      </c>
      <c r="S8">
        <f>_xlfn.XLOOKUP(Opportunities[[#This Row],[Stage]],stage[Stage Name],stage[Index],"")</f>
        <v>3</v>
      </c>
      <c r="T8" t="str">
        <f>_xlfn.XLOOKUP(Opportunities[[#This Row],[StageNumber]],stage[Index],stage[Display])</f>
        <v>➂ - Proposal</v>
      </c>
      <c r="U8">
        <f>Opportunities[[#This Row],[Amount]]*_xlfn.XLOOKUP(Opportunities[[#This Row],[Probability]],prob[Win Probability],prob[Value])</f>
        <v>466556.80000000005</v>
      </c>
      <c r="V8" t="str" cm="1">
        <f t="array" ref="V8">_xlfn.SWITCH(Opportunities[[#This Row],[Status]],"At Risk","⚠","Active","✓","⮾")</f>
        <v>✓</v>
      </c>
      <c r="W8" t="str">
        <f>_xlfn.XLOOKUP(Opportunities[[#This Row],[CustomerId]],Customers[Id],Customers[Customer Name])</f>
        <v>Pharmaceutical Research</v>
      </c>
      <c r="X8" t="str">
        <f>_xlfn.XLOOKUP(Opportunities[[#This Row],[CustomerId]],Customers[Id],Customers[url2])</f>
        <v>https://cleansheet5.sharepoint.com/sites/SalesFunnel//Lists/citizenCustomers/DispForm.aspx?ID=15</v>
      </c>
      <c r="Y8">
        <f>_xlfn.XLOOKUP(Opportunities[[#This Row],[ID]],View[ID],View[Visible])</f>
        <v>1</v>
      </c>
      <c r="Z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(Network Infrastructure Upgrade)
 $1.2m • Proposal • Owner: Robert Analyst</v>
      </c>
      <c r="AA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8" t="str" cm="1">
        <f t="array" ref="AC8">_xlfn.SWITCH(Opportunities[[#This Row],[Probability]],"High","↖","Medium","←","Low","↙")&amp;" " &amp;Opportunities[[#This Row],[Probability]]</f>
        <v>← Medium</v>
      </c>
      <c r="AD8" t="b">
        <f>Opportunities[[#This Row],[WinProbDisplay]]="↖ High"</f>
        <v>0</v>
      </c>
    </row>
    <row r="9" spans="1:30" x14ac:dyDescent="0.25">
      <c r="A9">
        <v>8</v>
      </c>
      <c r="B9" t="s">
        <v>153</v>
      </c>
      <c r="C9" t="s">
        <v>19</v>
      </c>
      <c r="D9" t="s">
        <v>24</v>
      </c>
      <c r="E9">
        <v>666331</v>
      </c>
      <c r="F9" t="s">
        <v>83</v>
      </c>
      <c r="G9" s="40">
        <v>46036</v>
      </c>
      <c r="H9" s="40">
        <v>45917</v>
      </c>
      <c r="I9" t="s">
        <v>94</v>
      </c>
      <c r="J9">
        <v>16</v>
      </c>
      <c r="L9" t="s">
        <v>158</v>
      </c>
      <c r="M9" s="40">
        <v>46123</v>
      </c>
      <c r="O9">
        <v>0</v>
      </c>
      <c r="P9" t="str">
        <f>" FY"&amp;RIGHT(IF(MONTH(Opportunities[[#This Row],[Close]])&gt;=7,YEAR(Opportunities[[#This Row],[Close]])+1,YEAR(Opportunities[[#This Row],[Close]])),2)&amp;"-Q"&amp;IF(MONTH(Opportunities[[#This Row],[Close]])&gt;=7,CEILING((MONTH(Opportunities[[#This Row],[Close]])-6)/3,1),CEILING((MONTH(Opportunities[[#This Row],[Close]])+6)/3,1))</f>
        <v xml:space="preserve"> FY26-Q3</v>
      </c>
      <c r="Q9" t="str">
        <f>"CY"&amp;RIGHT(YEAR(Opportunities[[#This Row],[Close]]),2)&amp;"-Q"&amp;ROUNDUP(MONTH(Opportunities[[#This Row],[Close]])/3, 0)</f>
        <v>CY26-Q1</v>
      </c>
      <c r="R9" t="str">
        <f>siteUrl&amp;"/Lists/"&amp;oppList&amp;"/DispForm.aspx?ID="&amp;Opportunities[[#This Row],[ID]]</f>
        <v>https://cleansheet5.sharepoint.com/sites/SalesFunnel//Lists/citizenOpportunities/DispForm.aspx?ID=8</v>
      </c>
      <c r="S9">
        <f>_xlfn.XLOOKUP(Opportunities[[#This Row],[Stage]],stage[Stage Name],stage[Index],"")</f>
        <v>6</v>
      </c>
      <c r="T9" t="str">
        <f>_xlfn.XLOOKUP(Opportunities[[#This Row],[StageNumber]],stage[Index],stage[Display])</f>
        <v>➅ - Closeout</v>
      </c>
      <c r="U9">
        <f>Opportunities[[#This Row],[Amount]]*_xlfn.XLOOKUP(Opportunities[[#This Row],[Probability]],prob[Win Probability],prob[Value])</f>
        <v>266532.40000000002</v>
      </c>
      <c r="V9" t="str" cm="1">
        <f t="array" ref="V9">_xlfn.SWITCH(Opportunities[[#This Row],[Status]],"At Risk","⚠","Active","✓","⮾")</f>
        <v>✓</v>
      </c>
      <c r="W9" t="str">
        <f>_xlfn.XLOOKUP(Opportunities[[#This Row],[CustomerId]],Customers[Id],Customers[Customer Name])</f>
        <v>Real Estate Ventures</v>
      </c>
      <c r="X9" t="str">
        <f>_xlfn.XLOOKUP(Opportunities[[#This Row],[CustomerId]],Customers[Id],Customers[url2])</f>
        <v>https://cleansheet5.sharepoint.com/sites/SalesFunnel//Lists/citizenCustomers/DispForm.aspx?ID=16</v>
      </c>
      <c r="Y9">
        <f>_xlfn.XLOOKUP(Opportunities[[#This Row],[ID]],View[ID],View[Visible])</f>
        <v>1</v>
      </c>
      <c r="Z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Real Estate Ventures
(Business Intelligence Solution)
 $0.7m • Closeout • Owner: Robert Analyst</v>
      </c>
      <c r="AA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9" t="str" cm="1">
        <f t="array" ref="AC9">_xlfn.SWITCH(Opportunities[[#This Row],[Probability]],"High","↖","Medium","←","Low","↙")&amp;" " &amp;Opportunities[[#This Row],[Probability]]</f>
        <v>← Medium</v>
      </c>
      <c r="AD9" t="b">
        <f>Opportunities[[#This Row],[WinProbDisplay]]="↖ High"</f>
        <v>0</v>
      </c>
    </row>
    <row r="10" spans="1:30" x14ac:dyDescent="0.25">
      <c r="A10">
        <v>9</v>
      </c>
      <c r="B10" t="s">
        <v>155</v>
      </c>
      <c r="C10" t="s">
        <v>17</v>
      </c>
      <c r="D10" t="s">
        <v>24</v>
      </c>
      <c r="E10">
        <v>1095721</v>
      </c>
      <c r="F10" t="s">
        <v>83</v>
      </c>
      <c r="G10" s="40">
        <v>46321</v>
      </c>
      <c r="H10" s="40">
        <v>45921</v>
      </c>
      <c r="I10" t="s">
        <v>94</v>
      </c>
      <c r="J10">
        <v>21</v>
      </c>
      <c r="L10" t="s">
        <v>99</v>
      </c>
      <c r="M10" s="40">
        <v>46358</v>
      </c>
      <c r="O10">
        <v>0</v>
      </c>
      <c r="P10" t="str">
        <f>" FY"&amp;RIGHT(IF(MONTH(Opportunities[[#This Row],[Close]])&gt;=7,YEAR(Opportunities[[#This Row],[Close]])+1,YEAR(Opportunities[[#This Row],[Close]])),2)&amp;"-Q"&amp;IF(MONTH(Opportunities[[#This Row],[Close]])&gt;=7,CEILING((MONTH(Opportunities[[#This Row],[Close]])-6)/3,1),CEILING((MONTH(Opportunities[[#This Row],[Close]])+6)/3,1))</f>
        <v xml:space="preserve"> FY27-Q2</v>
      </c>
      <c r="Q10" t="str">
        <f>"CY"&amp;RIGHT(YEAR(Opportunities[[#This Row],[Close]]),2)&amp;"-Q"&amp;ROUNDUP(MONTH(Opportunities[[#This Row],[Close]])/3, 0)</f>
        <v>CY26-Q4</v>
      </c>
      <c r="R10" t="str">
        <f>siteUrl&amp;"/Lists/"&amp;oppList&amp;"/DispForm.aspx?ID="&amp;Opportunities[[#This Row],[ID]]</f>
        <v>https://cleansheet5.sharepoint.com/sites/SalesFunnel//Lists/citizenOpportunities/DispForm.aspx?ID=9</v>
      </c>
      <c r="S10">
        <f>_xlfn.XLOOKUP(Opportunities[[#This Row],[Stage]],stage[Stage Name],stage[Index],"")</f>
        <v>6</v>
      </c>
      <c r="T10" t="str">
        <f>_xlfn.XLOOKUP(Opportunities[[#This Row],[StageNumber]],stage[Index],stage[Display])</f>
        <v>➅ - Closeout</v>
      </c>
      <c r="U10">
        <f>Opportunities[[#This Row],[Amount]]*_xlfn.XLOOKUP(Opportunities[[#This Row],[Probability]],prob[Win Probability],prob[Value])</f>
        <v>438288.4</v>
      </c>
      <c r="V10" t="str" cm="1">
        <f t="array" ref="V10">_xlfn.SWITCH(Opportunities[[#This Row],[Status]],"At Risk","⚠","Active","✓","⮾")</f>
        <v>⚠</v>
      </c>
      <c r="W10" t="str">
        <f>_xlfn.XLOOKUP(Opportunities[[#This Row],[CustomerId]],Customers[Id],Customers[Customer Name])</f>
        <v>Textile Manufacturing</v>
      </c>
      <c r="X10" t="str">
        <f>_xlfn.XLOOKUP(Opportunities[[#This Row],[CustomerId]],Customers[Id],Customers[url2])</f>
        <v>https://cleansheet5.sharepoint.com/sites/SalesFunnel//Lists/citizenCustomers/DispForm.aspx?ID=21</v>
      </c>
      <c r="Y10">
        <f>_xlfn.XLOOKUP(Opportunities[[#This Row],[ID]],View[ID],View[Visible])</f>
        <v>1</v>
      </c>
      <c r="Z1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Textile Manufacturing
(Customer Portal Development)
 $1.1m • Closeout • Owner: Mike Consultant</v>
      </c>
      <c r="AA1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10" t="str" cm="1">
        <f t="array" ref="AC10">_xlfn.SWITCH(Opportunities[[#This Row],[Probability]],"High","↖","Medium","←","Low","↙")&amp;" " &amp;Opportunities[[#This Row],[Probability]]</f>
        <v>← Medium</v>
      </c>
      <c r="AD10" t="b">
        <f>Opportunities[[#This Row],[WinProbDisplay]]="↖ High"</f>
        <v>0</v>
      </c>
    </row>
    <row r="11" spans="1:30" x14ac:dyDescent="0.25">
      <c r="A11">
        <v>10</v>
      </c>
      <c r="B11" t="s">
        <v>156</v>
      </c>
      <c r="C11" t="s">
        <v>19</v>
      </c>
      <c r="D11" t="s">
        <v>20</v>
      </c>
      <c r="E11">
        <v>1461926</v>
      </c>
      <c r="F11" t="s">
        <v>84</v>
      </c>
      <c r="G11" s="40">
        <v>46139</v>
      </c>
      <c r="H11" s="40">
        <v>45886</v>
      </c>
      <c r="I11" t="s">
        <v>97</v>
      </c>
      <c r="J11">
        <v>26</v>
      </c>
      <c r="L11" t="s">
        <v>151</v>
      </c>
      <c r="M11" s="40">
        <v>46148</v>
      </c>
      <c r="O11">
        <v>0</v>
      </c>
      <c r="P11" t="str">
        <f>" FY"&amp;RIGHT(IF(MONTH(Opportunities[[#This Row],[Close]])&gt;=7,YEAR(Opportunities[[#This Row],[Close]])+1,YEAR(Opportunities[[#This Row],[Close]])),2)&amp;"-Q"&amp;IF(MONTH(Opportunities[[#This Row],[Close]])&gt;=7,CEILING((MONTH(Opportunities[[#This Row],[Close]])-6)/3,1),CEILING((MONTH(Opportunities[[#This Row],[Close]])+6)/3,1))</f>
        <v xml:space="preserve"> FY26-Q4</v>
      </c>
      <c r="Q11" t="str">
        <f>"CY"&amp;RIGHT(YEAR(Opportunities[[#This Row],[Close]]),2)&amp;"-Q"&amp;ROUNDUP(MONTH(Opportunities[[#This Row],[Close]])/3, 0)</f>
        <v>CY26-Q2</v>
      </c>
      <c r="R11" t="str">
        <f>siteUrl&amp;"/Lists/"&amp;oppList&amp;"/DispForm.aspx?ID="&amp;Opportunities[[#This Row],[ID]]</f>
        <v>https://cleansheet5.sharepoint.com/sites/SalesFunnel//Lists/citizenOpportunities/DispForm.aspx?ID=10</v>
      </c>
      <c r="S11">
        <f>_xlfn.XLOOKUP(Opportunities[[#This Row],[Stage]],stage[Stage Name],stage[Index],"")</f>
        <v>1</v>
      </c>
      <c r="T11" t="str">
        <f>_xlfn.XLOOKUP(Opportunities[[#This Row],[StageNumber]],stage[Index],stage[Display])</f>
        <v>➀ - Lead Qualification</v>
      </c>
      <c r="U11">
        <f>Opportunities[[#This Row],[Amount]]*_xlfn.XLOOKUP(Opportunities[[#This Row],[Probability]],prob[Win Probability],prob[Value])</f>
        <v>1315733.4000000001</v>
      </c>
      <c r="V11" t="str" cm="1">
        <f t="array" ref="V11">_xlfn.SWITCH(Opportunities[[#This Row],[Status]],"At Risk","⚠","Active","✓","⮾")</f>
        <v>✓</v>
      </c>
      <c r="W11" t="str">
        <f>_xlfn.XLOOKUP(Opportunities[[#This Row],[CustomerId]],Customers[Id],Customers[Customer Name])</f>
        <v>Publishing House</v>
      </c>
      <c r="X11" t="str">
        <f>_xlfn.XLOOKUP(Opportunities[[#This Row],[CustomerId]],Customers[Id],Customers[url2])</f>
        <v>https://cleansheet5.sharepoint.com/sites/SalesFunnel//Lists/citizenCustomers/DispForm.aspx?ID=26</v>
      </c>
      <c r="Y11">
        <f>_xlfn.XLOOKUP(Opportunities[[#This Row],[ID]],View[ID],View[Visible])</f>
        <v>1</v>
      </c>
      <c r="Z1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Publishing House
(Mobile Application Development)
 $1.5m • Lead Qualification • Owner: Maria Coordinator</v>
      </c>
      <c r="AA1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11" t="str" cm="1">
        <f t="array" ref="AC11">_xlfn.SWITCH(Opportunities[[#This Row],[Probability]],"High","↖","Medium","←","Low","↙")&amp;" " &amp;Opportunities[[#This Row],[Probability]]</f>
        <v>↖ High</v>
      </c>
      <c r="AD11" t="b">
        <f>Opportunities[[#This Row],[WinProbDisplay]]="↖ High"</f>
        <v>1</v>
      </c>
    </row>
    <row r="12" spans="1:30" x14ac:dyDescent="0.25">
      <c r="A12">
        <v>11</v>
      </c>
      <c r="B12" t="s">
        <v>157</v>
      </c>
      <c r="C12" t="s">
        <v>19</v>
      </c>
      <c r="D12" t="s">
        <v>18</v>
      </c>
      <c r="E12">
        <v>1315150</v>
      </c>
      <c r="F12" t="s">
        <v>85</v>
      </c>
      <c r="G12" s="40">
        <v>46204</v>
      </c>
      <c r="H12" s="40">
        <v>45924</v>
      </c>
      <c r="I12" t="s">
        <v>97</v>
      </c>
      <c r="J12">
        <v>11</v>
      </c>
      <c r="L12" t="s">
        <v>394</v>
      </c>
      <c r="M12" s="40">
        <v>46224</v>
      </c>
      <c r="O12">
        <v>0</v>
      </c>
      <c r="P12" t="str">
        <f>" FY"&amp;RIGHT(IF(MONTH(Opportunities[[#This Row],[Close]])&gt;=7,YEAR(Opportunities[[#This Row],[Close]])+1,YEAR(Opportunities[[#This Row],[Close]])),2)&amp;"-Q"&amp;IF(MONTH(Opportunities[[#This Row],[Close]])&gt;=7,CEILING((MONTH(Opportunities[[#This Row],[Close]])-6)/3,1),CEILING((MONTH(Opportunities[[#This Row],[Close]])+6)/3,1))</f>
        <v xml:space="preserve"> FY27-Q1</v>
      </c>
      <c r="Q12" t="str">
        <f>"CY"&amp;RIGHT(YEAR(Opportunities[[#This Row],[Close]]),2)&amp;"-Q"&amp;ROUNDUP(MONTH(Opportunities[[#This Row],[Close]])/3, 0)</f>
        <v>CY26-Q3</v>
      </c>
      <c r="R12" t="str">
        <f>siteUrl&amp;"/Lists/"&amp;oppList&amp;"/DispForm.aspx?ID="&amp;Opportunities[[#This Row],[ID]]</f>
        <v>https://cleansheet5.sharepoint.com/sites/SalesFunnel//Lists/citizenOpportunities/DispForm.aspx?ID=11</v>
      </c>
      <c r="S12">
        <f>_xlfn.XLOOKUP(Opportunities[[#This Row],[Stage]],stage[Stage Name],stage[Index],"")</f>
        <v>4</v>
      </c>
      <c r="T12" t="str">
        <f>_xlfn.XLOOKUP(Opportunities[[#This Row],[StageNumber]],stage[Index],stage[Display])</f>
        <v>➃ - Negotiation</v>
      </c>
      <c r="U12">
        <f>Opportunities[[#This Row],[Amount]]*_xlfn.XLOOKUP(Opportunities[[#This Row],[Probability]],prob[Win Probability],prob[Value])</f>
        <v>263030</v>
      </c>
      <c r="V12" t="str" cm="1">
        <f t="array" ref="V12">_xlfn.SWITCH(Opportunities[[#This Row],[Status]],"At Risk","⚠","Active","✓","⮾")</f>
        <v>✓</v>
      </c>
      <c r="W12" t="str">
        <f>_xlfn.XLOOKUP(Opportunities[[#This Row],[CustomerId]],Customers[Id],Customers[Customer Name])</f>
        <v>Transport Logistics</v>
      </c>
      <c r="X12" t="str">
        <f>_xlfn.XLOOKUP(Opportunities[[#This Row],[CustomerId]],Customers[Id],Customers[url2])</f>
        <v>https://cleansheet5.sharepoint.com/sites/SalesFunnel//Lists/citizenCustomers/DispForm.aspx?ID=11</v>
      </c>
      <c r="Y12">
        <f>_xlfn.XLOOKUP(Opportunities[[#This Row],[ID]],View[ID],View[Visible])</f>
        <v>1</v>
      </c>
      <c r="Z1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(Data Center Consolidation)
 $1.3m • Negotiation • Owner: Amanda Sales</v>
      </c>
      <c r="AA1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12" t="str" cm="1">
        <f t="array" ref="AC12">_xlfn.SWITCH(Opportunities[[#This Row],[Probability]],"High","↖","Medium","←","Low","↙")&amp;" " &amp;Opportunities[[#This Row],[Probability]]</f>
        <v>↙ Low</v>
      </c>
      <c r="AD12" t="b">
        <f>Opportunities[[#This Row],[WinProbDisplay]]="↖ High"</f>
        <v>0</v>
      </c>
    </row>
    <row r="13" spans="1:30" x14ac:dyDescent="0.25">
      <c r="A13">
        <v>12</v>
      </c>
      <c r="B13" t="s">
        <v>159</v>
      </c>
      <c r="C13" t="s">
        <v>19</v>
      </c>
      <c r="D13" t="s">
        <v>23</v>
      </c>
      <c r="E13">
        <v>1217080</v>
      </c>
      <c r="F13" t="s">
        <v>84</v>
      </c>
      <c r="G13" s="40">
        <v>46097</v>
      </c>
      <c r="H13" s="40">
        <v>45929</v>
      </c>
      <c r="I13" t="s">
        <v>94</v>
      </c>
      <c r="J13">
        <v>30</v>
      </c>
      <c r="L13" t="s">
        <v>96</v>
      </c>
      <c r="M13" s="40">
        <v>46143</v>
      </c>
      <c r="O13">
        <v>0</v>
      </c>
      <c r="P13" t="str">
        <f>" FY"&amp;RIGHT(IF(MONTH(Opportunities[[#This Row],[Close]])&gt;=7,YEAR(Opportunities[[#This Row],[Close]])+1,YEAR(Opportunities[[#This Row],[Close]])),2)&amp;"-Q"&amp;IF(MONTH(Opportunities[[#This Row],[Close]])&gt;=7,CEILING((MONTH(Opportunities[[#This Row],[Close]])-6)/3,1),CEILING((MONTH(Opportunities[[#This Row],[Close]])+6)/3,1))</f>
        <v xml:space="preserve"> FY26-Q3</v>
      </c>
      <c r="Q13" t="str">
        <f>"CY"&amp;RIGHT(YEAR(Opportunities[[#This Row],[Close]]),2)&amp;"-Q"&amp;ROUNDUP(MONTH(Opportunities[[#This Row],[Close]])/3, 0)</f>
        <v>CY26-Q1</v>
      </c>
      <c r="R13" t="str">
        <f>siteUrl&amp;"/Lists/"&amp;oppList&amp;"/DispForm.aspx?ID="&amp;Opportunities[[#This Row],[ID]]</f>
        <v>https://cleansheet5.sharepoint.com/sites/SalesFunnel//Lists/citizenOpportunities/DispForm.aspx?ID=12</v>
      </c>
      <c r="S13">
        <f>_xlfn.XLOOKUP(Opportunities[[#This Row],[Stage]],stage[Stage Name],stage[Index],"")</f>
        <v>2</v>
      </c>
      <c r="T13" t="str">
        <f>_xlfn.XLOOKUP(Opportunities[[#This Row],[StageNumber]],stage[Index],stage[Display])</f>
        <v>➁ - Nurturing</v>
      </c>
      <c r="U13">
        <f>Opportunities[[#This Row],[Amount]]*_xlfn.XLOOKUP(Opportunities[[#This Row],[Probability]],prob[Win Probability],prob[Value])</f>
        <v>1095372</v>
      </c>
      <c r="V13" t="str" cm="1">
        <f t="array" ref="V13">_xlfn.SWITCH(Opportunities[[#This Row],[Status]],"At Risk","⚠","Active","✓","⮾")</f>
        <v>✓</v>
      </c>
      <c r="W13" t="str">
        <f>_xlfn.XLOOKUP(Opportunities[[#This Row],[CustomerId]],Customers[Id],Customers[Customer Name])</f>
        <v>Consulting Experts</v>
      </c>
      <c r="X13" t="str">
        <f>_xlfn.XLOOKUP(Opportunities[[#This Row],[CustomerId]],Customers[Id],Customers[url2])</f>
        <v>https://cleansheet5.sharepoint.com/sites/SalesFunnel//Lists/citizenCustomers/DispForm.aspx?ID=30</v>
      </c>
      <c r="Y13">
        <f>_xlfn.XLOOKUP(Opportunities[[#This Row],[ID]],View[ID],View[Visible])</f>
        <v>1</v>
      </c>
      <c r="Z1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Consulting Experts
(Cybersecurity Enhancement)
 $1.2m • Nurturing • Owner: Sarah Director</v>
      </c>
      <c r="AA1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13" t="str" cm="1">
        <f t="array" ref="AC13">_xlfn.SWITCH(Opportunities[[#This Row],[Probability]],"High","↖","Medium","←","Low","↙")&amp;" " &amp;Opportunities[[#This Row],[Probability]]</f>
        <v>↖ High</v>
      </c>
      <c r="AD13" t="b">
        <f>Opportunities[[#This Row],[WinProbDisplay]]="↖ High"</f>
        <v>1</v>
      </c>
    </row>
    <row r="14" spans="1:30" x14ac:dyDescent="0.25">
      <c r="A14">
        <v>13</v>
      </c>
      <c r="B14" t="s">
        <v>161</v>
      </c>
      <c r="C14" t="s">
        <v>19</v>
      </c>
      <c r="D14" t="s">
        <v>21</v>
      </c>
      <c r="E14">
        <v>1688010</v>
      </c>
      <c r="F14" t="s">
        <v>84</v>
      </c>
      <c r="G14" s="40">
        <v>46345</v>
      </c>
      <c r="H14" s="40">
        <v>45898</v>
      </c>
      <c r="I14" t="s">
        <v>94</v>
      </c>
      <c r="J14">
        <v>20</v>
      </c>
      <c r="L14" t="s">
        <v>158</v>
      </c>
      <c r="M14" s="40">
        <v>46372</v>
      </c>
      <c r="O14">
        <v>0</v>
      </c>
      <c r="P14" t="str">
        <f>" FY"&amp;RIGHT(IF(MONTH(Opportunities[[#This Row],[Close]])&gt;=7,YEAR(Opportunities[[#This Row],[Close]])+1,YEAR(Opportunities[[#This Row],[Close]])),2)&amp;"-Q"&amp;IF(MONTH(Opportunities[[#This Row],[Close]])&gt;=7,CEILING((MONTH(Opportunities[[#This Row],[Close]])-6)/3,1),CEILING((MONTH(Opportunities[[#This Row],[Close]])+6)/3,1))</f>
        <v xml:space="preserve"> FY27-Q2</v>
      </c>
      <c r="Q14" t="str">
        <f>"CY"&amp;RIGHT(YEAR(Opportunities[[#This Row],[Close]]),2)&amp;"-Q"&amp;ROUNDUP(MONTH(Opportunities[[#This Row],[Close]])/3, 0)</f>
        <v>CY26-Q4</v>
      </c>
      <c r="R14" t="str">
        <f>siteUrl&amp;"/Lists/"&amp;oppList&amp;"/DispForm.aspx?ID="&amp;Opportunities[[#This Row],[ID]]</f>
        <v>https://cleansheet5.sharepoint.com/sites/SalesFunnel//Lists/citizenOpportunities/DispForm.aspx?ID=13</v>
      </c>
      <c r="S14">
        <f>_xlfn.XLOOKUP(Opportunities[[#This Row],[Stage]],stage[Stage Name],stage[Index],"")</f>
        <v>5</v>
      </c>
      <c r="T14" t="str">
        <f>_xlfn.XLOOKUP(Opportunities[[#This Row],[StageNumber]],stage[Index],stage[Display])</f>
        <v>➄ - Project Execution</v>
      </c>
      <c r="U14">
        <f>Opportunities[[#This Row],[Amount]]*_xlfn.XLOOKUP(Opportunities[[#This Row],[Probability]],prob[Win Probability],prob[Value])</f>
        <v>1519209</v>
      </c>
      <c r="V14" t="str" cm="1">
        <f t="array" ref="V14">_xlfn.SWITCH(Opportunities[[#This Row],[Status]],"At Risk","⚠","Active","✓","⮾")</f>
        <v>✓</v>
      </c>
      <c r="W14" t="str">
        <f>_xlfn.XLOOKUP(Opportunities[[#This Row],[CustomerId]],Customers[Id],Customers[Customer Name])</f>
        <v>Automotive Parts Plus</v>
      </c>
      <c r="X14" t="str">
        <f>_xlfn.XLOOKUP(Opportunities[[#This Row],[CustomerId]],Customers[Id],Customers[url2])</f>
        <v>https://cleansheet5.sharepoint.com/sites/SalesFunnel//Lists/citizenCustomers/DispForm.aspx?ID=20</v>
      </c>
      <c r="Y14">
        <f>_xlfn.XLOOKUP(Opportunities[[#This Row],[ID]],View[ID],View[Visible])</f>
        <v>1</v>
      </c>
      <c r="Z1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Automotive Parts Plus
(E-commerce Platform)
 $1.7m • Project Execution • Owner: Robert Analyst</v>
      </c>
      <c r="AA1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14" t="str" cm="1">
        <f t="array" ref="AC14">_xlfn.SWITCH(Opportunities[[#This Row],[Probability]],"High","↖","Medium","←","Low","↙")&amp;" " &amp;Opportunities[[#This Row],[Probability]]</f>
        <v>↖ High</v>
      </c>
      <c r="AD14" t="b">
        <f>Opportunities[[#This Row],[WinProbDisplay]]="↖ High"</f>
        <v>1</v>
      </c>
    </row>
    <row r="15" spans="1:30" x14ac:dyDescent="0.25">
      <c r="A15">
        <v>14</v>
      </c>
      <c r="B15" t="s">
        <v>162</v>
      </c>
      <c r="C15" t="s">
        <v>17</v>
      </c>
      <c r="D15" t="s">
        <v>20</v>
      </c>
      <c r="E15">
        <v>1410113</v>
      </c>
      <c r="F15" t="s">
        <v>85</v>
      </c>
      <c r="G15" s="40">
        <v>46283</v>
      </c>
      <c r="H15" s="40">
        <v>45919</v>
      </c>
      <c r="I15" t="s">
        <v>97</v>
      </c>
      <c r="J15">
        <v>18</v>
      </c>
      <c r="L15" t="s">
        <v>102</v>
      </c>
      <c r="M15" s="40">
        <v>46331</v>
      </c>
      <c r="O15">
        <v>0</v>
      </c>
      <c r="P15" t="str">
        <f>" FY"&amp;RIGHT(IF(MONTH(Opportunities[[#This Row],[Close]])&gt;=7,YEAR(Opportunities[[#This Row],[Close]])+1,YEAR(Opportunities[[#This Row],[Close]])),2)&amp;"-Q"&amp;IF(MONTH(Opportunities[[#This Row],[Close]])&gt;=7,CEILING((MONTH(Opportunities[[#This Row],[Close]])-6)/3,1),CEILING((MONTH(Opportunities[[#This Row],[Close]])+6)/3,1))</f>
        <v xml:space="preserve"> FY27-Q1</v>
      </c>
      <c r="Q15" t="str">
        <f>"CY"&amp;RIGHT(YEAR(Opportunities[[#This Row],[Close]]),2)&amp;"-Q"&amp;ROUNDUP(MONTH(Opportunities[[#This Row],[Close]])/3, 0)</f>
        <v>CY26-Q3</v>
      </c>
      <c r="R15" t="str">
        <f>siteUrl&amp;"/Lists/"&amp;oppList&amp;"/DispForm.aspx?ID="&amp;Opportunities[[#This Row],[ID]]</f>
        <v>https://cleansheet5.sharepoint.com/sites/SalesFunnel//Lists/citizenOpportunities/DispForm.aspx?ID=14</v>
      </c>
      <c r="S15">
        <f>_xlfn.XLOOKUP(Opportunities[[#This Row],[Stage]],stage[Stage Name],stage[Index],"")</f>
        <v>1</v>
      </c>
      <c r="T15" t="str">
        <f>_xlfn.XLOOKUP(Opportunities[[#This Row],[StageNumber]],stage[Index],stage[Display])</f>
        <v>➀ - Lead Qualification</v>
      </c>
      <c r="U15">
        <f>Opportunities[[#This Row],[Amount]]*_xlfn.XLOOKUP(Opportunities[[#This Row],[Probability]],prob[Win Probability],prob[Value])</f>
        <v>282022.60000000003</v>
      </c>
      <c r="V15" t="str" cm="1">
        <f t="array" ref="V15">_xlfn.SWITCH(Opportunities[[#This Row],[Status]],"At Risk","⚠","Active","✓","⮾")</f>
        <v>⚠</v>
      </c>
      <c r="W15" t="str">
        <f>_xlfn.XLOOKUP(Opportunities[[#This Row],[CustomerId]],Customers[Id],Customers[Customer Name])</f>
        <v>Agricultural Systems</v>
      </c>
      <c r="X15" t="str">
        <f>_xlfn.XLOOKUP(Opportunities[[#This Row],[CustomerId]],Customers[Id],Customers[url2])</f>
        <v>https://cleansheet5.sharepoint.com/sites/SalesFunnel//Lists/citizenCustomers/DispForm.aspx?ID=18</v>
      </c>
      <c r="Y15">
        <f>_xlfn.XLOOKUP(Opportunities[[#This Row],[ID]],View[ID],View[Visible])</f>
        <v>1</v>
      </c>
      <c r="Z1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Agricultural Systems
(Document Management System)
 $1.4m • Lead Qualification • Owner: Lisa Engineer</v>
      </c>
      <c r="AA1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15" t="str" cm="1">
        <f t="array" ref="AC15">_xlfn.SWITCH(Opportunities[[#This Row],[Probability]],"High","↖","Medium","←","Low","↙")&amp;" " &amp;Opportunities[[#This Row],[Probability]]</f>
        <v>↙ Low</v>
      </c>
      <c r="AD15" t="b">
        <f>Opportunities[[#This Row],[WinProbDisplay]]="↖ High"</f>
        <v>0</v>
      </c>
    </row>
    <row r="16" spans="1:30" x14ac:dyDescent="0.25">
      <c r="A16">
        <v>15</v>
      </c>
      <c r="B16" t="s">
        <v>163</v>
      </c>
      <c r="C16" t="s">
        <v>17</v>
      </c>
      <c r="D16" t="s">
        <v>22</v>
      </c>
      <c r="E16">
        <v>1308796</v>
      </c>
      <c r="F16" t="s">
        <v>83</v>
      </c>
      <c r="G16" s="40">
        <v>46069</v>
      </c>
      <c r="H16" s="40">
        <v>45937</v>
      </c>
      <c r="I16" t="s">
        <v>106</v>
      </c>
      <c r="J16">
        <v>23</v>
      </c>
      <c r="L16" t="s">
        <v>158</v>
      </c>
      <c r="M16" s="40">
        <v>46103</v>
      </c>
      <c r="O16">
        <v>0</v>
      </c>
      <c r="P16" t="str">
        <f>" FY"&amp;RIGHT(IF(MONTH(Opportunities[[#This Row],[Close]])&gt;=7,YEAR(Opportunities[[#This Row],[Close]])+1,YEAR(Opportunities[[#This Row],[Close]])),2)&amp;"-Q"&amp;IF(MONTH(Opportunities[[#This Row],[Close]])&gt;=7,CEILING((MONTH(Opportunities[[#This Row],[Close]])-6)/3,1),CEILING((MONTH(Opportunities[[#This Row],[Close]])+6)/3,1))</f>
        <v xml:space="preserve"> FY26-Q3</v>
      </c>
      <c r="Q16" t="str">
        <f>"CY"&amp;RIGHT(YEAR(Opportunities[[#This Row],[Close]]),2)&amp;"-Q"&amp;ROUNDUP(MONTH(Opportunities[[#This Row],[Close]])/3, 0)</f>
        <v>CY26-Q1</v>
      </c>
      <c r="R16" t="str">
        <f>siteUrl&amp;"/Lists/"&amp;oppList&amp;"/DispForm.aspx?ID="&amp;Opportunities[[#This Row],[ID]]</f>
        <v>https://cleansheet5.sharepoint.com/sites/SalesFunnel//Lists/citizenOpportunities/DispForm.aspx?ID=15</v>
      </c>
      <c r="S16">
        <f>_xlfn.XLOOKUP(Opportunities[[#This Row],[Stage]],stage[Stage Name],stage[Index],"")</f>
        <v>3</v>
      </c>
      <c r="T16" t="str">
        <f>_xlfn.XLOOKUP(Opportunities[[#This Row],[StageNumber]],stage[Index],stage[Display])</f>
        <v>➂ - Proposal</v>
      </c>
      <c r="U16">
        <f>Opportunities[[#This Row],[Amount]]*_xlfn.XLOOKUP(Opportunities[[#This Row],[Probability]],prob[Win Probability],prob[Value])</f>
        <v>523518.4</v>
      </c>
      <c r="V16" t="str" cm="1">
        <f t="array" ref="V16">_xlfn.SWITCH(Opportunities[[#This Row],[Status]],"At Risk","⚠","Active","✓","⮾")</f>
        <v>⚠</v>
      </c>
      <c r="W16" t="str">
        <f>_xlfn.XLOOKUP(Opportunities[[#This Row],[CustomerId]],Customers[Id],Customers[Customer Name])</f>
        <v>Sports &amp; Recreation</v>
      </c>
      <c r="X16" t="str">
        <f>_xlfn.XLOOKUP(Opportunities[[#This Row],[CustomerId]],Customers[Id],Customers[url2])</f>
        <v>https://cleansheet5.sharepoint.com/sites/SalesFunnel//Lists/citizenCustomers/DispForm.aspx?ID=23</v>
      </c>
      <c r="Y16">
        <f>_xlfn.XLOOKUP(Opportunities[[#This Row],[ID]],View[ID],View[Visible])</f>
        <v>1</v>
      </c>
      <c r="Z1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Sports &amp; Recreation
(Training &amp; Development Program)
 $1.3m • Proposal • Owner: Robert Analyst</v>
      </c>
      <c r="AA1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16" t="str" cm="1">
        <f t="array" ref="AC16">_xlfn.SWITCH(Opportunities[[#This Row],[Probability]],"High","↖","Medium","←","Low","↙")&amp;" " &amp;Opportunities[[#This Row],[Probability]]</f>
        <v>← Medium</v>
      </c>
      <c r="AD16" t="b">
        <f>Opportunities[[#This Row],[WinProbDisplay]]="↖ High"</f>
        <v>0</v>
      </c>
    </row>
    <row r="17" spans="1:30" x14ac:dyDescent="0.25">
      <c r="A17">
        <v>16</v>
      </c>
      <c r="B17" t="s">
        <v>164</v>
      </c>
      <c r="C17" t="s">
        <v>19</v>
      </c>
      <c r="D17" t="s">
        <v>22</v>
      </c>
      <c r="E17">
        <v>1818946</v>
      </c>
      <c r="F17" t="s">
        <v>85</v>
      </c>
      <c r="G17" s="40">
        <v>46337</v>
      </c>
      <c r="H17" s="40">
        <v>45886</v>
      </c>
      <c r="I17" t="s">
        <v>149</v>
      </c>
      <c r="J17">
        <v>27</v>
      </c>
      <c r="L17" t="s">
        <v>167</v>
      </c>
      <c r="M17" s="40">
        <v>46427</v>
      </c>
      <c r="O17">
        <v>0</v>
      </c>
      <c r="P17" t="str">
        <f>" FY"&amp;RIGHT(IF(MONTH(Opportunities[[#This Row],[Close]])&gt;=7,YEAR(Opportunities[[#This Row],[Close]])+1,YEAR(Opportunities[[#This Row],[Close]])),2)&amp;"-Q"&amp;IF(MONTH(Opportunities[[#This Row],[Close]])&gt;=7,CEILING((MONTH(Opportunities[[#This Row],[Close]])-6)/3,1),CEILING((MONTH(Opportunities[[#This Row],[Close]])+6)/3,1))</f>
        <v xml:space="preserve"> FY27-Q2</v>
      </c>
      <c r="Q17" t="str">
        <f>"CY"&amp;RIGHT(YEAR(Opportunities[[#This Row],[Close]]),2)&amp;"-Q"&amp;ROUNDUP(MONTH(Opportunities[[#This Row],[Close]])/3, 0)</f>
        <v>CY26-Q4</v>
      </c>
      <c r="R17" t="str">
        <f>siteUrl&amp;"/Lists/"&amp;oppList&amp;"/DispForm.aspx?ID="&amp;Opportunities[[#This Row],[ID]]</f>
        <v>https://cleansheet5.sharepoint.com/sites/SalesFunnel//Lists/citizenOpportunities/DispForm.aspx?ID=16</v>
      </c>
      <c r="S17">
        <f>_xlfn.XLOOKUP(Opportunities[[#This Row],[Stage]],stage[Stage Name],stage[Index],"")</f>
        <v>3</v>
      </c>
      <c r="T17" t="str">
        <f>_xlfn.XLOOKUP(Opportunities[[#This Row],[StageNumber]],stage[Index],stage[Display])</f>
        <v>➂ - Proposal</v>
      </c>
      <c r="U17">
        <f>Opportunities[[#This Row],[Amount]]*_xlfn.XLOOKUP(Opportunities[[#This Row],[Probability]],prob[Win Probability],prob[Value])</f>
        <v>363789.2</v>
      </c>
      <c r="V17" t="str" cm="1">
        <f t="array" ref="V17">_xlfn.SWITCH(Opportunities[[#This Row],[Status]],"At Risk","⚠","Active","✓","⮾")</f>
        <v>✓</v>
      </c>
      <c r="W17" t="str">
        <f>_xlfn.XLOOKUP(Opportunities[[#This Row],[CustomerId]],Customers[Id],Customers[Customer Name])</f>
        <v>Mining Operations</v>
      </c>
      <c r="X17" t="str">
        <f>_xlfn.XLOOKUP(Opportunities[[#This Row],[CustomerId]],Customers[Id],Customers[url2])</f>
        <v>https://cleansheet5.sharepoint.com/sites/SalesFunnel//Lists/citizenCustomers/DispForm.aspx?ID=27</v>
      </c>
      <c r="Y17">
        <f>_xlfn.XLOOKUP(Opportunities[[#This Row],[ID]],View[ID],View[Visible])</f>
        <v>1</v>
      </c>
      <c r="Z1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Mining Operations
(Quality Management System)
 $1.8m • Proposal • Owner: David Specialist</v>
      </c>
      <c r="AA1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17" t="str" cm="1">
        <f t="array" ref="AC17">_xlfn.SWITCH(Opportunities[[#This Row],[Probability]],"High","↖","Medium","←","Low","↙")&amp;" " &amp;Opportunities[[#This Row],[Probability]]</f>
        <v>↙ Low</v>
      </c>
      <c r="AD17" t="b">
        <f>Opportunities[[#This Row],[WinProbDisplay]]="↖ High"</f>
        <v>0</v>
      </c>
    </row>
    <row r="18" spans="1:30" x14ac:dyDescent="0.25">
      <c r="A18">
        <v>17</v>
      </c>
      <c r="B18" t="s">
        <v>165</v>
      </c>
      <c r="C18" t="s">
        <v>19</v>
      </c>
      <c r="D18" t="s">
        <v>22</v>
      </c>
      <c r="E18">
        <v>692696</v>
      </c>
      <c r="F18" t="s">
        <v>85</v>
      </c>
      <c r="G18" s="40">
        <v>46127</v>
      </c>
      <c r="H18" s="40">
        <v>45920</v>
      </c>
      <c r="I18" t="s">
        <v>152</v>
      </c>
      <c r="J18">
        <v>10</v>
      </c>
      <c r="L18" t="s">
        <v>167</v>
      </c>
      <c r="M18" s="40">
        <v>46191</v>
      </c>
      <c r="O18">
        <v>0</v>
      </c>
      <c r="P18" t="str">
        <f>" FY"&amp;RIGHT(IF(MONTH(Opportunities[[#This Row],[Close]])&gt;=7,YEAR(Opportunities[[#This Row],[Close]])+1,YEAR(Opportunities[[#This Row],[Close]])),2)&amp;"-Q"&amp;IF(MONTH(Opportunities[[#This Row],[Close]])&gt;=7,CEILING((MONTH(Opportunities[[#This Row],[Close]])-6)/3,1),CEILING((MONTH(Opportunities[[#This Row],[Close]])+6)/3,1))</f>
        <v xml:space="preserve"> FY26-Q4</v>
      </c>
      <c r="Q18" t="str">
        <f>"CY"&amp;RIGHT(YEAR(Opportunities[[#This Row],[Close]]),2)&amp;"-Q"&amp;ROUNDUP(MONTH(Opportunities[[#This Row],[Close]])/3, 0)</f>
        <v>CY26-Q2</v>
      </c>
      <c r="R18" t="str">
        <f>siteUrl&amp;"/Lists/"&amp;oppList&amp;"/DispForm.aspx?ID="&amp;Opportunities[[#This Row],[ID]]</f>
        <v>https://cleansheet5.sharepoint.com/sites/SalesFunnel//Lists/citizenOpportunities/DispForm.aspx?ID=17</v>
      </c>
      <c r="S18">
        <f>_xlfn.XLOOKUP(Opportunities[[#This Row],[Stage]],stage[Stage Name],stage[Index],"")</f>
        <v>3</v>
      </c>
      <c r="T18" t="str">
        <f>_xlfn.XLOOKUP(Opportunities[[#This Row],[StageNumber]],stage[Index],stage[Display])</f>
        <v>➂ - Proposal</v>
      </c>
      <c r="U18">
        <f>Opportunities[[#This Row],[Amount]]*_xlfn.XLOOKUP(Opportunities[[#This Row],[Probability]],prob[Win Probability],prob[Value])</f>
        <v>138539.20000000001</v>
      </c>
      <c r="V18" t="str" cm="1">
        <f t="array" ref="V18">_xlfn.SWITCH(Opportunities[[#This Row],[Status]],"At Risk","⚠","Active","✓","⮾")</f>
        <v>✓</v>
      </c>
      <c r="W18" t="str">
        <f>_xlfn.XLOOKUP(Opportunities[[#This Row],[CustomerId]],Customers[Id],Customers[Customer Name])</f>
        <v>Education First</v>
      </c>
      <c r="X18" t="str">
        <f>_xlfn.XLOOKUP(Opportunities[[#This Row],[CustomerId]],Customers[Id],Customers[url2])</f>
        <v>https://cleansheet5.sharepoint.com/sites/SalesFunnel//Lists/citizenCustomers/DispForm.aspx?ID=10</v>
      </c>
      <c r="Y18">
        <f>_xlfn.XLOOKUP(Opportunities[[#This Row],[ID]],View[ID],View[Visible])</f>
        <v>1</v>
      </c>
      <c r="Z1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(Supply Chain Optimization)
 $0.7m • Proposal • Owner: David Specialist</v>
      </c>
      <c r="AA1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18" t="str" cm="1">
        <f t="array" ref="AC18">_xlfn.SWITCH(Opportunities[[#This Row],[Probability]],"High","↖","Medium","←","Low","↙")&amp;" " &amp;Opportunities[[#This Row],[Probability]]</f>
        <v>↙ Low</v>
      </c>
      <c r="AD18" t="b">
        <f>Opportunities[[#This Row],[WinProbDisplay]]="↖ High"</f>
        <v>0</v>
      </c>
    </row>
    <row r="19" spans="1:30" x14ac:dyDescent="0.25">
      <c r="A19">
        <v>18</v>
      </c>
      <c r="B19" t="s">
        <v>166</v>
      </c>
      <c r="C19" t="s">
        <v>17</v>
      </c>
      <c r="D19" t="s">
        <v>22</v>
      </c>
      <c r="E19">
        <v>779439</v>
      </c>
      <c r="F19" t="s">
        <v>83</v>
      </c>
      <c r="G19" s="40">
        <v>46329</v>
      </c>
      <c r="H19" s="40">
        <v>45904</v>
      </c>
      <c r="I19" t="s">
        <v>160</v>
      </c>
      <c r="J19">
        <v>10</v>
      </c>
      <c r="L19" t="s">
        <v>99</v>
      </c>
      <c r="M19" s="40">
        <v>46374</v>
      </c>
      <c r="O19">
        <v>0</v>
      </c>
      <c r="P19" t="str">
        <f>" FY"&amp;RIGHT(IF(MONTH(Opportunities[[#This Row],[Close]])&gt;=7,YEAR(Opportunities[[#This Row],[Close]])+1,YEAR(Opportunities[[#This Row],[Close]])),2)&amp;"-Q"&amp;IF(MONTH(Opportunities[[#This Row],[Close]])&gt;=7,CEILING((MONTH(Opportunities[[#This Row],[Close]])-6)/3,1),CEILING((MONTH(Opportunities[[#This Row],[Close]])+6)/3,1))</f>
        <v xml:space="preserve"> FY27-Q2</v>
      </c>
      <c r="Q19" t="str">
        <f>"CY"&amp;RIGHT(YEAR(Opportunities[[#This Row],[Close]]),2)&amp;"-Q"&amp;ROUNDUP(MONTH(Opportunities[[#This Row],[Close]])/3, 0)</f>
        <v>CY26-Q4</v>
      </c>
      <c r="R19" t="str">
        <f>siteUrl&amp;"/Lists/"&amp;oppList&amp;"/DispForm.aspx?ID="&amp;Opportunities[[#This Row],[ID]]</f>
        <v>https://cleansheet5.sharepoint.com/sites/SalesFunnel//Lists/citizenOpportunities/DispForm.aspx?ID=18</v>
      </c>
      <c r="S19">
        <f>_xlfn.XLOOKUP(Opportunities[[#This Row],[Stage]],stage[Stage Name],stage[Index],"")</f>
        <v>3</v>
      </c>
      <c r="T19" t="str">
        <f>_xlfn.XLOOKUP(Opportunities[[#This Row],[StageNumber]],stage[Index],stage[Display])</f>
        <v>➂ - Proposal</v>
      </c>
      <c r="U19">
        <f>Opportunities[[#This Row],[Amount]]*_xlfn.XLOOKUP(Opportunities[[#This Row],[Probability]],prob[Win Probability],prob[Value])</f>
        <v>311775.60000000003</v>
      </c>
      <c r="V19" t="str" cm="1">
        <f t="array" ref="V19">_xlfn.SWITCH(Opportunities[[#This Row],[Status]],"At Risk","⚠","Active","✓","⮾")</f>
        <v>⚠</v>
      </c>
      <c r="W19" t="str">
        <f>_xlfn.XLOOKUP(Opportunities[[#This Row],[CustomerId]],Customers[Id],Customers[Customer Name])</f>
        <v>Education First</v>
      </c>
      <c r="X19" t="str">
        <f>_xlfn.XLOOKUP(Opportunities[[#This Row],[CustomerId]],Customers[Id],Customers[url2])</f>
        <v>https://cleansheet5.sharepoint.com/sites/SalesFunnel//Lists/citizenCustomers/DispForm.aspx?ID=10</v>
      </c>
      <c r="Y19">
        <f>_xlfn.XLOOKUP(Opportunities[[#This Row],[ID]],View[ID],View[Visible])</f>
        <v>1</v>
      </c>
      <c r="Z1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(Financial Planning Software)
 $0.8m • Proposal • Owner: Mike Consultant</v>
      </c>
      <c r="AA1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19" t="str" cm="1">
        <f t="array" ref="AC19">_xlfn.SWITCH(Opportunities[[#This Row],[Probability]],"High","↖","Medium","←","Low","↙")&amp;" " &amp;Opportunities[[#This Row],[Probability]]</f>
        <v>← Medium</v>
      </c>
      <c r="AD19" t="b">
        <f>Opportunities[[#This Row],[WinProbDisplay]]="↖ High"</f>
        <v>0</v>
      </c>
    </row>
    <row r="20" spans="1:30" x14ac:dyDescent="0.25">
      <c r="A20">
        <v>19</v>
      </c>
      <c r="B20" t="s">
        <v>168</v>
      </c>
      <c r="C20" t="s">
        <v>19</v>
      </c>
      <c r="D20" t="s">
        <v>24</v>
      </c>
      <c r="E20">
        <v>1248747</v>
      </c>
      <c r="F20" t="s">
        <v>84</v>
      </c>
      <c r="G20" s="40">
        <v>46197</v>
      </c>
      <c r="H20" s="40">
        <v>45888</v>
      </c>
      <c r="I20" t="s">
        <v>160</v>
      </c>
      <c r="J20">
        <v>19</v>
      </c>
      <c r="L20" t="s">
        <v>102</v>
      </c>
      <c r="M20" s="40">
        <v>46227</v>
      </c>
      <c r="O20">
        <v>0</v>
      </c>
      <c r="P20" t="str">
        <f>" FY"&amp;RIGHT(IF(MONTH(Opportunities[[#This Row],[Close]])&gt;=7,YEAR(Opportunities[[#This Row],[Close]])+1,YEAR(Opportunities[[#This Row],[Close]])),2)&amp;"-Q"&amp;IF(MONTH(Opportunities[[#This Row],[Close]])&gt;=7,CEILING((MONTH(Opportunities[[#This Row],[Close]])-6)/3,1),CEILING((MONTH(Opportunities[[#This Row],[Close]])+6)/3,1))</f>
        <v xml:space="preserve"> FY26-Q4</v>
      </c>
      <c r="Q20" t="str">
        <f>"CY"&amp;RIGHT(YEAR(Opportunities[[#This Row],[Close]]),2)&amp;"-Q"&amp;ROUNDUP(MONTH(Opportunities[[#This Row],[Close]])/3, 0)</f>
        <v>CY26-Q2</v>
      </c>
      <c r="R20" t="str">
        <f>siteUrl&amp;"/Lists/"&amp;oppList&amp;"/DispForm.aspx?ID="&amp;Opportunities[[#This Row],[ID]]</f>
        <v>https://cleansheet5.sharepoint.com/sites/SalesFunnel//Lists/citizenOpportunities/DispForm.aspx?ID=19</v>
      </c>
      <c r="S20">
        <f>_xlfn.XLOOKUP(Opportunities[[#This Row],[Stage]],stage[Stage Name],stage[Index],"")</f>
        <v>6</v>
      </c>
      <c r="T20" t="str">
        <f>_xlfn.XLOOKUP(Opportunities[[#This Row],[StageNumber]],stage[Index],stage[Display])</f>
        <v>➅ - Closeout</v>
      </c>
      <c r="U20">
        <f>Opportunities[[#This Row],[Amount]]*_xlfn.XLOOKUP(Opportunities[[#This Row],[Probability]],prob[Win Probability],prob[Value])</f>
        <v>1123872.3</v>
      </c>
      <c r="V20" t="str" cm="1">
        <f t="array" ref="V20">_xlfn.SWITCH(Opportunities[[#This Row],[Status]],"At Risk","⚠","Active","✓","⮾")</f>
        <v>✓</v>
      </c>
      <c r="W20" t="str">
        <f>_xlfn.XLOOKUP(Opportunities[[#This Row],[CustomerId]],Customers[Id],Customers[Customer Name])</f>
        <v>Hotel Management Group</v>
      </c>
      <c r="X20" t="str">
        <f>_xlfn.XLOOKUP(Opportunities[[#This Row],[CustomerId]],Customers[Id],Customers[url2])</f>
        <v>https://cleansheet5.sharepoint.com/sites/SalesFunnel//Lists/citizenCustomers/DispForm.aspx?ID=19</v>
      </c>
      <c r="Y20">
        <f>_xlfn.XLOOKUP(Opportunities[[#This Row],[ID]],View[ID],View[Visible])</f>
        <v>1</v>
      </c>
      <c r="Z2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Hotel Management Group
(HR Management System)
 $1.2m • Closeout • Owner: Lisa Engineer</v>
      </c>
      <c r="AA2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20" t="str" cm="1">
        <f t="array" ref="AC20">_xlfn.SWITCH(Opportunities[[#This Row],[Probability]],"High","↖","Medium","←","Low","↙")&amp;" " &amp;Opportunities[[#This Row],[Probability]]</f>
        <v>↖ High</v>
      </c>
      <c r="AD20" t="b">
        <f>Opportunities[[#This Row],[WinProbDisplay]]="↖ High"</f>
        <v>1</v>
      </c>
    </row>
    <row r="21" spans="1:30" x14ac:dyDescent="0.25">
      <c r="A21">
        <v>20</v>
      </c>
      <c r="B21" t="s">
        <v>169</v>
      </c>
      <c r="C21" t="s">
        <v>19</v>
      </c>
      <c r="D21" t="s">
        <v>24</v>
      </c>
      <c r="E21">
        <v>1164859</v>
      </c>
      <c r="F21" t="s">
        <v>83</v>
      </c>
      <c r="G21" s="40">
        <v>46155</v>
      </c>
      <c r="H21" s="40">
        <v>45900</v>
      </c>
      <c r="I21" t="s">
        <v>94</v>
      </c>
      <c r="J21">
        <v>22</v>
      </c>
      <c r="L21" t="s">
        <v>146</v>
      </c>
      <c r="M21" s="40">
        <v>46193</v>
      </c>
      <c r="O21">
        <v>0</v>
      </c>
      <c r="P21" t="str">
        <f>" FY"&amp;RIGHT(IF(MONTH(Opportunities[[#This Row],[Close]])&gt;=7,YEAR(Opportunities[[#This Row],[Close]])+1,YEAR(Opportunities[[#This Row],[Close]])),2)&amp;"-Q"&amp;IF(MONTH(Opportunities[[#This Row],[Close]])&gt;=7,CEILING((MONTH(Opportunities[[#This Row],[Close]])-6)/3,1),CEILING((MONTH(Opportunities[[#This Row],[Close]])+6)/3,1))</f>
        <v xml:space="preserve"> FY26-Q4</v>
      </c>
      <c r="Q21" t="str">
        <f>"CY"&amp;RIGHT(YEAR(Opportunities[[#This Row],[Close]]),2)&amp;"-Q"&amp;ROUNDUP(MONTH(Opportunities[[#This Row],[Close]])/3, 0)</f>
        <v>CY26-Q2</v>
      </c>
      <c r="R21" t="str">
        <f>siteUrl&amp;"/Lists/"&amp;oppList&amp;"/DispForm.aspx?ID="&amp;Opportunities[[#This Row],[ID]]</f>
        <v>https://cleansheet5.sharepoint.com/sites/SalesFunnel//Lists/citizenOpportunities/DispForm.aspx?ID=20</v>
      </c>
      <c r="S21">
        <f>_xlfn.XLOOKUP(Opportunities[[#This Row],[Stage]],stage[Stage Name],stage[Index],"")</f>
        <v>6</v>
      </c>
      <c r="T21" t="str">
        <f>_xlfn.XLOOKUP(Opportunities[[#This Row],[StageNumber]],stage[Index],stage[Display])</f>
        <v>➅ - Closeout</v>
      </c>
      <c r="U21">
        <f>Opportunities[[#This Row],[Amount]]*_xlfn.XLOOKUP(Opportunities[[#This Row],[Probability]],prob[Win Probability],prob[Value])</f>
        <v>465943.60000000003</v>
      </c>
      <c r="V21" t="str" cm="1">
        <f t="array" ref="V21">_xlfn.SWITCH(Opportunities[[#This Row],[Status]],"At Risk","⚠","Active","✓","⮾")</f>
        <v>✓</v>
      </c>
      <c r="W21" t="str">
        <f>_xlfn.XLOOKUP(Opportunities[[#This Row],[CustomerId]],Customers[Id],Customers[Customer Name])</f>
        <v>Environmental Services</v>
      </c>
      <c r="X21" t="str">
        <f>_xlfn.XLOOKUP(Opportunities[[#This Row],[CustomerId]],Customers[Id],Customers[url2])</f>
        <v>https://cleansheet5.sharepoint.com/sites/SalesFunnel//Lists/citizenCustomers/DispForm.aspx?ID=22</v>
      </c>
      <c r="Y21">
        <f>_xlfn.XLOOKUP(Opportunities[[#This Row],[ID]],View[ID],View[Visible])</f>
        <v>1</v>
      </c>
      <c r="Z2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Environmental Services
(Marketing Automation Platform)
 $1.2m • Closeout • Owner: Jennifer PM</v>
      </c>
      <c r="AA2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21" t="str" cm="1">
        <f t="array" ref="AC21">_xlfn.SWITCH(Opportunities[[#This Row],[Probability]],"High","↖","Medium","←","Low","↙")&amp;" " &amp;Opportunities[[#This Row],[Probability]]</f>
        <v>← Medium</v>
      </c>
      <c r="AD21" t="b">
        <f>Opportunities[[#This Row],[WinProbDisplay]]="↖ High"</f>
        <v>0</v>
      </c>
    </row>
    <row r="22" spans="1:30" x14ac:dyDescent="0.25">
      <c r="A22">
        <v>21</v>
      </c>
      <c r="B22" t="s">
        <v>170</v>
      </c>
      <c r="C22" t="s">
        <v>19</v>
      </c>
      <c r="D22" t="s">
        <v>20</v>
      </c>
      <c r="E22">
        <v>1278194</v>
      </c>
      <c r="F22" t="s">
        <v>84</v>
      </c>
      <c r="G22" s="40">
        <v>46286</v>
      </c>
      <c r="H22" s="40">
        <v>45919</v>
      </c>
      <c r="I22" t="s">
        <v>160</v>
      </c>
      <c r="J22">
        <v>11</v>
      </c>
      <c r="L22" t="s">
        <v>167</v>
      </c>
      <c r="M22" s="40">
        <v>46308</v>
      </c>
      <c r="O22">
        <v>0</v>
      </c>
      <c r="P22" t="str">
        <f>" FY"&amp;RIGHT(IF(MONTH(Opportunities[[#This Row],[Close]])&gt;=7,YEAR(Opportunities[[#This Row],[Close]])+1,YEAR(Opportunities[[#This Row],[Close]])),2)&amp;"-Q"&amp;IF(MONTH(Opportunities[[#This Row],[Close]])&gt;=7,CEILING((MONTH(Opportunities[[#This Row],[Close]])-6)/3,1),CEILING((MONTH(Opportunities[[#This Row],[Close]])+6)/3,1))</f>
        <v xml:space="preserve"> FY27-Q1</v>
      </c>
      <c r="Q22" t="str">
        <f>"CY"&amp;RIGHT(YEAR(Opportunities[[#This Row],[Close]]),2)&amp;"-Q"&amp;ROUNDUP(MONTH(Opportunities[[#This Row],[Close]])/3, 0)</f>
        <v>CY26-Q3</v>
      </c>
      <c r="R22" t="str">
        <f>siteUrl&amp;"/Lists/"&amp;oppList&amp;"/DispForm.aspx?ID="&amp;Opportunities[[#This Row],[ID]]</f>
        <v>https://cleansheet5.sharepoint.com/sites/SalesFunnel//Lists/citizenOpportunities/DispForm.aspx?ID=21</v>
      </c>
      <c r="S22">
        <f>_xlfn.XLOOKUP(Opportunities[[#This Row],[Stage]],stage[Stage Name],stage[Index],"")</f>
        <v>1</v>
      </c>
      <c r="T22" t="str">
        <f>_xlfn.XLOOKUP(Opportunities[[#This Row],[StageNumber]],stage[Index],stage[Display])</f>
        <v>➀ - Lead Qualification</v>
      </c>
      <c r="U22">
        <f>Opportunities[[#This Row],[Amount]]*_xlfn.XLOOKUP(Opportunities[[#This Row],[Probability]],prob[Win Probability],prob[Value])</f>
        <v>1150374.6000000001</v>
      </c>
      <c r="V22" t="str" cm="1">
        <f t="array" ref="V22">_xlfn.SWITCH(Opportunities[[#This Row],[Status]],"At Risk","⚠","Active","✓","⮾")</f>
        <v>✓</v>
      </c>
      <c r="W22" t="str">
        <f>_xlfn.XLOOKUP(Opportunities[[#This Row],[CustomerId]],Customers[Id],Customers[Customer Name])</f>
        <v>Transport Logistics</v>
      </c>
      <c r="X22" t="str">
        <f>_xlfn.XLOOKUP(Opportunities[[#This Row],[CustomerId]],Customers[Id],Customers[url2])</f>
        <v>https://cleansheet5.sharepoint.com/sites/SalesFunnel//Lists/citizenCustomers/DispForm.aspx?ID=11</v>
      </c>
      <c r="Y22">
        <f>_xlfn.XLOOKUP(Opportunities[[#This Row],[ID]],View[ID],View[Visible])</f>
        <v>1</v>
      </c>
      <c r="Z2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(CRM System Upgrade)
 $1.3m • Lead Qualification • Owner: David Specialist</v>
      </c>
      <c r="AA2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22" t="str" cm="1">
        <f t="array" ref="AC22">_xlfn.SWITCH(Opportunities[[#This Row],[Probability]],"High","↖","Medium","←","Low","↙")&amp;" " &amp;Opportunities[[#This Row],[Probability]]</f>
        <v>↖ High</v>
      </c>
      <c r="AD22" t="b">
        <f>Opportunities[[#This Row],[WinProbDisplay]]="↖ High"</f>
        <v>1</v>
      </c>
    </row>
    <row r="23" spans="1:30" x14ac:dyDescent="0.25">
      <c r="A23">
        <v>22</v>
      </c>
      <c r="B23" t="s">
        <v>171</v>
      </c>
      <c r="C23" t="s">
        <v>19</v>
      </c>
      <c r="D23" t="s">
        <v>23</v>
      </c>
      <c r="E23">
        <v>843113</v>
      </c>
      <c r="F23" t="s">
        <v>85</v>
      </c>
      <c r="G23" s="40">
        <v>46339</v>
      </c>
      <c r="H23" s="40">
        <v>45895</v>
      </c>
      <c r="I23" t="s">
        <v>154</v>
      </c>
      <c r="J23">
        <v>14</v>
      </c>
      <c r="L23" t="s">
        <v>394</v>
      </c>
      <c r="M23" s="40">
        <v>46374</v>
      </c>
      <c r="O23">
        <v>0</v>
      </c>
      <c r="P23" t="str">
        <f>" FY"&amp;RIGHT(IF(MONTH(Opportunities[[#This Row],[Close]])&gt;=7,YEAR(Opportunities[[#This Row],[Close]])+1,YEAR(Opportunities[[#This Row],[Close]])),2)&amp;"-Q"&amp;IF(MONTH(Opportunities[[#This Row],[Close]])&gt;=7,CEILING((MONTH(Opportunities[[#This Row],[Close]])-6)/3,1),CEILING((MONTH(Opportunities[[#This Row],[Close]])+6)/3,1))</f>
        <v xml:space="preserve"> FY27-Q2</v>
      </c>
      <c r="Q23" t="str">
        <f>"CY"&amp;RIGHT(YEAR(Opportunities[[#This Row],[Close]]),2)&amp;"-Q"&amp;ROUNDUP(MONTH(Opportunities[[#This Row],[Close]])/3, 0)</f>
        <v>CY26-Q4</v>
      </c>
      <c r="R23" t="str">
        <f>siteUrl&amp;"/Lists/"&amp;oppList&amp;"/DispForm.aspx?ID="&amp;Opportunities[[#This Row],[ID]]</f>
        <v>https://cleansheet5.sharepoint.com/sites/SalesFunnel//Lists/citizenOpportunities/DispForm.aspx?ID=22</v>
      </c>
      <c r="S23">
        <f>_xlfn.XLOOKUP(Opportunities[[#This Row],[Stage]],stage[Stage Name],stage[Index],"")</f>
        <v>2</v>
      </c>
      <c r="T23" t="str">
        <f>_xlfn.XLOOKUP(Opportunities[[#This Row],[StageNumber]],stage[Index],stage[Display])</f>
        <v>➁ - Nurturing</v>
      </c>
      <c r="U23">
        <f>Opportunities[[#This Row],[Amount]]*_xlfn.XLOOKUP(Opportunities[[#This Row],[Probability]],prob[Win Probability],prob[Value])</f>
        <v>168622.6</v>
      </c>
      <c r="V23" t="str" cm="1">
        <f t="array" ref="V23">_xlfn.SWITCH(Opportunities[[#This Row],[Status]],"At Risk","⚠","Active","✓","⮾")</f>
        <v>✓</v>
      </c>
      <c r="W23" t="str">
        <f>_xlfn.XLOOKUP(Opportunities[[#This Row],[CustomerId]],Customers[Id],Customers[Customer Name])</f>
        <v>Media Communications</v>
      </c>
      <c r="X23" t="str">
        <f>_xlfn.XLOOKUP(Opportunities[[#This Row],[CustomerId]],Customers[Id],Customers[url2])</f>
        <v>https://cleansheet5.sharepoint.com/sites/SalesFunnel//Lists/citizenCustomers/DispForm.aspx?ID=14</v>
      </c>
      <c r="Y23">
        <f>_xlfn.XLOOKUP(Opportunities[[#This Row],[ID]],View[ID],View[Visible])</f>
        <v>1</v>
      </c>
      <c r="Z2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(Inventory Management Solution)
 $0.8m • Nurturing • Owner: Amanda Sales</v>
      </c>
      <c r="AA2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23" t="str" cm="1">
        <f t="array" ref="AC23">_xlfn.SWITCH(Opportunities[[#This Row],[Probability]],"High","↖","Medium","←","Low","↙")&amp;" " &amp;Opportunities[[#This Row],[Probability]]</f>
        <v>↙ Low</v>
      </c>
      <c r="AD23" t="b">
        <f>Opportunities[[#This Row],[WinProbDisplay]]="↖ High"</f>
        <v>0</v>
      </c>
    </row>
    <row r="24" spans="1:30" x14ac:dyDescent="0.25">
      <c r="A24">
        <v>23</v>
      </c>
      <c r="B24" t="s">
        <v>172</v>
      </c>
      <c r="C24" t="s">
        <v>19</v>
      </c>
      <c r="D24" t="s">
        <v>18</v>
      </c>
      <c r="E24">
        <v>1236222</v>
      </c>
      <c r="F24" t="s">
        <v>83</v>
      </c>
      <c r="G24" s="40">
        <v>46050</v>
      </c>
      <c r="H24" s="40">
        <v>45911</v>
      </c>
      <c r="I24" t="s">
        <v>97</v>
      </c>
      <c r="J24">
        <v>12</v>
      </c>
      <c r="L24" t="s">
        <v>167</v>
      </c>
      <c r="M24" s="40">
        <v>46111</v>
      </c>
      <c r="O24">
        <v>0</v>
      </c>
      <c r="P24" t="str">
        <f>" FY"&amp;RIGHT(IF(MONTH(Opportunities[[#This Row],[Close]])&gt;=7,YEAR(Opportunities[[#This Row],[Close]])+1,YEAR(Opportunities[[#This Row],[Close]])),2)&amp;"-Q"&amp;IF(MONTH(Opportunities[[#This Row],[Close]])&gt;=7,CEILING((MONTH(Opportunities[[#This Row],[Close]])-6)/3,1),CEILING((MONTH(Opportunities[[#This Row],[Close]])+6)/3,1))</f>
        <v xml:space="preserve"> FY26-Q3</v>
      </c>
      <c r="Q24" t="str">
        <f>"CY"&amp;RIGHT(YEAR(Opportunities[[#This Row],[Close]]),2)&amp;"-Q"&amp;ROUNDUP(MONTH(Opportunities[[#This Row],[Close]])/3, 0)</f>
        <v>CY26-Q1</v>
      </c>
      <c r="R24" t="str">
        <f>siteUrl&amp;"/Lists/"&amp;oppList&amp;"/DispForm.aspx?ID="&amp;Opportunities[[#This Row],[ID]]</f>
        <v>https://cleansheet5.sharepoint.com/sites/SalesFunnel//Lists/citizenOpportunities/DispForm.aspx?ID=23</v>
      </c>
      <c r="S24">
        <f>_xlfn.XLOOKUP(Opportunities[[#This Row],[Stage]],stage[Stage Name],stage[Index],"")</f>
        <v>4</v>
      </c>
      <c r="T24" t="str">
        <f>_xlfn.XLOOKUP(Opportunities[[#This Row],[StageNumber]],stage[Index],stage[Display])</f>
        <v>➃ - Negotiation</v>
      </c>
      <c r="U24">
        <f>Opportunities[[#This Row],[Amount]]*_xlfn.XLOOKUP(Opportunities[[#This Row],[Probability]],prob[Win Probability],prob[Value])</f>
        <v>494488.80000000005</v>
      </c>
      <c r="V24" t="str" cm="1">
        <f t="array" ref="V24">_xlfn.SWITCH(Opportunities[[#This Row],[Status]],"At Risk","⚠","Active","✓","⮾")</f>
        <v>✓</v>
      </c>
      <c r="W24" t="str">
        <f>_xlfn.XLOOKUP(Opportunities[[#This Row],[CustomerId]],Customers[Id],Customers[Customer Name])</f>
        <v>Food Service Partners</v>
      </c>
      <c r="X24" t="str">
        <f>_xlfn.XLOOKUP(Opportunities[[#This Row],[CustomerId]],Customers[Id],Customers[url2])</f>
        <v>https://cleansheet5.sharepoint.com/sites/SalesFunnel//Lists/citizenCustomers/DispForm.aspx?ID=12</v>
      </c>
      <c r="Y24">
        <f>_xlfn.XLOOKUP(Opportunities[[#This Row],[ID]],View[ID],View[Visible])</f>
        <v>1</v>
      </c>
      <c r="Z2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(Point of Sale System)
 $1.2m • Negotiation • Owner: David Specialist</v>
      </c>
      <c r="AA2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24" t="str" cm="1">
        <f t="array" ref="AC24">_xlfn.SWITCH(Opportunities[[#This Row],[Probability]],"High","↖","Medium","←","Low","↙")&amp;" " &amp;Opportunities[[#This Row],[Probability]]</f>
        <v>← Medium</v>
      </c>
      <c r="AD24" t="b">
        <f>Opportunities[[#This Row],[WinProbDisplay]]="↖ High"</f>
        <v>0</v>
      </c>
    </row>
    <row r="25" spans="1:30" x14ac:dyDescent="0.25">
      <c r="A25">
        <v>24</v>
      </c>
      <c r="B25" t="s">
        <v>173</v>
      </c>
      <c r="C25" t="s">
        <v>19</v>
      </c>
      <c r="D25" t="s">
        <v>18</v>
      </c>
      <c r="E25">
        <v>1708928</v>
      </c>
      <c r="F25" t="s">
        <v>85</v>
      </c>
      <c r="G25" s="40">
        <v>45988</v>
      </c>
      <c r="H25" s="40">
        <v>45938</v>
      </c>
      <c r="I25" t="s">
        <v>147</v>
      </c>
      <c r="J25">
        <v>1</v>
      </c>
      <c r="L25" t="s">
        <v>96</v>
      </c>
      <c r="M25" s="40">
        <v>46070</v>
      </c>
      <c r="O25">
        <v>0</v>
      </c>
      <c r="P25" t="str">
        <f>" FY"&amp;RIGHT(IF(MONTH(Opportunities[[#This Row],[Close]])&gt;=7,YEAR(Opportunities[[#This Row],[Close]])+1,YEAR(Opportunities[[#This Row],[Close]])),2)&amp;"-Q"&amp;IF(MONTH(Opportunities[[#This Row],[Close]])&gt;=7,CEILING((MONTH(Opportunities[[#This Row],[Close]])-6)/3,1),CEILING((MONTH(Opportunities[[#This Row],[Close]])+6)/3,1))</f>
        <v xml:space="preserve"> FY26-Q2</v>
      </c>
      <c r="Q25" t="str">
        <f>"CY"&amp;RIGHT(YEAR(Opportunities[[#This Row],[Close]]),2)&amp;"-Q"&amp;ROUNDUP(MONTH(Opportunities[[#This Row],[Close]])/3, 0)</f>
        <v>CY25-Q4</v>
      </c>
      <c r="R25" t="str">
        <f>siteUrl&amp;"/Lists/"&amp;oppList&amp;"/DispForm.aspx?ID="&amp;Opportunities[[#This Row],[ID]]</f>
        <v>https://cleansheet5.sharepoint.com/sites/SalesFunnel//Lists/citizenOpportunities/DispForm.aspx?ID=24</v>
      </c>
      <c r="S25">
        <f>_xlfn.XLOOKUP(Opportunities[[#This Row],[Stage]],stage[Stage Name],stage[Index],"")</f>
        <v>4</v>
      </c>
      <c r="T25" t="str">
        <f>_xlfn.XLOOKUP(Opportunities[[#This Row],[StageNumber]],stage[Index],stage[Display])</f>
        <v>➃ - Negotiation</v>
      </c>
      <c r="U25">
        <f>Opportunities[[#This Row],[Amount]]*_xlfn.XLOOKUP(Opportunities[[#This Row],[Probability]],prob[Win Probability],prob[Value])</f>
        <v>341785.60000000003</v>
      </c>
      <c r="V25" t="str" cm="1">
        <f t="array" ref="V25">_xlfn.SWITCH(Opportunities[[#This Row],[Status]],"At Risk","⚠","Active","✓","⮾")</f>
        <v>✓</v>
      </c>
      <c r="W25" t="str">
        <f>_xlfn.XLOOKUP(Opportunities[[#This Row],[CustomerId]],Customers[Id],Customers[Customer Name])</f>
        <v>ACME Corporation</v>
      </c>
      <c r="X25" t="str">
        <f>_xlfn.XLOOKUP(Opportunities[[#This Row],[CustomerId]],Customers[Id],Customers[url2])</f>
        <v>https://cleansheet5.sharepoint.com/sites/SalesFunnel//Lists/citizenCustomers/DispForm.aspx?ID=1</v>
      </c>
      <c r="Y25">
        <f>_xlfn.XLOOKUP(Opportunities[[#This Row],[ID]],View[ID],View[Visible])</f>
        <v>1</v>
      </c>
      <c r="Z2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(Compliance Management Tool)
 $1.7m • Negotiation • Owner: Sarah Director</v>
      </c>
      <c r="AA2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25" t="str" cm="1">
        <f t="array" ref="AC25">_xlfn.SWITCH(Opportunities[[#This Row],[Probability]],"High","↖","Medium","←","Low","↙")&amp;" " &amp;Opportunities[[#This Row],[Probability]]</f>
        <v>↙ Low</v>
      </c>
      <c r="AD25" t="b">
        <f>Opportunities[[#This Row],[WinProbDisplay]]="↖ High"</f>
        <v>0</v>
      </c>
    </row>
    <row r="26" spans="1:30" x14ac:dyDescent="0.25">
      <c r="A26">
        <v>25</v>
      </c>
      <c r="B26" t="s">
        <v>174</v>
      </c>
      <c r="C26" t="s">
        <v>19</v>
      </c>
      <c r="D26" t="s">
        <v>24</v>
      </c>
      <c r="E26">
        <v>1218810</v>
      </c>
      <c r="F26" t="s">
        <v>83</v>
      </c>
      <c r="G26" s="40">
        <v>45925</v>
      </c>
      <c r="H26" s="40">
        <v>45933</v>
      </c>
      <c r="I26" t="s">
        <v>154</v>
      </c>
      <c r="J26">
        <v>1</v>
      </c>
      <c r="K26" t="s">
        <v>416</v>
      </c>
      <c r="L26" t="s">
        <v>394</v>
      </c>
      <c r="M26" s="40">
        <v>45970</v>
      </c>
      <c r="O26">
        <v>0</v>
      </c>
      <c r="P26" t="str">
        <f>" FY"&amp;RIGHT(IF(MONTH(Opportunities[[#This Row],[Close]])&gt;=7,YEAR(Opportunities[[#This Row],[Close]])+1,YEAR(Opportunities[[#This Row],[Close]])),2)&amp;"-Q"&amp;IF(MONTH(Opportunities[[#This Row],[Close]])&gt;=7,CEILING((MONTH(Opportunities[[#This Row],[Close]])-6)/3,1),CEILING((MONTH(Opportunities[[#This Row],[Close]])+6)/3,1))</f>
        <v xml:space="preserve"> FY26-Q1</v>
      </c>
      <c r="Q26" t="str">
        <f>"CY"&amp;RIGHT(YEAR(Opportunities[[#This Row],[Close]]),2)&amp;"-Q"&amp;ROUNDUP(MONTH(Opportunities[[#This Row],[Close]])/3, 0)</f>
        <v>CY25-Q3</v>
      </c>
      <c r="R26" t="str">
        <f>siteUrl&amp;"/Lists/"&amp;oppList&amp;"/DispForm.aspx?ID="&amp;Opportunities[[#This Row],[ID]]</f>
        <v>https://cleansheet5.sharepoint.com/sites/SalesFunnel//Lists/citizenOpportunities/DispForm.aspx?ID=25</v>
      </c>
      <c r="S26">
        <f>_xlfn.XLOOKUP(Opportunities[[#This Row],[Stage]],stage[Stage Name],stage[Index],"")</f>
        <v>6</v>
      </c>
      <c r="T26" t="str">
        <f>_xlfn.XLOOKUP(Opportunities[[#This Row],[StageNumber]],stage[Index],stage[Display])</f>
        <v>➅ - Closeout</v>
      </c>
      <c r="U26">
        <f>Opportunities[[#This Row],[Amount]]*_xlfn.XLOOKUP(Opportunities[[#This Row],[Probability]],prob[Win Probability],prob[Value])</f>
        <v>487524</v>
      </c>
      <c r="V26" t="str" cm="1">
        <f t="array" ref="V26">_xlfn.SWITCH(Opportunities[[#This Row],[Status]],"At Risk","⚠","Active","✓","⮾")</f>
        <v>✓</v>
      </c>
      <c r="W26" t="str">
        <f>_xlfn.XLOOKUP(Opportunities[[#This Row],[CustomerId]],Customers[Id],Customers[Customer Name])</f>
        <v>ACME Corporation</v>
      </c>
      <c r="X26" t="str">
        <f>_xlfn.XLOOKUP(Opportunities[[#This Row],[CustomerId]],Customers[Id],Customers[url2])</f>
        <v>https://cleansheet5.sharepoint.com/sites/SalesFunnel//Lists/citizenCustomers/DispForm.aspx?ID=1</v>
      </c>
      <c r="Y26">
        <f>_xlfn.XLOOKUP(Opportunities[[#This Row],[ID]],View[ID],View[Visible])</f>
        <v>1</v>
      </c>
      <c r="Z2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(Project Management Software)
 $1.2m • Closeout • Owner: Amanda Sales</v>
      </c>
      <c r="AA2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AC26" t="str" cm="1">
        <f t="array" ref="AC26">_xlfn.SWITCH(Opportunities[[#This Row],[Probability]],"High","↖","Medium","←","Low","↙")&amp;" " &amp;Opportunities[[#This Row],[Probability]]</f>
        <v>← Medium</v>
      </c>
      <c r="AD26" t="b">
        <f>Opportunities[[#This Row],[WinProbDisplay]]="↖ High"</f>
        <v>0</v>
      </c>
    </row>
    <row r="27" spans="1:30" x14ac:dyDescent="0.25">
      <c r="A27">
        <v>26</v>
      </c>
      <c r="B27" t="s">
        <v>175</v>
      </c>
      <c r="C27" t="s">
        <v>19</v>
      </c>
      <c r="D27" t="s">
        <v>18</v>
      </c>
      <c r="E27">
        <v>2183247</v>
      </c>
      <c r="F27" t="s">
        <v>85</v>
      </c>
      <c r="G27" s="40">
        <v>46100</v>
      </c>
      <c r="H27" s="40">
        <v>45911</v>
      </c>
      <c r="I27" t="s">
        <v>106</v>
      </c>
      <c r="J27">
        <v>15</v>
      </c>
      <c r="L27" t="s">
        <v>394</v>
      </c>
      <c r="M27" s="40">
        <v>46190</v>
      </c>
      <c r="O27">
        <v>0</v>
      </c>
      <c r="P27" t="str">
        <f>" FY"&amp;RIGHT(IF(MONTH(Opportunities[[#This Row],[Close]])&gt;=7,YEAR(Opportunities[[#This Row],[Close]])+1,YEAR(Opportunities[[#This Row],[Close]])),2)&amp;"-Q"&amp;IF(MONTH(Opportunities[[#This Row],[Close]])&gt;=7,CEILING((MONTH(Opportunities[[#This Row],[Close]])-6)/3,1),CEILING((MONTH(Opportunities[[#This Row],[Close]])+6)/3,1))</f>
        <v xml:space="preserve"> FY26-Q3</v>
      </c>
      <c r="Q27" t="str">
        <f>"CY"&amp;RIGHT(YEAR(Opportunities[[#This Row],[Close]]),2)&amp;"-Q"&amp;ROUNDUP(MONTH(Opportunities[[#This Row],[Close]])/3, 0)</f>
        <v>CY26-Q1</v>
      </c>
      <c r="R27" t="str">
        <f>siteUrl&amp;"/Lists/"&amp;oppList&amp;"/DispForm.aspx?ID="&amp;Opportunities[[#This Row],[ID]]</f>
        <v>https://cleansheet5.sharepoint.com/sites/SalesFunnel//Lists/citizenOpportunities/DispForm.aspx?ID=26</v>
      </c>
      <c r="S27">
        <f>_xlfn.XLOOKUP(Opportunities[[#This Row],[Stage]],stage[Stage Name],stage[Index],"")</f>
        <v>4</v>
      </c>
      <c r="T27" t="str">
        <f>_xlfn.XLOOKUP(Opportunities[[#This Row],[StageNumber]],stage[Index],stage[Display])</f>
        <v>➃ - Negotiation</v>
      </c>
      <c r="U27">
        <f>Opportunities[[#This Row],[Amount]]*_xlfn.XLOOKUP(Opportunities[[#This Row],[Probability]],prob[Win Probability],prob[Value])</f>
        <v>436649.4</v>
      </c>
      <c r="V27" t="str" cm="1">
        <f t="array" ref="V27">_xlfn.SWITCH(Opportunities[[#This Row],[Status]],"At Risk","⚠","Active","✓","⮾")</f>
        <v>✓</v>
      </c>
      <c r="W27" t="str">
        <f>_xlfn.XLOOKUP(Opportunities[[#This Row],[CustomerId]],Customers[Id],Customers[Customer Name])</f>
        <v>Pharmaceutical Research</v>
      </c>
      <c r="X27" t="str">
        <f>_xlfn.XLOOKUP(Opportunities[[#This Row],[CustomerId]],Customers[Id],Customers[url2])</f>
        <v>https://cleansheet5.sharepoint.com/sites/SalesFunnel//Lists/citizenCustomers/DispForm.aspx?ID=15</v>
      </c>
      <c r="Y27">
        <f>_xlfn.XLOOKUP(Opportunities[[#This Row],[ID]],View[ID],View[Visible])</f>
        <v>1</v>
      </c>
      <c r="Z2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(Video Conferencing Solution)
 $2.2m • Negotiation • Owner: Amanda Sales</v>
      </c>
      <c r="AA2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27" t="str" cm="1">
        <f t="array" ref="AC27">_xlfn.SWITCH(Opportunities[[#This Row],[Probability]],"High","↖","Medium","←","Low","↙")&amp;" " &amp;Opportunities[[#This Row],[Probability]]</f>
        <v>↙ Low</v>
      </c>
      <c r="AD27" t="b">
        <f>Opportunities[[#This Row],[WinProbDisplay]]="↖ High"</f>
        <v>0</v>
      </c>
    </row>
    <row r="28" spans="1:30" x14ac:dyDescent="0.25">
      <c r="A28">
        <v>27</v>
      </c>
      <c r="B28" t="s">
        <v>176</v>
      </c>
      <c r="C28" t="s">
        <v>17</v>
      </c>
      <c r="D28" t="s">
        <v>23</v>
      </c>
      <c r="E28">
        <v>993719</v>
      </c>
      <c r="F28" t="s">
        <v>83</v>
      </c>
      <c r="G28" s="40">
        <v>46118</v>
      </c>
      <c r="H28" s="40">
        <v>45932</v>
      </c>
      <c r="I28" t="s">
        <v>97</v>
      </c>
      <c r="J28">
        <v>9</v>
      </c>
      <c r="L28" t="s">
        <v>99</v>
      </c>
      <c r="M28" s="40">
        <v>46153</v>
      </c>
      <c r="O28">
        <v>0</v>
      </c>
      <c r="P28" t="str">
        <f>" FY"&amp;RIGHT(IF(MONTH(Opportunities[[#This Row],[Close]])&gt;=7,YEAR(Opportunities[[#This Row],[Close]])+1,YEAR(Opportunities[[#This Row],[Close]])),2)&amp;"-Q"&amp;IF(MONTH(Opportunities[[#This Row],[Close]])&gt;=7,CEILING((MONTH(Opportunities[[#This Row],[Close]])-6)/3,1),CEILING((MONTH(Opportunities[[#This Row],[Close]])+6)/3,1))</f>
        <v xml:space="preserve"> FY26-Q4</v>
      </c>
      <c r="Q28" t="str">
        <f>"CY"&amp;RIGHT(YEAR(Opportunities[[#This Row],[Close]]),2)&amp;"-Q"&amp;ROUNDUP(MONTH(Opportunities[[#This Row],[Close]])/3, 0)</f>
        <v>CY26-Q2</v>
      </c>
      <c r="R28" t="str">
        <f>siteUrl&amp;"/Lists/"&amp;oppList&amp;"/DispForm.aspx?ID="&amp;Opportunities[[#This Row],[ID]]</f>
        <v>https://cleansheet5.sharepoint.com/sites/SalesFunnel//Lists/citizenOpportunities/DispForm.aspx?ID=27</v>
      </c>
      <c r="S28">
        <f>_xlfn.XLOOKUP(Opportunities[[#This Row],[Stage]],stage[Stage Name],stage[Index],"")</f>
        <v>2</v>
      </c>
      <c r="T28" t="str">
        <f>_xlfn.XLOOKUP(Opportunities[[#This Row],[StageNumber]],stage[Index],stage[Display])</f>
        <v>➁ - Nurturing</v>
      </c>
      <c r="U28">
        <f>Opportunities[[#This Row],[Amount]]*_xlfn.XLOOKUP(Opportunities[[#This Row],[Probability]],prob[Win Probability],prob[Value])</f>
        <v>397487.60000000003</v>
      </c>
      <c r="V28" t="str" cm="1">
        <f t="array" ref="V28">_xlfn.SWITCH(Opportunities[[#This Row],[Status]],"At Risk","⚠","Active","✓","⮾")</f>
        <v>⚠</v>
      </c>
      <c r="W28" t="str">
        <f>_xlfn.XLOOKUP(Opportunities[[#This Row],[CustomerId]],Customers[Id],Customers[Customer Name])</f>
        <v>Construction Dynamics</v>
      </c>
      <c r="X28" t="str">
        <f>_xlfn.XLOOKUP(Opportunities[[#This Row],[CustomerId]],Customers[Id],Customers[url2])</f>
        <v>https://cleansheet5.sharepoint.com/sites/SalesFunnel//Lists/citizenCustomers/DispForm.aspx?ID=9</v>
      </c>
      <c r="Y28">
        <f>_xlfn.XLOOKUP(Opportunities[[#This Row],[ID]],View[ID],View[Visible])</f>
        <v>1</v>
      </c>
      <c r="Z2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(Backup &amp; Recovery System)
 $1.0m • Nurturing • Owner: Mike Consultant</v>
      </c>
      <c r="AA2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28" t="str" cm="1">
        <f t="array" ref="AC28">_xlfn.SWITCH(Opportunities[[#This Row],[Probability]],"High","↖","Medium","←","Low","↙")&amp;" " &amp;Opportunities[[#This Row],[Probability]]</f>
        <v>← Medium</v>
      </c>
      <c r="AD28" t="b">
        <f>Opportunities[[#This Row],[WinProbDisplay]]="↖ High"</f>
        <v>0</v>
      </c>
    </row>
    <row r="29" spans="1:30" x14ac:dyDescent="0.25">
      <c r="A29">
        <v>28</v>
      </c>
      <c r="B29" t="s">
        <v>177</v>
      </c>
      <c r="C29" t="s">
        <v>19</v>
      </c>
      <c r="D29" t="s">
        <v>23</v>
      </c>
      <c r="E29">
        <v>1001054</v>
      </c>
      <c r="F29" t="s">
        <v>84</v>
      </c>
      <c r="G29" s="40">
        <v>46113</v>
      </c>
      <c r="H29" s="40">
        <v>45887</v>
      </c>
      <c r="I29" t="s">
        <v>147</v>
      </c>
      <c r="J29">
        <v>3</v>
      </c>
      <c r="L29" t="s">
        <v>394</v>
      </c>
      <c r="M29" s="40">
        <v>46149</v>
      </c>
      <c r="O29">
        <v>0</v>
      </c>
      <c r="P29" t="str">
        <f>" FY"&amp;RIGHT(IF(MONTH(Opportunities[[#This Row],[Close]])&gt;=7,YEAR(Opportunities[[#This Row],[Close]])+1,YEAR(Opportunities[[#This Row],[Close]])),2)&amp;"-Q"&amp;IF(MONTH(Opportunities[[#This Row],[Close]])&gt;=7,CEILING((MONTH(Opportunities[[#This Row],[Close]])-6)/3,1),CEILING((MONTH(Opportunities[[#This Row],[Close]])+6)/3,1))</f>
        <v xml:space="preserve"> FY26-Q4</v>
      </c>
      <c r="Q29" t="str">
        <f>"CY"&amp;RIGHT(YEAR(Opportunities[[#This Row],[Close]]),2)&amp;"-Q"&amp;ROUNDUP(MONTH(Opportunities[[#This Row],[Close]])/3, 0)</f>
        <v>CY26-Q2</v>
      </c>
      <c r="R29" t="str">
        <f>siteUrl&amp;"/Lists/"&amp;oppList&amp;"/DispForm.aspx?ID="&amp;Opportunities[[#This Row],[ID]]</f>
        <v>https://cleansheet5.sharepoint.com/sites/SalesFunnel//Lists/citizenOpportunities/DispForm.aspx?ID=28</v>
      </c>
      <c r="S29">
        <f>_xlfn.XLOOKUP(Opportunities[[#This Row],[Stage]],stage[Stage Name],stage[Index],"")</f>
        <v>2</v>
      </c>
      <c r="T29" t="str">
        <f>_xlfn.XLOOKUP(Opportunities[[#This Row],[StageNumber]],stage[Index],stage[Display])</f>
        <v>➁ - Nurturing</v>
      </c>
      <c r="U29">
        <f>Opportunities[[#This Row],[Amount]]*_xlfn.XLOOKUP(Opportunities[[#This Row],[Probability]],prob[Win Probability],prob[Value])</f>
        <v>900948.6</v>
      </c>
      <c r="V29" t="str" cm="1">
        <f t="array" ref="V29">_xlfn.SWITCH(Opportunities[[#This Row],[Status]],"At Risk","⚠","Active","✓","⮾")</f>
        <v>✓</v>
      </c>
      <c r="W29" t="str">
        <f>_xlfn.XLOOKUP(Opportunities[[#This Row],[CustomerId]],Customers[Id],Customers[Customer Name])</f>
        <v>Tech Solutions Inc</v>
      </c>
      <c r="X29" t="str">
        <f>_xlfn.XLOOKUP(Opportunities[[#This Row],[CustomerId]],Customers[Id],Customers[url2])</f>
        <v>https://cleansheet5.sharepoint.com/sites/SalesFunnel//Lists/citizenCustomers/DispForm.aspx?ID=3</v>
      </c>
      <c r="Y29">
        <f>_xlfn.XLOOKUP(Opportunities[[#This Row],[ID]],View[ID],View[Visible])</f>
        <v>1</v>
      </c>
      <c r="Z2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(Website Redesign Project)
 $1.0m • Nurturing • Owner: Amanda Sales</v>
      </c>
      <c r="AA2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29" t="str" cm="1">
        <f t="array" ref="AC29">_xlfn.SWITCH(Opportunities[[#This Row],[Probability]],"High","↖","Medium","←","Low","↙")&amp;" " &amp;Opportunities[[#This Row],[Probability]]</f>
        <v>↖ High</v>
      </c>
      <c r="AD29" t="b">
        <f>Opportunities[[#This Row],[WinProbDisplay]]="↖ High"</f>
        <v>1</v>
      </c>
    </row>
    <row r="30" spans="1:30" x14ac:dyDescent="0.25">
      <c r="A30">
        <v>29</v>
      </c>
      <c r="B30" t="s">
        <v>178</v>
      </c>
      <c r="C30" t="s">
        <v>19</v>
      </c>
      <c r="D30" t="s">
        <v>20</v>
      </c>
      <c r="E30">
        <v>1091632</v>
      </c>
      <c r="F30" t="s">
        <v>84</v>
      </c>
      <c r="G30" s="40">
        <v>46038</v>
      </c>
      <c r="H30" s="40">
        <v>45937</v>
      </c>
      <c r="I30" t="s">
        <v>94</v>
      </c>
      <c r="J30">
        <v>29</v>
      </c>
      <c r="L30" t="s">
        <v>158</v>
      </c>
      <c r="M30" s="40">
        <v>46090</v>
      </c>
      <c r="O30">
        <v>0</v>
      </c>
      <c r="P30" t="str">
        <f>" FY"&amp;RIGHT(IF(MONTH(Opportunities[[#This Row],[Close]])&gt;=7,YEAR(Opportunities[[#This Row],[Close]])+1,YEAR(Opportunities[[#This Row],[Close]])),2)&amp;"-Q"&amp;IF(MONTH(Opportunities[[#This Row],[Close]])&gt;=7,CEILING((MONTH(Opportunities[[#This Row],[Close]])-6)/3,1),CEILING((MONTH(Opportunities[[#This Row],[Close]])+6)/3,1))</f>
        <v xml:space="preserve"> FY26-Q3</v>
      </c>
      <c r="Q30" t="str">
        <f>"CY"&amp;RIGHT(YEAR(Opportunities[[#This Row],[Close]]),2)&amp;"-Q"&amp;ROUNDUP(MONTH(Opportunities[[#This Row],[Close]])/3, 0)</f>
        <v>CY26-Q1</v>
      </c>
      <c r="R30" t="str">
        <f>siteUrl&amp;"/Lists/"&amp;oppList&amp;"/DispForm.aspx?ID="&amp;Opportunities[[#This Row],[ID]]</f>
        <v>https://cleansheet5.sharepoint.com/sites/SalesFunnel//Lists/citizenOpportunities/DispForm.aspx?ID=29</v>
      </c>
      <c r="S30">
        <f>_xlfn.XLOOKUP(Opportunities[[#This Row],[Stage]],stage[Stage Name],stage[Index],"")</f>
        <v>1</v>
      </c>
      <c r="T30" t="str">
        <f>_xlfn.XLOOKUP(Opportunities[[#This Row],[StageNumber]],stage[Index],stage[Display])</f>
        <v>➀ - Lead Qualification</v>
      </c>
      <c r="U30">
        <f>Opportunities[[#This Row],[Amount]]*_xlfn.XLOOKUP(Opportunities[[#This Row],[Probability]],prob[Win Probability],prob[Value])</f>
        <v>982468.8</v>
      </c>
      <c r="V30" t="str" cm="1">
        <f t="array" ref="V30">_xlfn.SWITCH(Opportunities[[#This Row],[Status]],"At Risk","⚠","Active","✓","⮾")</f>
        <v>✓</v>
      </c>
      <c r="W30" t="str">
        <f>_xlfn.XLOOKUP(Opportunities[[#This Row],[CustomerId]],Customers[Id],Customers[Customer Name])</f>
        <v>Waste Management Co</v>
      </c>
      <c r="X30" t="str">
        <f>_xlfn.XLOOKUP(Opportunities[[#This Row],[CustomerId]],Customers[Id],Customers[url2])</f>
        <v>https://cleansheet5.sharepoint.com/sites/SalesFunnel//Lists/citizenCustomers/DispForm.aspx?ID=29</v>
      </c>
      <c r="Y30">
        <f>_xlfn.XLOOKUP(Opportunities[[#This Row],[ID]],View[ID],View[Visible])</f>
        <v>1</v>
      </c>
      <c r="Z3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Waste Management Co
(Social Media Management Tool)
 $1.1m • Lead Qualification • Owner: Robert Analyst</v>
      </c>
      <c r="AA3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30" t="str" cm="1">
        <f t="array" ref="AC30">_xlfn.SWITCH(Opportunities[[#This Row],[Probability]],"High","↖","Medium","←","Low","↙")&amp;" " &amp;Opportunities[[#This Row],[Probability]]</f>
        <v>↖ High</v>
      </c>
      <c r="AD30" t="b">
        <f>Opportunities[[#This Row],[WinProbDisplay]]="↖ High"</f>
        <v>1</v>
      </c>
    </row>
    <row r="31" spans="1:30" x14ac:dyDescent="0.25">
      <c r="A31">
        <v>30</v>
      </c>
      <c r="B31" t="s">
        <v>179</v>
      </c>
      <c r="C31" t="s">
        <v>25</v>
      </c>
      <c r="D31" t="s">
        <v>23</v>
      </c>
      <c r="E31">
        <v>1555472</v>
      </c>
      <c r="F31" t="s">
        <v>83</v>
      </c>
      <c r="G31" s="40">
        <v>46307</v>
      </c>
      <c r="H31" s="40">
        <v>45887</v>
      </c>
      <c r="I31" t="s">
        <v>97</v>
      </c>
      <c r="J31">
        <v>1</v>
      </c>
      <c r="L31" t="s">
        <v>105</v>
      </c>
      <c r="M31" s="40">
        <v>46323</v>
      </c>
      <c r="O31">
        <v>0</v>
      </c>
      <c r="P31" t="str">
        <f>" FY"&amp;RIGHT(IF(MONTH(Opportunities[[#This Row],[Close]])&gt;=7,YEAR(Opportunities[[#This Row],[Close]])+1,YEAR(Opportunities[[#This Row],[Close]])),2)&amp;"-Q"&amp;IF(MONTH(Opportunities[[#This Row],[Close]])&gt;=7,CEILING((MONTH(Opportunities[[#This Row],[Close]])-6)/3,1),CEILING((MONTH(Opportunities[[#This Row],[Close]])+6)/3,1))</f>
        <v xml:space="preserve"> FY27-Q2</v>
      </c>
      <c r="Q31" t="str">
        <f>"CY"&amp;RIGHT(YEAR(Opportunities[[#This Row],[Close]]),2)&amp;"-Q"&amp;ROUNDUP(MONTH(Opportunities[[#This Row],[Close]])/3, 0)</f>
        <v>CY26-Q4</v>
      </c>
      <c r="R31" t="str">
        <f>siteUrl&amp;"/Lists/"&amp;oppList&amp;"/DispForm.aspx?ID="&amp;Opportunities[[#This Row],[ID]]</f>
        <v>https://cleansheet5.sharepoint.com/sites/SalesFunnel//Lists/citizenOpportunities/DispForm.aspx?ID=30</v>
      </c>
      <c r="S31">
        <f>_xlfn.XLOOKUP(Opportunities[[#This Row],[Stage]],stage[Stage Name],stage[Index],"")</f>
        <v>2</v>
      </c>
      <c r="T31" t="str">
        <f>_xlfn.XLOOKUP(Opportunities[[#This Row],[StageNumber]],stage[Index],stage[Display])</f>
        <v>➁ - Nurturing</v>
      </c>
      <c r="U31">
        <f>Opportunities[[#This Row],[Amount]]*_xlfn.XLOOKUP(Opportunities[[#This Row],[Probability]],prob[Win Probability],prob[Value])</f>
        <v>622188.80000000005</v>
      </c>
      <c r="V31" t="str" cm="1">
        <f t="array" ref="V31">_xlfn.SWITCH(Opportunities[[#This Row],[Status]],"At Risk","⚠","Active","✓","⮾")</f>
        <v>⮾</v>
      </c>
      <c r="W31" t="str">
        <f>_xlfn.XLOOKUP(Opportunities[[#This Row],[CustomerId]],Customers[Id],Customers[Customer Name])</f>
        <v>ACME Corporation</v>
      </c>
      <c r="X31" t="str">
        <f>_xlfn.XLOOKUP(Opportunities[[#This Row],[CustomerId]],Customers[Id],Customers[url2])</f>
        <v>https://cleansheet5.sharepoint.com/sites/SalesFunnel//Lists/citizenCustomers/DispForm.aspx?ID=1</v>
      </c>
      <c r="Y31">
        <f>_xlfn.XLOOKUP(Opportunities[[#This Row],[ID]],View[ID],View[Visible])</f>
        <v>1</v>
      </c>
      <c r="Z3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(Customer Service Platform)
 $1.6m • Nurturing • Owner: Dr. Tech Advisor</v>
      </c>
      <c r="AA3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31" t="str" cm="1">
        <f t="array" ref="AC31">_xlfn.SWITCH(Opportunities[[#This Row],[Probability]],"High","↖","Medium","←","Low","↙")&amp;" " &amp;Opportunities[[#This Row],[Probability]]</f>
        <v>← Medium</v>
      </c>
      <c r="AD31" t="b">
        <f>Opportunities[[#This Row],[WinProbDisplay]]="↖ High"</f>
        <v>0</v>
      </c>
    </row>
    <row r="32" spans="1:30" x14ac:dyDescent="0.25">
      <c r="A32">
        <v>31</v>
      </c>
      <c r="B32" t="s">
        <v>180</v>
      </c>
      <c r="C32" t="s">
        <v>17</v>
      </c>
      <c r="D32" t="s">
        <v>24</v>
      </c>
      <c r="E32">
        <v>1181189</v>
      </c>
      <c r="F32" t="s">
        <v>83</v>
      </c>
      <c r="G32" s="40">
        <v>46255</v>
      </c>
      <c r="H32" s="40">
        <v>45938</v>
      </c>
      <c r="I32" t="s">
        <v>100</v>
      </c>
      <c r="J32">
        <v>13</v>
      </c>
      <c r="L32" t="s">
        <v>99</v>
      </c>
      <c r="M32" s="40">
        <v>46323</v>
      </c>
      <c r="O32">
        <v>0</v>
      </c>
      <c r="P32" t="str">
        <f>" FY"&amp;RIGHT(IF(MONTH(Opportunities[[#This Row],[Close]])&gt;=7,YEAR(Opportunities[[#This Row],[Close]])+1,YEAR(Opportunities[[#This Row],[Close]])),2)&amp;"-Q"&amp;IF(MONTH(Opportunities[[#This Row],[Close]])&gt;=7,CEILING((MONTH(Opportunities[[#This Row],[Close]])-6)/3,1),CEILING((MONTH(Opportunities[[#This Row],[Close]])+6)/3,1))</f>
        <v xml:space="preserve"> FY27-Q1</v>
      </c>
      <c r="Q32" t="str">
        <f>"CY"&amp;RIGHT(YEAR(Opportunities[[#This Row],[Close]]),2)&amp;"-Q"&amp;ROUNDUP(MONTH(Opportunities[[#This Row],[Close]])/3, 0)</f>
        <v>CY26-Q3</v>
      </c>
      <c r="R32" t="str">
        <f>siteUrl&amp;"/Lists/"&amp;oppList&amp;"/DispForm.aspx?ID="&amp;Opportunities[[#This Row],[ID]]</f>
        <v>https://cleansheet5.sharepoint.com/sites/SalesFunnel//Lists/citizenOpportunities/DispForm.aspx?ID=31</v>
      </c>
      <c r="S32">
        <f>_xlfn.XLOOKUP(Opportunities[[#This Row],[Stage]],stage[Stage Name],stage[Index],"")</f>
        <v>6</v>
      </c>
      <c r="T32" t="str">
        <f>_xlfn.XLOOKUP(Opportunities[[#This Row],[StageNumber]],stage[Index],stage[Display])</f>
        <v>➅ - Closeout</v>
      </c>
      <c r="U32">
        <f>Opportunities[[#This Row],[Amount]]*_xlfn.XLOOKUP(Opportunities[[#This Row],[Probability]],prob[Win Probability],prob[Value])</f>
        <v>472475.60000000003</v>
      </c>
      <c r="V32" t="str" cm="1">
        <f t="array" ref="V32">_xlfn.SWITCH(Opportunities[[#This Row],[Status]],"At Risk","⚠","Active","✓","⮾")</f>
        <v>⚠</v>
      </c>
      <c r="W32" t="str">
        <f>_xlfn.XLOOKUP(Opportunities[[#This Row],[CustomerId]],Customers[Id],Customers[Customer Name])</f>
        <v>Professional Services Group</v>
      </c>
      <c r="X32" t="str">
        <f>_xlfn.XLOOKUP(Opportunities[[#This Row],[CustomerId]],Customers[Id],Customers[url2])</f>
        <v>https://cleansheet5.sharepoint.com/sites/SalesFunnel//Lists/citizenCustomers/DispForm.aspx?ID=13</v>
      </c>
      <c r="Y32">
        <f>_xlfn.XLOOKUP(Opportunities[[#This Row],[ID]],View[ID],View[Visible])</f>
        <v>1</v>
      </c>
      <c r="Z3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(Fleet Management System)
 $1.2m • Closeout • Owner: Mike Consultant</v>
      </c>
      <c r="AA3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32" t="str" cm="1">
        <f t="array" ref="AC32">_xlfn.SWITCH(Opportunities[[#This Row],[Probability]],"High","↖","Medium","←","Low","↙")&amp;" " &amp;Opportunities[[#This Row],[Probability]]</f>
        <v>← Medium</v>
      </c>
      <c r="AD32" t="b">
        <f>Opportunities[[#This Row],[WinProbDisplay]]="↖ High"</f>
        <v>0</v>
      </c>
    </row>
    <row r="33" spans="1:30" x14ac:dyDescent="0.25">
      <c r="A33">
        <v>32</v>
      </c>
      <c r="B33" t="s">
        <v>181</v>
      </c>
      <c r="C33" t="s">
        <v>19</v>
      </c>
      <c r="D33" t="s">
        <v>21</v>
      </c>
      <c r="E33">
        <v>1850071</v>
      </c>
      <c r="F33" t="s">
        <v>83</v>
      </c>
      <c r="G33" s="40">
        <v>46211</v>
      </c>
      <c r="H33" s="40">
        <v>45891</v>
      </c>
      <c r="I33" t="s">
        <v>149</v>
      </c>
      <c r="J33">
        <v>14</v>
      </c>
      <c r="L33" t="s">
        <v>102</v>
      </c>
      <c r="M33" s="40">
        <v>46293</v>
      </c>
      <c r="O33">
        <v>0</v>
      </c>
      <c r="P33" t="str">
        <f>" FY"&amp;RIGHT(IF(MONTH(Opportunities[[#This Row],[Close]])&gt;=7,YEAR(Opportunities[[#This Row],[Close]])+1,YEAR(Opportunities[[#This Row],[Close]])),2)&amp;"-Q"&amp;IF(MONTH(Opportunities[[#This Row],[Close]])&gt;=7,CEILING((MONTH(Opportunities[[#This Row],[Close]])-6)/3,1),CEILING((MONTH(Opportunities[[#This Row],[Close]])+6)/3,1))</f>
        <v xml:space="preserve"> FY27-Q1</v>
      </c>
      <c r="Q33" t="str">
        <f>"CY"&amp;RIGHT(YEAR(Opportunities[[#This Row],[Close]]),2)&amp;"-Q"&amp;ROUNDUP(MONTH(Opportunities[[#This Row],[Close]])/3, 0)</f>
        <v>CY26-Q3</v>
      </c>
      <c r="R33" t="str">
        <f>siteUrl&amp;"/Lists/"&amp;oppList&amp;"/DispForm.aspx?ID="&amp;Opportunities[[#This Row],[ID]]</f>
        <v>https://cleansheet5.sharepoint.com/sites/SalesFunnel//Lists/citizenOpportunities/DispForm.aspx?ID=32</v>
      </c>
      <c r="S33">
        <f>_xlfn.XLOOKUP(Opportunities[[#This Row],[Stage]],stage[Stage Name],stage[Index],"")</f>
        <v>5</v>
      </c>
      <c r="T33" t="str">
        <f>_xlfn.XLOOKUP(Opportunities[[#This Row],[StageNumber]],stage[Index],stage[Display])</f>
        <v>➄ - Project Execution</v>
      </c>
      <c r="U33">
        <f>Opportunities[[#This Row],[Amount]]*_xlfn.XLOOKUP(Opportunities[[#This Row],[Probability]],prob[Win Probability],prob[Value])</f>
        <v>740028.4</v>
      </c>
      <c r="V33" t="str" cm="1">
        <f t="array" ref="V33">_xlfn.SWITCH(Opportunities[[#This Row],[Status]],"At Risk","⚠","Active","✓","⮾")</f>
        <v>✓</v>
      </c>
      <c r="W33" t="str">
        <f>_xlfn.XLOOKUP(Opportunities[[#This Row],[CustomerId]],Customers[Id],Customers[Customer Name])</f>
        <v>Media Communications</v>
      </c>
      <c r="X33" t="str">
        <f>_xlfn.XLOOKUP(Opportunities[[#This Row],[CustomerId]],Customers[Id],Customers[url2])</f>
        <v>https://cleansheet5.sharepoint.com/sites/SalesFunnel//Lists/citizenCustomers/DispForm.aspx?ID=14</v>
      </c>
      <c r="Y33">
        <f>_xlfn.XLOOKUP(Opportunities[[#This Row],[ID]],View[ID],View[Visible])</f>
        <v>1</v>
      </c>
      <c r="Z3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(Environmental Monitoring Solution)
 $1.9m • Project Execution • Owner: Lisa Engineer</v>
      </c>
      <c r="AA3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33" t="str" cm="1">
        <f t="array" ref="AC33">_xlfn.SWITCH(Opportunities[[#This Row],[Probability]],"High","↖","Medium","←","Low","↙")&amp;" " &amp;Opportunities[[#This Row],[Probability]]</f>
        <v>← Medium</v>
      </c>
      <c r="AD33" t="b">
        <f>Opportunities[[#This Row],[WinProbDisplay]]="↖ High"</f>
        <v>0</v>
      </c>
    </row>
    <row r="34" spans="1:30" x14ac:dyDescent="0.25">
      <c r="A34">
        <v>33</v>
      </c>
      <c r="B34" t="s">
        <v>182</v>
      </c>
      <c r="C34" t="s">
        <v>19</v>
      </c>
      <c r="D34" t="s">
        <v>22</v>
      </c>
      <c r="E34">
        <v>927080</v>
      </c>
      <c r="F34" t="s">
        <v>83</v>
      </c>
      <c r="G34" s="40">
        <v>46181</v>
      </c>
      <c r="H34" s="40">
        <v>45929</v>
      </c>
      <c r="I34" t="s">
        <v>160</v>
      </c>
      <c r="J34">
        <v>17</v>
      </c>
      <c r="L34" t="s">
        <v>99</v>
      </c>
      <c r="M34" s="40">
        <v>46212</v>
      </c>
      <c r="O34">
        <v>0</v>
      </c>
      <c r="P34" t="str">
        <f>" FY"&amp;RIGHT(IF(MONTH(Opportunities[[#This Row],[Close]])&gt;=7,YEAR(Opportunities[[#This Row],[Close]])+1,YEAR(Opportunities[[#This Row],[Close]])),2)&amp;"-Q"&amp;IF(MONTH(Opportunities[[#This Row],[Close]])&gt;=7,CEILING((MONTH(Opportunities[[#This Row],[Close]])-6)/3,1),CEILING((MONTH(Opportunities[[#This Row],[Close]])+6)/3,1))</f>
        <v xml:space="preserve"> FY26-Q4</v>
      </c>
      <c r="Q34" t="str">
        <f>"CY"&amp;RIGHT(YEAR(Opportunities[[#This Row],[Close]]),2)&amp;"-Q"&amp;ROUNDUP(MONTH(Opportunities[[#This Row],[Close]])/3, 0)</f>
        <v>CY26-Q2</v>
      </c>
      <c r="R34" t="str">
        <f>siteUrl&amp;"/Lists/"&amp;oppList&amp;"/DispForm.aspx?ID="&amp;Opportunities[[#This Row],[ID]]</f>
        <v>https://cleansheet5.sharepoint.com/sites/SalesFunnel//Lists/citizenOpportunities/DispForm.aspx?ID=33</v>
      </c>
      <c r="S34">
        <f>_xlfn.XLOOKUP(Opportunities[[#This Row],[Stage]],stage[Stage Name],stage[Index],"")</f>
        <v>3</v>
      </c>
      <c r="T34" t="str">
        <f>_xlfn.XLOOKUP(Opportunities[[#This Row],[StageNumber]],stage[Index],stage[Display])</f>
        <v>➂ - Proposal</v>
      </c>
      <c r="U34">
        <f>Opportunities[[#This Row],[Amount]]*_xlfn.XLOOKUP(Opportunities[[#This Row],[Probability]],prob[Win Probability],prob[Value])</f>
        <v>370832</v>
      </c>
      <c r="V34" t="str" cm="1">
        <f t="array" ref="V34">_xlfn.SWITCH(Opportunities[[#This Row],[Status]],"At Risk","⚠","Active","✓","⮾")</f>
        <v>✓</v>
      </c>
      <c r="W34" t="str">
        <f>_xlfn.XLOOKUP(Opportunities[[#This Row],[CustomerId]],Customers[Id],Customers[Customer Name])</f>
        <v>Insurance Specialists</v>
      </c>
      <c r="X34" t="str">
        <f>_xlfn.XLOOKUP(Opportunities[[#This Row],[CustomerId]],Customers[Id],Customers[url2])</f>
        <v>https://cleansheet5.sharepoint.com/sites/SalesFunnel//Lists/citizenCustomers/DispForm.aspx?ID=17</v>
      </c>
      <c r="Y34">
        <f>_xlfn.XLOOKUP(Opportunities[[#This Row],[ID]],View[ID],View[Visible])</f>
        <v>1</v>
      </c>
      <c r="Z3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Insurance Specialists
(Safety Management System)
 $0.9m • Proposal • Owner: Mike Consultant</v>
      </c>
      <c r="AA3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34" t="str" cm="1">
        <f t="array" ref="AC34">_xlfn.SWITCH(Opportunities[[#This Row],[Probability]],"High","↖","Medium","←","Low","↙")&amp;" " &amp;Opportunities[[#This Row],[Probability]]</f>
        <v>← Medium</v>
      </c>
      <c r="AD34" t="b">
        <f>Opportunities[[#This Row],[WinProbDisplay]]="↖ High"</f>
        <v>0</v>
      </c>
    </row>
    <row r="35" spans="1:30" x14ac:dyDescent="0.25">
      <c r="A35">
        <v>34</v>
      </c>
      <c r="B35" t="s">
        <v>183</v>
      </c>
      <c r="C35" t="s">
        <v>19</v>
      </c>
      <c r="D35" t="s">
        <v>18</v>
      </c>
      <c r="E35">
        <v>1225158</v>
      </c>
      <c r="F35" t="s">
        <v>85</v>
      </c>
      <c r="G35" s="40">
        <v>46077</v>
      </c>
      <c r="H35" s="40">
        <v>45930</v>
      </c>
      <c r="I35" t="s">
        <v>97</v>
      </c>
      <c r="J35">
        <v>2</v>
      </c>
      <c r="L35" t="s">
        <v>105</v>
      </c>
      <c r="M35" s="40">
        <v>46136</v>
      </c>
      <c r="O35">
        <v>0</v>
      </c>
      <c r="P35" t="str">
        <f>" FY"&amp;RIGHT(IF(MONTH(Opportunities[[#This Row],[Close]])&gt;=7,YEAR(Opportunities[[#This Row],[Close]])+1,YEAR(Opportunities[[#This Row],[Close]])),2)&amp;"-Q"&amp;IF(MONTH(Opportunities[[#This Row],[Close]])&gt;=7,CEILING((MONTH(Opportunities[[#This Row],[Close]])-6)/3,1),CEILING((MONTH(Opportunities[[#This Row],[Close]])+6)/3,1))</f>
        <v xml:space="preserve"> FY26-Q3</v>
      </c>
      <c r="Q35" t="str">
        <f>"CY"&amp;RIGHT(YEAR(Opportunities[[#This Row],[Close]]),2)&amp;"-Q"&amp;ROUNDUP(MONTH(Opportunities[[#This Row],[Close]])/3, 0)</f>
        <v>CY26-Q1</v>
      </c>
      <c r="R35" t="str">
        <f>siteUrl&amp;"/Lists/"&amp;oppList&amp;"/DispForm.aspx?ID="&amp;Opportunities[[#This Row],[ID]]</f>
        <v>https://cleansheet5.sharepoint.com/sites/SalesFunnel//Lists/citizenOpportunities/DispForm.aspx?ID=34</v>
      </c>
      <c r="S35">
        <f>_xlfn.XLOOKUP(Opportunities[[#This Row],[Stage]],stage[Stage Name],stage[Index],"")</f>
        <v>4</v>
      </c>
      <c r="T35" t="str">
        <f>_xlfn.XLOOKUP(Opportunities[[#This Row],[StageNumber]],stage[Index],stage[Display])</f>
        <v>➃ - Negotiation</v>
      </c>
      <c r="U35">
        <f>Opportunities[[#This Row],[Amount]]*_xlfn.XLOOKUP(Opportunities[[#This Row],[Probability]],prob[Win Probability],prob[Value])</f>
        <v>245031.6</v>
      </c>
      <c r="V35" t="str" cm="1">
        <f t="array" ref="V35">_xlfn.SWITCH(Opportunities[[#This Row],[Status]],"At Risk","⚠","Active","✓","⮾")</f>
        <v>✓</v>
      </c>
      <c r="W35" t="str">
        <f>_xlfn.XLOOKUP(Opportunities[[#This Row],[CustomerId]],Customers[Id],Customers[Customer Name])</f>
        <v>Global Industries</v>
      </c>
      <c r="X35" t="str">
        <f>_xlfn.XLOOKUP(Opportunities[[#This Row],[CustomerId]],Customers[Id],Customers[url2])</f>
        <v>https://cleansheet5.sharepoint.com/sites/SalesFunnel//Lists/citizenCustomers/DispForm.aspx?ID=2</v>
      </c>
      <c r="Y35">
        <f>_xlfn.XLOOKUP(Opportunities[[#This Row],[ID]],View[ID],View[Visible])</f>
        <v>1</v>
      </c>
      <c r="Z3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(Performance Analytics Dashboard)
 $1.2m • Negotiation • Owner: Dr. Tech Advisor</v>
      </c>
      <c r="AA3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35" t="str" cm="1">
        <f t="array" ref="AC35">_xlfn.SWITCH(Opportunities[[#This Row],[Probability]],"High","↖","Medium","←","Low","↙")&amp;" " &amp;Opportunities[[#This Row],[Probability]]</f>
        <v>↙ Low</v>
      </c>
      <c r="AD35" t="b">
        <f>Opportunities[[#This Row],[WinProbDisplay]]="↖ High"</f>
        <v>0</v>
      </c>
    </row>
    <row r="36" spans="1:30" x14ac:dyDescent="0.25">
      <c r="A36">
        <v>35</v>
      </c>
      <c r="B36" t="s">
        <v>184</v>
      </c>
      <c r="C36" t="s">
        <v>19</v>
      </c>
      <c r="D36" t="s">
        <v>21</v>
      </c>
      <c r="E36">
        <v>1362832</v>
      </c>
      <c r="F36" t="s">
        <v>83</v>
      </c>
      <c r="G36" s="40">
        <v>46035</v>
      </c>
      <c r="H36" s="40">
        <v>45904</v>
      </c>
      <c r="I36" t="s">
        <v>152</v>
      </c>
      <c r="J36">
        <v>2</v>
      </c>
      <c r="L36" t="s">
        <v>158</v>
      </c>
      <c r="M36" s="40">
        <v>46109</v>
      </c>
      <c r="O36">
        <v>0</v>
      </c>
      <c r="P36" t="str">
        <f>" FY"&amp;RIGHT(IF(MONTH(Opportunities[[#This Row],[Close]])&gt;=7,YEAR(Opportunities[[#This Row],[Close]])+1,YEAR(Opportunities[[#This Row],[Close]])),2)&amp;"-Q"&amp;IF(MONTH(Opportunities[[#This Row],[Close]])&gt;=7,CEILING((MONTH(Opportunities[[#This Row],[Close]])-6)/3,1),CEILING((MONTH(Opportunities[[#This Row],[Close]])+6)/3,1))</f>
        <v xml:space="preserve"> FY26-Q3</v>
      </c>
      <c r="Q36" t="str">
        <f>"CY"&amp;RIGHT(YEAR(Opportunities[[#This Row],[Close]]),2)&amp;"-Q"&amp;ROUNDUP(MONTH(Opportunities[[#This Row],[Close]])/3, 0)</f>
        <v>CY26-Q1</v>
      </c>
      <c r="R36" t="str">
        <f>siteUrl&amp;"/Lists/"&amp;oppList&amp;"/DispForm.aspx?ID="&amp;Opportunities[[#This Row],[ID]]</f>
        <v>https://cleansheet5.sharepoint.com/sites/SalesFunnel//Lists/citizenOpportunities/DispForm.aspx?ID=35</v>
      </c>
      <c r="S36">
        <f>_xlfn.XLOOKUP(Opportunities[[#This Row],[Stage]],stage[Stage Name],stage[Index],"")</f>
        <v>5</v>
      </c>
      <c r="T36" t="str">
        <f>_xlfn.XLOOKUP(Opportunities[[#This Row],[StageNumber]],stage[Index],stage[Display])</f>
        <v>➄ - Project Execution</v>
      </c>
      <c r="U36">
        <f>Opportunities[[#This Row],[Amount]]*_xlfn.XLOOKUP(Opportunities[[#This Row],[Probability]],prob[Win Probability],prob[Value])</f>
        <v>545132.80000000005</v>
      </c>
      <c r="V36" t="str" cm="1">
        <f t="array" ref="V36">_xlfn.SWITCH(Opportunities[[#This Row],[Status]],"At Risk","⚠","Active","✓","⮾")</f>
        <v>✓</v>
      </c>
      <c r="W36" t="str">
        <f>_xlfn.XLOOKUP(Opportunities[[#This Row],[CustomerId]],Customers[Id],Customers[Customer Name])</f>
        <v>Global Industries</v>
      </c>
      <c r="X36" t="str">
        <f>_xlfn.XLOOKUP(Opportunities[[#This Row],[CustomerId]],Customers[Id],Customers[url2])</f>
        <v>https://cleansheet5.sharepoint.com/sites/SalesFunnel//Lists/citizenCustomers/DispForm.aspx?ID=2</v>
      </c>
      <c r="Y36">
        <f>_xlfn.XLOOKUP(Opportunities[[#This Row],[ID]],View[ID],View[Visible])</f>
        <v>1</v>
      </c>
      <c r="Z3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(Workflow Automation Tool)
 $1.4m • Project Execution • Owner: Robert Analyst</v>
      </c>
      <c r="AA3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36" t="str" cm="1">
        <f t="array" ref="AC36">_xlfn.SWITCH(Opportunities[[#This Row],[Probability]],"High","↖","Medium","←","Low","↙")&amp;" " &amp;Opportunities[[#This Row],[Probability]]</f>
        <v>← Medium</v>
      </c>
      <c r="AD36" t="b">
        <f>Opportunities[[#This Row],[WinProbDisplay]]="↖ High"</f>
        <v>0</v>
      </c>
    </row>
    <row r="37" spans="1:30" x14ac:dyDescent="0.25">
      <c r="A37">
        <v>36</v>
      </c>
      <c r="B37" t="s">
        <v>185</v>
      </c>
      <c r="C37" t="s">
        <v>19</v>
      </c>
      <c r="D37" t="s">
        <v>21</v>
      </c>
      <c r="E37">
        <v>1259133</v>
      </c>
      <c r="F37" t="s">
        <v>83</v>
      </c>
      <c r="G37" s="40">
        <v>45896</v>
      </c>
      <c r="H37" s="40">
        <v>45925</v>
      </c>
      <c r="I37" t="s">
        <v>100</v>
      </c>
      <c r="J37">
        <v>25</v>
      </c>
      <c r="L37" t="s">
        <v>394</v>
      </c>
      <c r="M37" s="40">
        <v>45940</v>
      </c>
      <c r="O37">
        <v>0</v>
      </c>
      <c r="P37" t="str">
        <f>" FY"&amp;RIGHT(IF(MONTH(Opportunities[[#This Row],[Close]])&gt;=7,YEAR(Opportunities[[#This Row],[Close]])+1,YEAR(Opportunities[[#This Row],[Close]])),2)&amp;"-Q"&amp;IF(MONTH(Opportunities[[#This Row],[Close]])&gt;=7,CEILING((MONTH(Opportunities[[#This Row],[Close]])-6)/3,1),CEILING((MONTH(Opportunities[[#This Row],[Close]])+6)/3,1))</f>
        <v xml:space="preserve"> FY26-Q1</v>
      </c>
      <c r="Q37" t="str">
        <f>"CY"&amp;RIGHT(YEAR(Opportunities[[#This Row],[Close]]),2)&amp;"-Q"&amp;ROUNDUP(MONTH(Opportunities[[#This Row],[Close]])/3, 0)</f>
        <v>CY25-Q3</v>
      </c>
      <c r="R37" t="str">
        <f>siteUrl&amp;"/Lists/"&amp;oppList&amp;"/DispForm.aspx?ID="&amp;Opportunities[[#This Row],[ID]]</f>
        <v>https://cleansheet5.sharepoint.com/sites/SalesFunnel//Lists/citizenOpportunities/DispForm.aspx?ID=36</v>
      </c>
      <c r="S37">
        <f>_xlfn.XLOOKUP(Opportunities[[#This Row],[Stage]],stage[Stage Name],stage[Index],"")</f>
        <v>5</v>
      </c>
      <c r="T37" t="str">
        <f>_xlfn.XLOOKUP(Opportunities[[#This Row],[StageNumber]],stage[Index],stage[Display])</f>
        <v>➄ - Project Execution</v>
      </c>
      <c r="U37">
        <f>Opportunities[[#This Row],[Amount]]*_xlfn.XLOOKUP(Opportunities[[#This Row],[Probability]],prob[Win Probability],prob[Value])</f>
        <v>503653.2</v>
      </c>
      <c r="V37" t="str" cm="1">
        <f t="array" ref="V37">_xlfn.SWITCH(Opportunities[[#This Row],[Status]],"At Risk","⚠","Active","✓","⮾")</f>
        <v>✓</v>
      </c>
      <c r="W37" t="str">
        <f>_xlfn.XLOOKUP(Opportunities[[#This Row],[CustomerId]],Customers[Id],Customers[Customer Name])</f>
        <v>Chemical Processing</v>
      </c>
      <c r="X37" t="str">
        <f>_xlfn.XLOOKUP(Opportunities[[#This Row],[CustomerId]],Customers[Id],Customers[url2])</f>
        <v>https://cleansheet5.sharepoint.com/sites/SalesFunnel//Lists/citizenCustomers/DispForm.aspx?ID=25</v>
      </c>
      <c r="Y37">
        <f>_xlfn.XLOOKUP(Opportunities[[#This Row],[ID]],View[ID],View[Visible])</f>
        <v>1</v>
      </c>
      <c r="Z3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Chemical Processing
(Integration Services Project)
 $1.3m • Project Execution • Owner: Amanda Sales</v>
      </c>
      <c r="AA3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AC37" t="str" cm="1">
        <f t="array" ref="AC37">_xlfn.SWITCH(Opportunities[[#This Row],[Probability]],"High","↖","Medium","←","Low","↙")&amp;" " &amp;Opportunities[[#This Row],[Probability]]</f>
        <v>← Medium</v>
      </c>
      <c r="AD37" t="b">
        <f>Opportunities[[#This Row],[WinProbDisplay]]="↖ High"</f>
        <v>0</v>
      </c>
    </row>
    <row r="38" spans="1:30" x14ac:dyDescent="0.25">
      <c r="A38">
        <v>37</v>
      </c>
      <c r="B38" t="s">
        <v>186</v>
      </c>
      <c r="C38" t="s">
        <v>19</v>
      </c>
      <c r="D38" t="s">
        <v>20</v>
      </c>
      <c r="E38">
        <v>630289</v>
      </c>
      <c r="F38" t="s">
        <v>83</v>
      </c>
      <c r="G38" s="40">
        <v>46024</v>
      </c>
      <c r="H38" s="40">
        <v>45912</v>
      </c>
      <c r="I38" t="s">
        <v>94</v>
      </c>
      <c r="J38">
        <v>9</v>
      </c>
      <c r="L38" t="s">
        <v>96</v>
      </c>
      <c r="M38" s="40">
        <v>46056</v>
      </c>
      <c r="O38">
        <v>0</v>
      </c>
      <c r="P38" t="str">
        <f>" FY"&amp;RIGHT(IF(MONTH(Opportunities[[#This Row],[Close]])&gt;=7,YEAR(Opportunities[[#This Row],[Close]])+1,YEAR(Opportunities[[#This Row],[Close]])),2)&amp;"-Q"&amp;IF(MONTH(Opportunities[[#This Row],[Close]])&gt;=7,CEILING((MONTH(Opportunities[[#This Row],[Close]])-6)/3,1),CEILING((MONTH(Opportunities[[#This Row],[Close]])+6)/3,1))</f>
        <v xml:space="preserve"> FY26-Q3</v>
      </c>
      <c r="Q38" t="str">
        <f>"CY"&amp;RIGHT(YEAR(Opportunities[[#This Row],[Close]]),2)&amp;"-Q"&amp;ROUNDUP(MONTH(Opportunities[[#This Row],[Close]])/3, 0)</f>
        <v>CY26-Q1</v>
      </c>
      <c r="R38" t="str">
        <f>siteUrl&amp;"/Lists/"&amp;oppList&amp;"/DispForm.aspx?ID="&amp;Opportunities[[#This Row],[ID]]</f>
        <v>https://cleansheet5.sharepoint.com/sites/SalesFunnel//Lists/citizenOpportunities/DispForm.aspx?ID=37</v>
      </c>
      <c r="S38">
        <f>_xlfn.XLOOKUP(Opportunities[[#This Row],[Stage]],stage[Stage Name],stage[Index],"")</f>
        <v>1</v>
      </c>
      <c r="T38" t="str">
        <f>_xlfn.XLOOKUP(Opportunities[[#This Row],[StageNumber]],stage[Index],stage[Display])</f>
        <v>➀ - Lead Qualification</v>
      </c>
      <c r="U38">
        <f>Opportunities[[#This Row],[Amount]]*_xlfn.XLOOKUP(Opportunities[[#This Row],[Probability]],prob[Win Probability],prob[Value])</f>
        <v>252115.6</v>
      </c>
      <c r="V38" t="str" cm="1">
        <f t="array" ref="V38">_xlfn.SWITCH(Opportunities[[#This Row],[Status]],"At Risk","⚠","Active","✓","⮾")</f>
        <v>✓</v>
      </c>
      <c r="W38" t="str">
        <f>_xlfn.XLOOKUP(Opportunities[[#This Row],[CustomerId]],Customers[Id],Customers[Customer Name])</f>
        <v>Construction Dynamics</v>
      </c>
      <c r="X38" t="str">
        <f>_xlfn.XLOOKUP(Opportunities[[#This Row],[CustomerId]],Customers[Id],Customers[url2])</f>
        <v>https://cleansheet5.sharepoint.com/sites/SalesFunnel//Lists/citizenCustomers/DispForm.aspx?ID=9</v>
      </c>
      <c r="Y38">
        <f>_xlfn.XLOOKUP(Opportunities[[#This Row],[ID]],View[ID],View[Visible])</f>
        <v>1</v>
      </c>
      <c r="Z3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(Database Migration Project)
 $0.6m • Lead Qualification • Owner: Sarah Director</v>
      </c>
      <c r="AA3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38" t="str" cm="1">
        <f t="array" ref="AC38">_xlfn.SWITCH(Opportunities[[#This Row],[Probability]],"High","↖","Medium","←","Low","↙")&amp;" " &amp;Opportunities[[#This Row],[Probability]]</f>
        <v>← Medium</v>
      </c>
      <c r="AD38" t="b">
        <f>Opportunities[[#This Row],[WinProbDisplay]]="↖ High"</f>
        <v>0</v>
      </c>
    </row>
    <row r="39" spans="1:30" x14ac:dyDescent="0.25">
      <c r="A39">
        <v>38</v>
      </c>
      <c r="B39" t="s">
        <v>187</v>
      </c>
      <c r="C39" t="s">
        <v>19</v>
      </c>
      <c r="D39" t="s">
        <v>23</v>
      </c>
      <c r="E39">
        <v>1778409</v>
      </c>
      <c r="F39" t="s">
        <v>85</v>
      </c>
      <c r="G39" s="40">
        <v>46099</v>
      </c>
      <c r="H39" s="40">
        <v>45895</v>
      </c>
      <c r="I39" t="s">
        <v>94</v>
      </c>
      <c r="J39">
        <v>13</v>
      </c>
      <c r="L39" t="s">
        <v>158</v>
      </c>
      <c r="M39" s="40">
        <v>46141</v>
      </c>
      <c r="O39">
        <v>0</v>
      </c>
      <c r="P39" t="str">
        <f>" FY"&amp;RIGHT(IF(MONTH(Opportunities[[#This Row],[Close]])&gt;=7,YEAR(Opportunities[[#This Row],[Close]])+1,YEAR(Opportunities[[#This Row],[Close]])),2)&amp;"-Q"&amp;IF(MONTH(Opportunities[[#This Row],[Close]])&gt;=7,CEILING((MONTH(Opportunities[[#This Row],[Close]])-6)/3,1),CEILING((MONTH(Opportunities[[#This Row],[Close]])+6)/3,1))</f>
        <v xml:space="preserve"> FY26-Q3</v>
      </c>
      <c r="Q39" t="str">
        <f>"CY"&amp;RIGHT(YEAR(Opportunities[[#This Row],[Close]]),2)&amp;"-Q"&amp;ROUNDUP(MONTH(Opportunities[[#This Row],[Close]])/3, 0)</f>
        <v>CY26-Q1</v>
      </c>
      <c r="R39" t="str">
        <f>siteUrl&amp;"/Lists/"&amp;oppList&amp;"/DispForm.aspx?ID="&amp;Opportunities[[#This Row],[ID]]</f>
        <v>https://cleansheet5.sharepoint.com/sites/SalesFunnel//Lists/citizenOpportunities/DispForm.aspx?ID=38</v>
      </c>
      <c r="S39">
        <f>_xlfn.XLOOKUP(Opportunities[[#This Row],[Stage]],stage[Stage Name],stage[Index],"")</f>
        <v>2</v>
      </c>
      <c r="T39" t="str">
        <f>_xlfn.XLOOKUP(Opportunities[[#This Row],[StageNumber]],stage[Index],stage[Display])</f>
        <v>➁ - Nurturing</v>
      </c>
      <c r="U39">
        <f>Opportunities[[#This Row],[Amount]]*_xlfn.XLOOKUP(Opportunities[[#This Row],[Probability]],prob[Win Probability],prob[Value])</f>
        <v>355681.80000000005</v>
      </c>
      <c r="V39" t="str" cm="1">
        <f t="array" ref="V39">_xlfn.SWITCH(Opportunities[[#This Row],[Status]],"At Risk","⚠","Active","✓","⮾")</f>
        <v>✓</v>
      </c>
      <c r="W39" t="str">
        <f>_xlfn.XLOOKUP(Opportunities[[#This Row],[CustomerId]],Customers[Id],Customers[Customer Name])</f>
        <v>Professional Services Group</v>
      </c>
      <c r="X39" t="str">
        <f>_xlfn.XLOOKUP(Opportunities[[#This Row],[CustomerId]],Customers[Id],Customers[url2])</f>
        <v>https://cleansheet5.sharepoint.com/sites/SalesFunnel//Lists/citizenCustomers/DispForm.aspx?ID=13</v>
      </c>
      <c r="Y39">
        <f>_xlfn.XLOOKUP(Opportunities[[#This Row],[ID]],View[ID],View[Visible])</f>
        <v>1</v>
      </c>
      <c r="Z3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(Legacy System Modernization)
 $1.8m • Nurturing • Owner: Robert Analyst</v>
      </c>
      <c r="AA3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39" t="str" cm="1">
        <f t="array" ref="AC39">_xlfn.SWITCH(Opportunities[[#This Row],[Probability]],"High","↖","Medium","←","Low","↙")&amp;" " &amp;Opportunities[[#This Row],[Probability]]</f>
        <v>↙ Low</v>
      </c>
      <c r="AD39" t="b">
        <f>Opportunities[[#This Row],[WinProbDisplay]]="↖ High"</f>
        <v>0</v>
      </c>
    </row>
    <row r="40" spans="1:30" x14ac:dyDescent="0.25">
      <c r="A40">
        <v>39</v>
      </c>
      <c r="B40" t="s">
        <v>188</v>
      </c>
      <c r="C40" t="s">
        <v>19</v>
      </c>
      <c r="D40" t="s">
        <v>18</v>
      </c>
      <c r="E40">
        <v>1366197</v>
      </c>
      <c r="F40" t="s">
        <v>83</v>
      </c>
      <c r="G40" s="40">
        <v>46153</v>
      </c>
      <c r="H40" s="40">
        <v>45885</v>
      </c>
      <c r="I40" t="s">
        <v>147</v>
      </c>
      <c r="J40">
        <v>3</v>
      </c>
      <c r="L40" t="s">
        <v>102</v>
      </c>
      <c r="M40" s="40">
        <v>46185</v>
      </c>
      <c r="O40">
        <v>0</v>
      </c>
      <c r="P40" t="str">
        <f>" FY"&amp;RIGHT(IF(MONTH(Opportunities[[#This Row],[Close]])&gt;=7,YEAR(Opportunities[[#This Row],[Close]])+1,YEAR(Opportunities[[#This Row],[Close]])),2)&amp;"-Q"&amp;IF(MONTH(Opportunities[[#This Row],[Close]])&gt;=7,CEILING((MONTH(Opportunities[[#This Row],[Close]])-6)/3,1),CEILING((MONTH(Opportunities[[#This Row],[Close]])+6)/3,1))</f>
        <v xml:space="preserve"> FY26-Q4</v>
      </c>
      <c r="Q40" t="str">
        <f>"CY"&amp;RIGHT(YEAR(Opportunities[[#This Row],[Close]]),2)&amp;"-Q"&amp;ROUNDUP(MONTH(Opportunities[[#This Row],[Close]])/3, 0)</f>
        <v>CY26-Q2</v>
      </c>
      <c r="R40" t="str">
        <f>siteUrl&amp;"/Lists/"&amp;oppList&amp;"/DispForm.aspx?ID="&amp;Opportunities[[#This Row],[ID]]</f>
        <v>https://cleansheet5.sharepoint.com/sites/SalesFunnel//Lists/citizenOpportunities/DispForm.aspx?ID=39</v>
      </c>
      <c r="S40">
        <f>_xlfn.XLOOKUP(Opportunities[[#This Row],[Stage]],stage[Stage Name],stage[Index],"")</f>
        <v>4</v>
      </c>
      <c r="T40" t="str">
        <f>_xlfn.XLOOKUP(Opportunities[[#This Row],[StageNumber]],stage[Index],stage[Display])</f>
        <v>➃ - Negotiation</v>
      </c>
      <c r="U40">
        <f>Opportunities[[#This Row],[Amount]]*_xlfn.XLOOKUP(Opportunities[[#This Row],[Probability]],prob[Win Probability],prob[Value])</f>
        <v>546478.80000000005</v>
      </c>
      <c r="V40" t="str" cm="1">
        <f t="array" ref="V40">_xlfn.SWITCH(Opportunities[[#This Row],[Status]],"At Risk","⚠","Active","✓","⮾")</f>
        <v>✓</v>
      </c>
      <c r="W40" t="str">
        <f>_xlfn.XLOOKUP(Opportunities[[#This Row],[CustomerId]],Customers[Id],Customers[Customer Name])</f>
        <v>Tech Solutions Inc</v>
      </c>
      <c r="X40" t="str">
        <f>_xlfn.XLOOKUP(Opportunities[[#This Row],[CustomerId]],Customers[Id],Customers[url2])</f>
        <v>https://cleansheet5.sharepoint.com/sites/SalesFunnel//Lists/citizenCustomers/DispForm.aspx?ID=3</v>
      </c>
      <c r="Y40">
        <f>_xlfn.XLOOKUP(Opportunities[[#This Row],[ID]],View[ID],View[Visible])</f>
        <v>1</v>
      </c>
      <c r="Z4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(API Development Project)
 $1.4m • Negotiation • Owner: Lisa Engineer</v>
      </c>
      <c r="AA4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40" t="str" cm="1">
        <f t="array" ref="AC40">_xlfn.SWITCH(Opportunities[[#This Row],[Probability]],"High","↖","Medium","←","Low","↙")&amp;" " &amp;Opportunities[[#This Row],[Probability]]</f>
        <v>← Medium</v>
      </c>
      <c r="AD40" t="b">
        <f>Opportunities[[#This Row],[WinProbDisplay]]="↖ High"</f>
        <v>0</v>
      </c>
    </row>
    <row r="41" spans="1:30" x14ac:dyDescent="0.25">
      <c r="A41">
        <v>40</v>
      </c>
      <c r="B41" t="s">
        <v>189</v>
      </c>
      <c r="C41" t="s">
        <v>19</v>
      </c>
      <c r="D41" t="s">
        <v>21</v>
      </c>
      <c r="E41">
        <v>1474927</v>
      </c>
      <c r="F41" t="s">
        <v>83</v>
      </c>
      <c r="G41" s="40">
        <v>45999</v>
      </c>
      <c r="H41" s="40">
        <v>45930</v>
      </c>
      <c r="I41" t="s">
        <v>152</v>
      </c>
      <c r="J41">
        <v>3</v>
      </c>
      <c r="L41" t="s">
        <v>96</v>
      </c>
      <c r="M41" s="40">
        <v>46047</v>
      </c>
      <c r="O41">
        <v>0</v>
      </c>
      <c r="P41" t="str">
        <f>" FY"&amp;RIGHT(IF(MONTH(Opportunities[[#This Row],[Close]])&gt;=7,YEAR(Opportunities[[#This Row],[Close]])+1,YEAR(Opportunities[[#This Row],[Close]])),2)&amp;"-Q"&amp;IF(MONTH(Opportunities[[#This Row],[Close]])&gt;=7,CEILING((MONTH(Opportunities[[#This Row],[Close]])-6)/3,1),CEILING((MONTH(Opportunities[[#This Row],[Close]])+6)/3,1))</f>
        <v xml:space="preserve"> FY26-Q2</v>
      </c>
      <c r="Q41" t="str">
        <f>"CY"&amp;RIGHT(YEAR(Opportunities[[#This Row],[Close]]),2)&amp;"-Q"&amp;ROUNDUP(MONTH(Opportunities[[#This Row],[Close]])/3, 0)</f>
        <v>CY25-Q4</v>
      </c>
      <c r="R41" t="str">
        <f>siteUrl&amp;"/Lists/"&amp;oppList&amp;"/DispForm.aspx?ID="&amp;Opportunities[[#This Row],[ID]]</f>
        <v>https://cleansheet5.sharepoint.com/sites/SalesFunnel//Lists/citizenOpportunities/DispForm.aspx?ID=40</v>
      </c>
      <c r="S41">
        <f>_xlfn.XLOOKUP(Opportunities[[#This Row],[Stage]],stage[Stage Name],stage[Index],"")</f>
        <v>5</v>
      </c>
      <c r="T41" t="str">
        <f>_xlfn.XLOOKUP(Opportunities[[#This Row],[StageNumber]],stage[Index],stage[Display])</f>
        <v>➄ - Project Execution</v>
      </c>
      <c r="U41">
        <f>Opportunities[[#This Row],[Amount]]*_xlfn.XLOOKUP(Opportunities[[#This Row],[Probability]],prob[Win Probability],prob[Value])</f>
        <v>589970.80000000005</v>
      </c>
      <c r="V41" t="str" cm="1">
        <f t="array" ref="V41">_xlfn.SWITCH(Opportunities[[#This Row],[Status]],"At Risk","⚠","Active","✓","⮾")</f>
        <v>✓</v>
      </c>
      <c r="W41" t="str">
        <f>_xlfn.XLOOKUP(Opportunities[[#This Row],[CustomerId]],Customers[Id],Customers[Customer Name])</f>
        <v>Tech Solutions Inc</v>
      </c>
      <c r="X41" t="str">
        <f>_xlfn.XLOOKUP(Opportunities[[#This Row],[CustomerId]],Customers[Id],Customers[url2])</f>
        <v>https://cleansheet5.sharepoint.com/sites/SalesFunnel//Lists/citizenCustomers/DispForm.aspx?ID=3</v>
      </c>
      <c r="Y41">
        <f>_xlfn.XLOOKUP(Opportunities[[#This Row],[ID]],View[ID],View[Visible])</f>
        <v>1</v>
      </c>
      <c r="Z4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(Machine Learning Implementation)
 $1.5m • Project Execution • Owner: Sarah Director</v>
      </c>
      <c r="AA4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41" t="str" cm="1">
        <f t="array" ref="AC41">_xlfn.SWITCH(Opportunities[[#This Row],[Probability]],"High","↖","Medium","←","Low","↙")&amp;" " &amp;Opportunities[[#This Row],[Probability]]</f>
        <v>← Medium</v>
      </c>
      <c r="AD41" t="b">
        <f>Opportunities[[#This Row],[WinProbDisplay]]="↖ High"</f>
        <v>0</v>
      </c>
    </row>
  </sheetData>
  <phoneticPr fontId="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A1103-E317-4C75-997F-1C8C8DF88B18}">
  <sheetPr codeName="Sheet4"/>
  <dimension ref="A1:AN32"/>
  <sheetViews>
    <sheetView topLeftCell="H1" workbookViewId="0">
      <selection activeCell="X3" sqref="X3"/>
    </sheetView>
  </sheetViews>
  <sheetFormatPr defaultRowHeight="15" x14ac:dyDescent="0.25"/>
  <cols>
    <col min="1" max="1" width="5" bestFit="1" customWidth="1"/>
    <col min="2" max="2" width="26.140625" bestFit="1" customWidth="1"/>
    <col min="3" max="3" width="17.7109375" bestFit="1" customWidth="1"/>
    <col min="4" max="4" width="22.140625" bestFit="1" customWidth="1"/>
    <col min="5" max="5" width="18.85546875" bestFit="1" customWidth="1"/>
    <col min="6" max="6" width="23" bestFit="1" customWidth="1"/>
    <col min="7" max="7" width="20" bestFit="1" customWidth="1"/>
    <col min="8" max="8" width="24.5703125" bestFit="1" customWidth="1"/>
    <col min="9" max="9" width="33.140625" bestFit="1" customWidth="1"/>
    <col min="10" max="11" width="20.140625" bestFit="1" customWidth="1"/>
    <col min="12" max="12" width="81.140625" bestFit="1" customWidth="1"/>
    <col min="13" max="13" width="19.140625" bestFit="1" customWidth="1"/>
    <col min="14" max="16" width="81.140625" bestFit="1" customWidth="1"/>
    <col min="17" max="17" width="26.140625" bestFit="1" customWidth="1"/>
    <col min="18" max="18" width="81.140625" bestFit="1" customWidth="1"/>
    <col min="19" max="19" width="21.7109375" bestFit="1" customWidth="1"/>
    <col min="20" max="20" width="5.85546875" bestFit="1" customWidth="1"/>
    <col min="21" max="22" width="12.42578125" bestFit="1" customWidth="1"/>
    <col min="23" max="23" width="81.140625" bestFit="1" customWidth="1"/>
    <col min="24" max="24" width="20" bestFit="1" customWidth="1"/>
    <col min="25" max="25" width="24.140625" bestFit="1" customWidth="1"/>
    <col min="26" max="26" width="5.85546875" bestFit="1" customWidth="1"/>
    <col min="27" max="28" width="12.42578125" bestFit="1" customWidth="1"/>
    <col min="29" max="29" width="81.140625" bestFit="1" customWidth="1"/>
    <col min="30" max="30" width="25" bestFit="1" customWidth="1"/>
    <col min="31" max="31" width="14.7109375" bestFit="1" customWidth="1"/>
    <col min="32" max="32" width="38" bestFit="1" customWidth="1"/>
    <col min="33" max="33" width="19.28515625" bestFit="1" customWidth="1"/>
    <col min="34" max="34" width="19" bestFit="1" customWidth="1"/>
    <col min="35" max="35" width="18.7109375" bestFit="1" customWidth="1"/>
    <col min="36" max="36" width="18.42578125" bestFit="1" customWidth="1"/>
    <col min="37" max="37" width="81.140625" bestFit="1" customWidth="1"/>
    <col min="40" max="40" width="40.5703125" bestFit="1" customWidth="1"/>
  </cols>
  <sheetData>
    <row r="1" spans="1:22" x14ac:dyDescent="0.25">
      <c r="A1" t="s">
        <v>0</v>
      </c>
      <c r="B1" t="s">
        <v>86</v>
      </c>
      <c r="C1" t="s">
        <v>3</v>
      </c>
      <c r="D1" t="s">
        <v>4</v>
      </c>
      <c r="E1" t="s">
        <v>5</v>
      </c>
      <c r="F1" t="s">
        <v>6</v>
      </c>
      <c r="G1" t="s">
        <v>7</v>
      </c>
      <c r="H1" t="s">
        <v>8</v>
      </c>
      <c r="I1" t="s">
        <v>72</v>
      </c>
      <c r="J1" t="s">
        <v>2</v>
      </c>
      <c r="K1" t="s">
        <v>1</v>
      </c>
      <c r="L1" t="s">
        <v>73</v>
      </c>
      <c r="M1" t="s">
        <v>387</v>
      </c>
      <c r="N1" t="s">
        <v>142</v>
      </c>
      <c r="O1" t="s">
        <v>51</v>
      </c>
    </row>
    <row r="2" spans="1:22" x14ac:dyDescent="0.25">
      <c r="A2">
        <v>1</v>
      </c>
      <c r="B2" t="s">
        <v>107</v>
      </c>
      <c r="C2" t="s">
        <v>109</v>
      </c>
      <c r="D2" t="s">
        <v>9</v>
      </c>
      <c r="E2" t="s">
        <v>110</v>
      </c>
      <c r="F2" t="s">
        <v>111</v>
      </c>
      <c r="G2" t="s">
        <v>112</v>
      </c>
      <c r="H2" t="s">
        <v>10</v>
      </c>
      <c r="I2" t="s">
        <v>108</v>
      </c>
      <c r="J2" t="s">
        <v>413</v>
      </c>
      <c r="K2" t="s">
        <v>413</v>
      </c>
      <c r="L2" t="str">
        <f>siteUrl&amp;"/Lists/"&amp;custList&amp;"/DispForm.aspx?ID="&amp;Customers[[#This Row],[Id]]</f>
        <v>https://cleansheet5.sharepoint.com/sites/SalesFunnel//Lists/citizenCustomers/DispForm.aspx?ID=1</v>
      </c>
      <c r="M2" t="e">
        <f>_xlfn.XLOOKUP(Customers[[#This Row],[Id]],Customers[Id],#REF!)</f>
        <v>#REF!</v>
      </c>
      <c r="N2" t="str">
        <f>_xlfn.XLOOKUP(Customers[[#This Row],[Id]],Customers[Id],Customers[url2])</f>
        <v>https://cleansheet5.sharepoint.com/sites/SalesFunnel//Lists/citizenCustomers/DispForm.aspx?ID=1</v>
      </c>
      <c r="O2" t="s">
        <v>52</v>
      </c>
    </row>
    <row r="3" spans="1:22" x14ac:dyDescent="0.25">
      <c r="A3">
        <v>2</v>
      </c>
      <c r="B3" t="s">
        <v>89</v>
      </c>
      <c r="C3" t="s">
        <v>114</v>
      </c>
      <c r="D3" t="s">
        <v>115</v>
      </c>
      <c r="E3" t="s">
        <v>116</v>
      </c>
      <c r="F3" t="s">
        <v>117</v>
      </c>
      <c r="G3" t="s">
        <v>118</v>
      </c>
      <c r="H3" t="s">
        <v>119</v>
      </c>
      <c r="I3" t="s">
        <v>113</v>
      </c>
      <c r="J3" t="s">
        <v>413</v>
      </c>
      <c r="K3" t="s">
        <v>413</v>
      </c>
      <c r="L3" t="str">
        <f>siteUrl&amp;"/Lists/"&amp;custList&amp;"/DispForm.aspx?ID="&amp;Customers[[#This Row],[Id]]</f>
        <v>https://cleansheet5.sharepoint.com/sites/SalesFunnel//Lists/citizenCustomers/DispForm.aspx?ID=2</v>
      </c>
      <c r="M3" t="e">
        <f>_xlfn.XLOOKUP(Customers[[#This Row],[Id]],Customers[Id],#REF!)</f>
        <v>#REF!</v>
      </c>
      <c r="N3" t="str">
        <f>_xlfn.XLOOKUP(Customers[[#This Row],[Id]],Customers[Id],Customers[url2])</f>
        <v>https://cleansheet5.sharepoint.com/sites/SalesFunnel//Lists/citizenCustomers/DispForm.aspx?ID=2</v>
      </c>
      <c r="V3" t="s">
        <v>53</v>
      </c>
    </row>
    <row r="4" spans="1:22" x14ac:dyDescent="0.25">
      <c r="A4">
        <v>3</v>
      </c>
      <c r="B4" t="s">
        <v>120</v>
      </c>
      <c r="C4" t="s">
        <v>12</v>
      </c>
      <c r="D4" t="s">
        <v>122</v>
      </c>
      <c r="E4" t="s">
        <v>123</v>
      </c>
      <c r="F4" t="s">
        <v>124</v>
      </c>
      <c r="G4" t="s">
        <v>125</v>
      </c>
      <c r="H4" t="s">
        <v>126</v>
      </c>
      <c r="I4" t="s">
        <v>121</v>
      </c>
      <c r="J4" t="s">
        <v>413</v>
      </c>
      <c r="K4" t="s">
        <v>413</v>
      </c>
      <c r="L4" t="str">
        <f>siteUrl&amp;"/Lists/"&amp;custList&amp;"/DispForm.aspx?ID="&amp;Customers[[#This Row],[Id]]</f>
        <v>https://cleansheet5.sharepoint.com/sites/SalesFunnel//Lists/citizenCustomers/DispForm.aspx?ID=3</v>
      </c>
      <c r="M4" t="e">
        <f>_xlfn.XLOOKUP(Customers[[#This Row],[Id]],Customers[Id],#REF!)</f>
        <v>#REF!</v>
      </c>
      <c r="N4" t="str">
        <f>_xlfn.XLOOKUP(Customers[[#This Row],[Id]],Customers[Id],Customers[url2])</f>
        <v>https://cleansheet5.sharepoint.com/sites/SalesFunnel//Lists/citizenCustomers/DispForm.aspx?ID=3</v>
      </c>
      <c r="V4" t="s">
        <v>61</v>
      </c>
    </row>
    <row r="5" spans="1:22" x14ac:dyDescent="0.25">
      <c r="A5">
        <v>4</v>
      </c>
      <c r="B5" t="s">
        <v>127</v>
      </c>
      <c r="C5" t="s">
        <v>129</v>
      </c>
      <c r="D5" t="s">
        <v>130</v>
      </c>
      <c r="E5" t="s">
        <v>131</v>
      </c>
      <c r="F5" t="s">
        <v>132</v>
      </c>
      <c r="G5" t="s">
        <v>133</v>
      </c>
      <c r="H5" t="s">
        <v>134</v>
      </c>
      <c r="I5" t="s">
        <v>128</v>
      </c>
      <c r="J5" t="s">
        <v>413</v>
      </c>
      <c r="K5" t="s">
        <v>413</v>
      </c>
      <c r="L5" t="str">
        <f>siteUrl&amp;"/Lists/"&amp;custList&amp;"/DispForm.aspx?ID="&amp;Customers[[#This Row],[Id]]</f>
        <v>https://cleansheet5.sharepoint.com/sites/SalesFunnel//Lists/citizenCustomers/DispForm.aspx?ID=4</v>
      </c>
      <c r="M5" t="e">
        <f>_xlfn.XLOOKUP(Customers[[#This Row],[Id]],Customers[Id],#REF!)</f>
        <v>#REF!</v>
      </c>
      <c r="N5" t="str">
        <f>_xlfn.XLOOKUP(Customers[[#This Row],[Id]],Customers[Id],Customers[url2])</f>
        <v>https://cleansheet5.sharepoint.com/sites/SalesFunnel//Lists/citizenCustomers/DispForm.aspx?ID=4</v>
      </c>
      <c r="V5" t="s">
        <v>54</v>
      </c>
    </row>
    <row r="6" spans="1:22" x14ac:dyDescent="0.25">
      <c r="A6">
        <v>5</v>
      </c>
      <c r="B6" t="s">
        <v>135</v>
      </c>
      <c r="C6" t="s">
        <v>137</v>
      </c>
      <c r="D6" t="s">
        <v>11</v>
      </c>
      <c r="E6" t="s">
        <v>138</v>
      </c>
      <c r="F6" t="s">
        <v>139</v>
      </c>
      <c r="G6" t="s">
        <v>140</v>
      </c>
      <c r="H6" t="s">
        <v>141</v>
      </c>
      <c r="I6" t="s">
        <v>136</v>
      </c>
      <c r="J6" t="s">
        <v>413</v>
      </c>
      <c r="K6" t="s">
        <v>413</v>
      </c>
      <c r="L6" t="str">
        <f>siteUrl&amp;"/Lists/"&amp;custList&amp;"/DispForm.aspx?ID="&amp;Customers[[#This Row],[Id]]</f>
        <v>https://cleansheet5.sharepoint.com/sites/SalesFunnel//Lists/citizenCustomers/DispForm.aspx?ID=5</v>
      </c>
      <c r="M6" t="e">
        <f>_xlfn.XLOOKUP(Customers[[#This Row],[Id]],Customers[Id],#REF!)</f>
        <v>#REF!</v>
      </c>
      <c r="N6" t="str">
        <f>_xlfn.XLOOKUP(Customers[[#This Row],[Id]],Customers[Id],Customers[url2])</f>
        <v>https://cleansheet5.sharepoint.com/sites/SalesFunnel//Lists/citizenCustomers/DispForm.aspx?ID=5</v>
      </c>
      <c r="V6" t="s">
        <v>55</v>
      </c>
    </row>
    <row r="7" spans="1:22" x14ac:dyDescent="0.25">
      <c r="A7">
        <v>6</v>
      </c>
      <c r="B7" t="s">
        <v>275</v>
      </c>
      <c r="C7" t="s">
        <v>277</v>
      </c>
      <c r="D7" t="s">
        <v>278</v>
      </c>
      <c r="E7" t="s">
        <v>279</v>
      </c>
      <c r="F7" t="s">
        <v>280</v>
      </c>
      <c r="G7" t="s">
        <v>281</v>
      </c>
      <c r="H7" t="s">
        <v>126</v>
      </c>
      <c r="I7" t="s">
        <v>276</v>
      </c>
      <c r="J7" t="s">
        <v>413</v>
      </c>
      <c r="K7" t="s">
        <v>413</v>
      </c>
      <c r="L7" t="str">
        <f>siteUrl&amp;"/Lists/"&amp;custList&amp;"/DispForm.aspx?ID="&amp;Customers[[#This Row],[Id]]</f>
        <v>https://cleansheet5.sharepoint.com/sites/SalesFunnel//Lists/citizenCustomers/DispForm.aspx?ID=6</v>
      </c>
      <c r="M7" t="e">
        <f>_xlfn.XLOOKUP(Customers[[#This Row],[Id]],Customers[Id],#REF!)</f>
        <v>#REF!</v>
      </c>
      <c r="N7" t="str">
        <f>_xlfn.XLOOKUP(Customers[[#This Row],[Id]],Customers[Id],Customers[url2])</f>
        <v>https://cleansheet5.sharepoint.com/sites/SalesFunnel//Lists/citizenCustomers/DispForm.aspx?ID=6</v>
      </c>
      <c r="V7" t="s">
        <v>62</v>
      </c>
    </row>
    <row r="8" spans="1:22" x14ac:dyDescent="0.25">
      <c r="A8">
        <v>7</v>
      </c>
      <c r="B8" t="s">
        <v>282</v>
      </c>
      <c r="C8" t="s">
        <v>284</v>
      </c>
      <c r="D8" t="s">
        <v>193</v>
      </c>
      <c r="E8" t="s">
        <v>285</v>
      </c>
      <c r="F8" t="s">
        <v>286</v>
      </c>
      <c r="G8" t="s">
        <v>287</v>
      </c>
      <c r="H8" t="s">
        <v>288</v>
      </c>
      <c r="I8" t="s">
        <v>283</v>
      </c>
      <c r="J8" t="s">
        <v>414</v>
      </c>
      <c r="K8" t="s">
        <v>414</v>
      </c>
      <c r="L8" t="str">
        <f>siteUrl&amp;"/Lists/"&amp;custList&amp;"/DispForm.aspx?ID="&amp;Customers[[#This Row],[Id]]</f>
        <v>https://cleansheet5.sharepoint.com/sites/SalesFunnel//Lists/citizenCustomers/DispForm.aspx?ID=7</v>
      </c>
      <c r="M8" t="e">
        <f>_xlfn.XLOOKUP(Customers[[#This Row],[Id]],Customers[Id],#REF!)</f>
        <v>#REF!</v>
      </c>
      <c r="N8" t="str">
        <f>_xlfn.XLOOKUP(Customers[[#This Row],[Id]],Customers[Id],Customers[url2])</f>
        <v>https://cleansheet5.sharepoint.com/sites/SalesFunnel//Lists/citizenCustomers/DispForm.aspx?ID=7</v>
      </c>
      <c r="V8" t="s">
        <v>56</v>
      </c>
    </row>
    <row r="9" spans="1:22" x14ac:dyDescent="0.25">
      <c r="A9">
        <v>8</v>
      </c>
      <c r="B9" t="s">
        <v>289</v>
      </c>
      <c r="C9" t="s">
        <v>291</v>
      </c>
      <c r="D9" t="s">
        <v>292</v>
      </c>
      <c r="E9" t="s">
        <v>293</v>
      </c>
      <c r="F9" t="s">
        <v>272</v>
      </c>
      <c r="G9" t="s">
        <v>294</v>
      </c>
      <c r="H9" t="s">
        <v>249</v>
      </c>
      <c r="I9" t="s">
        <v>290</v>
      </c>
      <c r="J9" t="s">
        <v>414</v>
      </c>
      <c r="K9" t="s">
        <v>414</v>
      </c>
      <c r="L9" t="str">
        <f>siteUrl&amp;"/Lists/"&amp;custList&amp;"/DispForm.aspx?ID="&amp;Customers[[#This Row],[Id]]</f>
        <v>https://cleansheet5.sharepoint.com/sites/SalesFunnel//Lists/citizenCustomers/DispForm.aspx?ID=8</v>
      </c>
      <c r="M9" t="e">
        <f>_xlfn.XLOOKUP(Customers[[#This Row],[Id]],Customers[Id],#REF!)</f>
        <v>#REF!</v>
      </c>
      <c r="N9" t="str">
        <f>_xlfn.XLOOKUP(Customers[[#This Row],[Id]],Customers[Id],Customers[url2])</f>
        <v>https://cleansheet5.sharepoint.com/sites/SalesFunnel//Lists/citizenCustomers/DispForm.aspx?ID=8</v>
      </c>
      <c r="V9" t="s">
        <v>57</v>
      </c>
    </row>
    <row r="10" spans="1:22" x14ac:dyDescent="0.25">
      <c r="A10">
        <v>9</v>
      </c>
      <c r="B10" t="s">
        <v>295</v>
      </c>
      <c r="C10" t="s">
        <v>297</v>
      </c>
      <c r="D10" t="s">
        <v>298</v>
      </c>
      <c r="E10" t="s">
        <v>299</v>
      </c>
      <c r="F10" t="s">
        <v>300</v>
      </c>
      <c r="G10" t="s">
        <v>301</v>
      </c>
      <c r="H10" t="s">
        <v>302</v>
      </c>
      <c r="I10" t="s">
        <v>296</v>
      </c>
      <c r="J10" t="s">
        <v>414</v>
      </c>
      <c r="K10" t="s">
        <v>414</v>
      </c>
      <c r="L10" t="str">
        <f>siteUrl&amp;"/Lists/"&amp;custList&amp;"/DispForm.aspx?ID="&amp;Customers[[#This Row],[Id]]</f>
        <v>https://cleansheet5.sharepoint.com/sites/SalesFunnel//Lists/citizenCustomers/DispForm.aspx?ID=9</v>
      </c>
      <c r="M10" t="e">
        <f>_xlfn.XLOOKUP(Customers[[#This Row],[Id]],Customers[Id],#REF!)</f>
        <v>#REF!</v>
      </c>
      <c r="N10" t="str">
        <f>_xlfn.XLOOKUP(Customers[[#This Row],[Id]],Customers[Id],Customers[url2])</f>
        <v>https://cleansheet5.sharepoint.com/sites/SalesFunnel//Lists/citizenCustomers/DispForm.aspx?ID=9</v>
      </c>
      <c r="V10" t="s">
        <v>53</v>
      </c>
    </row>
    <row r="11" spans="1:22" x14ac:dyDescent="0.25">
      <c r="A11">
        <v>10</v>
      </c>
      <c r="B11" t="s">
        <v>303</v>
      </c>
      <c r="C11" t="s">
        <v>305</v>
      </c>
      <c r="D11" t="s">
        <v>306</v>
      </c>
      <c r="E11" t="s">
        <v>307</v>
      </c>
      <c r="F11" t="s">
        <v>308</v>
      </c>
      <c r="G11" t="s">
        <v>309</v>
      </c>
      <c r="H11" t="s">
        <v>310</v>
      </c>
      <c r="I11" t="s">
        <v>304</v>
      </c>
      <c r="J11" t="s">
        <v>414</v>
      </c>
      <c r="K11" t="s">
        <v>414</v>
      </c>
      <c r="L11" t="str">
        <f>siteUrl&amp;"/Lists/"&amp;custList&amp;"/DispForm.aspx?ID="&amp;Customers[[#This Row],[Id]]</f>
        <v>https://cleansheet5.sharepoint.com/sites/SalesFunnel//Lists/citizenCustomers/DispForm.aspx?ID=10</v>
      </c>
      <c r="M11" t="e">
        <f>_xlfn.XLOOKUP(Customers[[#This Row],[Id]],Customers[Id],#REF!)</f>
        <v>#REF!</v>
      </c>
      <c r="N11" t="str">
        <f>_xlfn.XLOOKUP(Customers[[#This Row],[Id]],Customers[Id],Customers[url2])</f>
        <v>https://cleansheet5.sharepoint.com/sites/SalesFunnel//Lists/citizenCustomers/DispForm.aspx?ID=10</v>
      </c>
      <c r="V11" t="s">
        <v>63</v>
      </c>
    </row>
    <row r="12" spans="1:22" x14ac:dyDescent="0.25">
      <c r="A12">
        <v>11</v>
      </c>
      <c r="B12" t="s">
        <v>311</v>
      </c>
      <c r="C12" t="s">
        <v>313</v>
      </c>
      <c r="D12" t="s">
        <v>314</v>
      </c>
      <c r="E12" t="s">
        <v>315</v>
      </c>
      <c r="F12" t="s">
        <v>227</v>
      </c>
      <c r="G12" t="s">
        <v>316</v>
      </c>
      <c r="H12" t="s">
        <v>317</v>
      </c>
      <c r="I12" t="s">
        <v>312</v>
      </c>
      <c r="J12" t="s">
        <v>414</v>
      </c>
      <c r="K12" t="s">
        <v>414</v>
      </c>
      <c r="L12" t="str">
        <f>siteUrl&amp;"/Lists/"&amp;custList&amp;"/DispForm.aspx?ID="&amp;Customers[[#This Row],[Id]]</f>
        <v>https://cleansheet5.sharepoint.com/sites/SalesFunnel//Lists/citizenCustomers/DispForm.aspx?ID=11</v>
      </c>
      <c r="M12" t="e">
        <f>_xlfn.XLOOKUP(Customers[[#This Row],[Id]],Customers[Id],#REF!)</f>
        <v>#REF!</v>
      </c>
      <c r="N12" t="str">
        <f>_xlfn.XLOOKUP(Customers[[#This Row],[Id]],Customers[Id],Customers[url2])</f>
        <v>https://cleansheet5.sharepoint.com/sites/SalesFunnel//Lists/citizenCustomers/DispForm.aspx?ID=11</v>
      </c>
      <c r="V12" t="s">
        <v>54</v>
      </c>
    </row>
    <row r="13" spans="1:22" x14ac:dyDescent="0.25">
      <c r="A13">
        <v>12</v>
      </c>
      <c r="B13" t="s">
        <v>318</v>
      </c>
      <c r="C13" t="s">
        <v>320</v>
      </c>
      <c r="D13" t="s">
        <v>298</v>
      </c>
      <c r="E13" t="s">
        <v>321</v>
      </c>
      <c r="F13" t="s">
        <v>322</v>
      </c>
      <c r="G13" t="s">
        <v>323</v>
      </c>
      <c r="H13" t="s">
        <v>324</v>
      </c>
      <c r="I13" t="s">
        <v>319</v>
      </c>
      <c r="J13" t="s">
        <v>414</v>
      </c>
      <c r="K13" t="s">
        <v>414</v>
      </c>
      <c r="L13" t="str">
        <f>siteUrl&amp;"/Lists/"&amp;custList&amp;"/DispForm.aspx?ID="&amp;Customers[[#This Row],[Id]]</f>
        <v>https://cleansheet5.sharepoint.com/sites/SalesFunnel//Lists/citizenCustomers/DispForm.aspx?ID=12</v>
      </c>
      <c r="M13" t="e">
        <f>_xlfn.XLOOKUP(Customers[[#This Row],[Id]],Customers[Id],#REF!)</f>
        <v>#REF!</v>
      </c>
      <c r="N13" t="str">
        <f>_xlfn.XLOOKUP(Customers[[#This Row],[Id]],Customers[Id],Customers[url2])</f>
        <v>https://cleansheet5.sharepoint.com/sites/SalesFunnel//Lists/citizenCustomers/DispForm.aspx?ID=12</v>
      </c>
      <c r="V13" t="s">
        <v>64</v>
      </c>
    </row>
    <row r="14" spans="1:22" x14ac:dyDescent="0.25">
      <c r="A14">
        <v>13</v>
      </c>
      <c r="B14" t="s">
        <v>325</v>
      </c>
      <c r="C14" t="s">
        <v>327</v>
      </c>
      <c r="D14" t="s">
        <v>328</v>
      </c>
      <c r="E14" t="s">
        <v>329</v>
      </c>
      <c r="F14" t="s">
        <v>330</v>
      </c>
      <c r="G14" t="s">
        <v>331</v>
      </c>
      <c r="H14" t="s">
        <v>227</v>
      </c>
      <c r="I14" t="s">
        <v>326</v>
      </c>
      <c r="J14" t="s">
        <v>414</v>
      </c>
      <c r="K14" t="s">
        <v>414</v>
      </c>
      <c r="L14" t="str">
        <f>siteUrl&amp;"/Lists/"&amp;custList&amp;"/DispForm.aspx?ID="&amp;Customers[[#This Row],[Id]]</f>
        <v>https://cleansheet5.sharepoint.com/sites/SalesFunnel//Lists/citizenCustomers/DispForm.aspx?ID=13</v>
      </c>
      <c r="M14" t="e">
        <f>_xlfn.XLOOKUP(Customers[[#This Row],[Id]],Customers[Id],#REF!)</f>
        <v>#REF!</v>
      </c>
      <c r="N14" t="str">
        <f>_xlfn.XLOOKUP(Customers[[#This Row],[Id]],Customers[Id],Customers[url2])</f>
        <v>https://cleansheet5.sharepoint.com/sites/SalesFunnel//Lists/citizenCustomers/DispForm.aspx?ID=13</v>
      </c>
      <c r="V14" t="s">
        <v>65</v>
      </c>
    </row>
    <row r="15" spans="1:22" x14ac:dyDescent="0.25">
      <c r="A15">
        <v>14</v>
      </c>
      <c r="B15" t="s">
        <v>332</v>
      </c>
      <c r="C15" t="s">
        <v>334</v>
      </c>
      <c r="D15" t="s">
        <v>335</v>
      </c>
      <c r="E15" t="s">
        <v>336</v>
      </c>
      <c r="F15" t="s">
        <v>201</v>
      </c>
      <c r="G15" t="s">
        <v>337</v>
      </c>
      <c r="H15" t="s">
        <v>338</v>
      </c>
      <c r="I15" t="s">
        <v>333</v>
      </c>
      <c r="J15" t="s">
        <v>414</v>
      </c>
      <c r="K15" t="s">
        <v>414</v>
      </c>
      <c r="L15" t="str">
        <f>siteUrl&amp;"/Lists/"&amp;custList&amp;"/DispForm.aspx?ID="&amp;Customers[[#This Row],[Id]]</f>
        <v>https://cleansheet5.sharepoint.com/sites/SalesFunnel//Lists/citizenCustomers/DispForm.aspx?ID=14</v>
      </c>
      <c r="M15" t="e">
        <f>_xlfn.XLOOKUP(Customers[[#This Row],[Id]],Customers[Id],#REF!)</f>
        <v>#REF!</v>
      </c>
      <c r="N15" t="str">
        <f>_xlfn.XLOOKUP(Customers[[#This Row],[Id]],Customers[Id],Customers[url2])</f>
        <v>https://cleansheet5.sharepoint.com/sites/SalesFunnel//Lists/citizenCustomers/DispForm.aspx?ID=14</v>
      </c>
      <c r="V15" t="s">
        <v>56</v>
      </c>
    </row>
    <row r="16" spans="1:22" x14ac:dyDescent="0.25">
      <c r="A16">
        <v>15</v>
      </c>
      <c r="B16" t="s">
        <v>339</v>
      </c>
      <c r="C16" t="s">
        <v>341</v>
      </c>
      <c r="D16" t="s">
        <v>342</v>
      </c>
      <c r="E16" t="s">
        <v>343</v>
      </c>
      <c r="F16" t="s">
        <v>344</v>
      </c>
      <c r="G16" t="s">
        <v>345</v>
      </c>
      <c r="H16" t="s">
        <v>346</v>
      </c>
      <c r="I16" t="s">
        <v>340</v>
      </c>
      <c r="J16" t="s">
        <v>414</v>
      </c>
      <c r="K16" t="s">
        <v>414</v>
      </c>
      <c r="L16" t="str">
        <f>siteUrl&amp;"/Lists/"&amp;custList&amp;"/DispForm.aspx?ID="&amp;Customers[[#This Row],[Id]]</f>
        <v>https://cleansheet5.sharepoint.com/sites/SalesFunnel//Lists/citizenCustomers/DispForm.aspx?ID=15</v>
      </c>
      <c r="M16" t="e">
        <f>_xlfn.XLOOKUP(Customers[[#This Row],[Id]],Customers[Id],#REF!)</f>
        <v>#REF!</v>
      </c>
      <c r="N16" t="str">
        <f>_xlfn.XLOOKUP(Customers[[#This Row],[Id]],Customers[Id],Customers[url2])</f>
        <v>https://cleansheet5.sharepoint.com/sites/SalesFunnel//Lists/citizenCustomers/DispForm.aspx?ID=15</v>
      </c>
      <c r="V16" t="s">
        <v>57</v>
      </c>
    </row>
    <row r="17" spans="1:40" x14ac:dyDescent="0.25">
      <c r="A17">
        <v>16</v>
      </c>
      <c r="B17" t="s">
        <v>347</v>
      </c>
      <c r="C17" t="s">
        <v>349</v>
      </c>
      <c r="D17" t="s">
        <v>350</v>
      </c>
      <c r="E17" t="s">
        <v>351</v>
      </c>
      <c r="F17" t="s">
        <v>352</v>
      </c>
      <c r="G17" t="s">
        <v>353</v>
      </c>
      <c r="H17" t="s">
        <v>354</v>
      </c>
      <c r="I17" t="s">
        <v>348</v>
      </c>
      <c r="J17" t="s">
        <v>414</v>
      </c>
      <c r="K17" t="s">
        <v>414</v>
      </c>
      <c r="L17" t="str">
        <f>siteUrl&amp;"/Lists/"&amp;custList&amp;"/DispForm.aspx?ID="&amp;Customers[[#This Row],[Id]]</f>
        <v>https://cleansheet5.sharepoint.com/sites/SalesFunnel//Lists/citizenCustomers/DispForm.aspx?ID=16</v>
      </c>
      <c r="M17" t="e">
        <f>_xlfn.XLOOKUP(Customers[[#This Row],[Id]],Customers[Id],#REF!)</f>
        <v>#REF!</v>
      </c>
      <c r="N17" t="str">
        <f>_xlfn.XLOOKUP(Customers[[#This Row],[Id]],Customers[Id],Customers[url2])</f>
        <v>https://cleansheet5.sharepoint.com/sites/SalesFunnel//Lists/citizenCustomers/DispForm.aspx?ID=16</v>
      </c>
      <c r="V17" t="s">
        <v>53</v>
      </c>
    </row>
    <row r="18" spans="1:40" x14ac:dyDescent="0.25">
      <c r="A18">
        <v>17</v>
      </c>
      <c r="B18" t="s">
        <v>355</v>
      </c>
      <c r="C18" t="s">
        <v>357</v>
      </c>
      <c r="D18" t="s">
        <v>358</v>
      </c>
      <c r="E18" t="s">
        <v>359</v>
      </c>
      <c r="F18" t="s">
        <v>360</v>
      </c>
      <c r="G18" t="s">
        <v>361</v>
      </c>
      <c r="H18" t="s">
        <v>362</v>
      </c>
      <c r="I18" t="s">
        <v>356</v>
      </c>
      <c r="J18" t="s">
        <v>414</v>
      </c>
      <c r="K18" t="s">
        <v>414</v>
      </c>
      <c r="L18" t="str">
        <f>siteUrl&amp;"/Lists/"&amp;custList&amp;"/DispForm.aspx?ID="&amp;Customers[[#This Row],[Id]]</f>
        <v>https://cleansheet5.sharepoint.com/sites/SalesFunnel//Lists/citizenCustomers/DispForm.aspx?ID=17</v>
      </c>
      <c r="M18" t="e">
        <f>_xlfn.XLOOKUP(Customers[[#This Row],[Id]],Customers[Id],#REF!)</f>
        <v>#REF!</v>
      </c>
      <c r="N18" t="str">
        <f>_xlfn.XLOOKUP(Customers[[#This Row],[Id]],Customers[Id],Customers[url2])</f>
        <v>https://cleansheet5.sharepoint.com/sites/SalesFunnel//Lists/citizenCustomers/DispForm.aspx?ID=17</v>
      </c>
      <c r="V18" t="s">
        <v>66</v>
      </c>
    </row>
    <row r="19" spans="1:40" x14ac:dyDescent="0.25">
      <c r="A19">
        <v>18</v>
      </c>
      <c r="B19" t="s">
        <v>363</v>
      </c>
      <c r="C19" t="s">
        <v>365</v>
      </c>
      <c r="D19" t="s">
        <v>366</v>
      </c>
      <c r="E19" t="s">
        <v>367</v>
      </c>
      <c r="F19" t="s">
        <v>368</v>
      </c>
      <c r="G19" t="s">
        <v>369</v>
      </c>
      <c r="H19" t="s">
        <v>370</v>
      </c>
      <c r="I19" t="s">
        <v>364</v>
      </c>
      <c r="J19" t="s">
        <v>414</v>
      </c>
      <c r="K19" t="s">
        <v>414</v>
      </c>
      <c r="L19" t="str">
        <f>siteUrl&amp;"/Lists/"&amp;custList&amp;"/DispForm.aspx?ID="&amp;Customers[[#This Row],[Id]]</f>
        <v>https://cleansheet5.sharepoint.com/sites/SalesFunnel//Lists/citizenCustomers/DispForm.aspx?ID=18</v>
      </c>
      <c r="M19" t="e">
        <f>_xlfn.XLOOKUP(Customers[[#This Row],[Id]],Customers[Id],#REF!)</f>
        <v>#REF!</v>
      </c>
      <c r="N19" t="str">
        <f>_xlfn.XLOOKUP(Customers[[#This Row],[Id]],Customers[Id],Customers[url2])</f>
        <v>https://cleansheet5.sharepoint.com/sites/SalesFunnel//Lists/citizenCustomers/DispForm.aspx?ID=18</v>
      </c>
      <c r="V19" t="s">
        <v>54</v>
      </c>
    </row>
    <row r="20" spans="1:40" x14ac:dyDescent="0.25">
      <c r="A20">
        <v>19</v>
      </c>
      <c r="B20" t="s">
        <v>371</v>
      </c>
      <c r="C20" t="s">
        <v>373</v>
      </c>
      <c r="D20" t="s">
        <v>298</v>
      </c>
      <c r="E20" t="s">
        <v>374</v>
      </c>
      <c r="F20" t="s">
        <v>375</v>
      </c>
      <c r="G20" t="s">
        <v>376</v>
      </c>
      <c r="H20" t="s">
        <v>377</v>
      </c>
      <c r="I20" t="s">
        <v>372</v>
      </c>
      <c r="J20" t="s">
        <v>414</v>
      </c>
      <c r="K20" t="s">
        <v>414</v>
      </c>
      <c r="L20" t="str">
        <f>siteUrl&amp;"/Lists/"&amp;custList&amp;"/DispForm.aspx?ID="&amp;Customers[[#This Row],[Id]]</f>
        <v>https://cleansheet5.sharepoint.com/sites/SalesFunnel//Lists/citizenCustomers/DispForm.aspx?ID=19</v>
      </c>
      <c r="M20" t="e">
        <f>_xlfn.XLOOKUP(Customers[[#This Row],[Id]],Customers[Id],#REF!)</f>
        <v>#REF!</v>
      </c>
      <c r="N20" t="str">
        <f>_xlfn.XLOOKUP(Customers[[#This Row],[Id]],Customers[Id],Customers[url2])</f>
        <v>https://cleansheet5.sharepoint.com/sites/SalesFunnel//Lists/citizenCustomers/DispForm.aspx?ID=19</v>
      </c>
      <c r="V20" t="s">
        <v>67</v>
      </c>
    </row>
    <row r="21" spans="1:40" x14ac:dyDescent="0.25">
      <c r="A21">
        <v>20</v>
      </c>
      <c r="B21" t="s">
        <v>190</v>
      </c>
      <c r="C21" t="s">
        <v>192</v>
      </c>
      <c r="D21" t="s">
        <v>193</v>
      </c>
      <c r="E21" t="s">
        <v>194</v>
      </c>
      <c r="F21" t="s">
        <v>195</v>
      </c>
      <c r="G21" t="s">
        <v>196</v>
      </c>
      <c r="H21" t="s">
        <v>197</v>
      </c>
      <c r="I21" t="s">
        <v>191</v>
      </c>
      <c r="J21" t="s">
        <v>414</v>
      </c>
      <c r="K21" t="s">
        <v>414</v>
      </c>
      <c r="L21" t="str">
        <f>siteUrl&amp;"/Lists/"&amp;custList&amp;"/DispForm.aspx?ID="&amp;Customers[[#This Row],[Id]]</f>
        <v>https://cleansheet5.sharepoint.com/sites/SalesFunnel//Lists/citizenCustomers/DispForm.aspx?ID=20</v>
      </c>
      <c r="M21" t="e">
        <f>_xlfn.XLOOKUP(Customers[[#This Row],[Id]],Customers[Id],#REF!)</f>
        <v>#REF!</v>
      </c>
      <c r="N21" t="str">
        <f>_xlfn.XLOOKUP(Customers[[#This Row],[Id]],Customers[Id],Customers[url2])</f>
        <v>https://cleansheet5.sharepoint.com/sites/SalesFunnel//Lists/citizenCustomers/DispForm.aspx?ID=20</v>
      </c>
      <c r="V21" t="s">
        <v>68</v>
      </c>
    </row>
    <row r="22" spans="1:40" x14ac:dyDescent="0.25">
      <c r="A22">
        <v>21</v>
      </c>
      <c r="B22" t="s">
        <v>198</v>
      </c>
      <c r="C22" t="s">
        <v>200</v>
      </c>
      <c r="D22" t="s">
        <v>201</v>
      </c>
      <c r="E22" t="s">
        <v>202</v>
      </c>
      <c r="F22" t="s">
        <v>203</v>
      </c>
      <c r="G22" t="s">
        <v>204</v>
      </c>
      <c r="H22" t="s">
        <v>205</v>
      </c>
      <c r="I22" t="s">
        <v>199</v>
      </c>
      <c r="J22" t="s">
        <v>414</v>
      </c>
      <c r="K22" t="s">
        <v>414</v>
      </c>
      <c r="L22" t="str">
        <f>siteUrl&amp;"/Lists/"&amp;custList&amp;"/DispForm.aspx?ID="&amp;Customers[[#This Row],[Id]]</f>
        <v>https://cleansheet5.sharepoint.com/sites/SalesFunnel//Lists/citizenCustomers/DispForm.aspx?ID=21</v>
      </c>
      <c r="M22" t="e">
        <f>_xlfn.XLOOKUP(Customers[[#This Row],[Id]],Customers[Id],#REF!)</f>
        <v>#REF!</v>
      </c>
      <c r="N22" t="str">
        <f>_xlfn.XLOOKUP(Customers[[#This Row],[Id]],Customers[Id],Customers[url2])</f>
        <v>https://cleansheet5.sharepoint.com/sites/SalesFunnel//Lists/citizenCustomers/DispForm.aspx?ID=21</v>
      </c>
      <c r="V22" t="s">
        <v>56</v>
      </c>
    </row>
    <row r="23" spans="1:40" x14ac:dyDescent="0.25">
      <c r="A23">
        <v>22</v>
      </c>
      <c r="B23" t="s">
        <v>206</v>
      </c>
      <c r="C23" t="s">
        <v>208</v>
      </c>
      <c r="D23" t="s">
        <v>209</v>
      </c>
      <c r="E23" t="s">
        <v>210</v>
      </c>
      <c r="F23" t="s">
        <v>211</v>
      </c>
      <c r="G23" t="s">
        <v>212</v>
      </c>
      <c r="H23" t="s">
        <v>213</v>
      </c>
      <c r="I23" t="s">
        <v>207</v>
      </c>
      <c r="J23" t="s">
        <v>414</v>
      </c>
      <c r="K23" t="s">
        <v>414</v>
      </c>
      <c r="L23" t="str">
        <f>siteUrl&amp;"/Lists/"&amp;custList&amp;"/DispForm.aspx?ID="&amp;Customers[[#This Row],[Id]]</f>
        <v>https://cleansheet5.sharepoint.com/sites/SalesFunnel//Lists/citizenCustomers/DispForm.aspx?ID=22</v>
      </c>
      <c r="M23" t="e">
        <f>_xlfn.XLOOKUP(Customers[[#This Row],[Id]],Customers[Id],#REF!)</f>
        <v>#REF!</v>
      </c>
      <c r="N23" t="str">
        <f>_xlfn.XLOOKUP(Customers[[#This Row],[Id]],Customers[Id],Customers[url2])</f>
        <v>https://cleansheet5.sharepoint.com/sites/SalesFunnel//Lists/citizenCustomers/DispForm.aspx?ID=22</v>
      </c>
      <c r="V23" t="s">
        <v>57</v>
      </c>
    </row>
    <row r="24" spans="1:40" x14ac:dyDescent="0.25">
      <c r="A24">
        <v>23</v>
      </c>
      <c r="B24" t="s">
        <v>214</v>
      </c>
      <c r="C24" t="s">
        <v>216</v>
      </c>
      <c r="D24" t="s">
        <v>217</v>
      </c>
      <c r="E24" t="s">
        <v>218</v>
      </c>
      <c r="F24" t="s">
        <v>219</v>
      </c>
      <c r="G24" t="s">
        <v>220</v>
      </c>
      <c r="H24" t="s">
        <v>221</v>
      </c>
      <c r="I24" t="s">
        <v>215</v>
      </c>
      <c r="J24" t="s">
        <v>414</v>
      </c>
      <c r="K24" t="s">
        <v>414</v>
      </c>
      <c r="L24" t="str">
        <f>siteUrl&amp;"/Lists/"&amp;custList&amp;"/DispForm.aspx?ID="&amp;Customers[[#This Row],[Id]]</f>
        <v>https://cleansheet5.sharepoint.com/sites/SalesFunnel//Lists/citizenCustomers/DispForm.aspx?ID=23</v>
      </c>
      <c r="M24" t="e">
        <f>_xlfn.XLOOKUP(Customers[[#This Row],[Id]],Customers[Id],#REF!)</f>
        <v>#REF!</v>
      </c>
      <c r="N24" t="str">
        <f>_xlfn.XLOOKUP(Customers[[#This Row],[Id]],Customers[Id],Customers[url2])</f>
        <v>https://cleansheet5.sharepoint.com/sites/SalesFunnel//Lists/citizenCustomers/DispForm.aspx?ID=23</v>
      </c>
      <c r="V24" t="s">
        <v>53</v>
      </c>
    </row>
    <row r="25" spans="1:40" x14ac:dyDescent="0.25">
      <c r="A25">
        <v>24</v>
      </c>
      <c r="B25" t="s">
        <v>222</v>
      </c>
      <c r="C25" t="s">
        <v>224</v>
      </c>
      <c r="D25" t="s">
        <v>225</v>
      </c>
      <c r="E25" t="s">
        <v>226</v>
      </c>
      <c r="F25" t="s">
        <v>227</v>
      </c>
      <c r="G25" t="s">
        <v>228</v>
      </c>
      <c r="H25" t="s">
        <v>229</v>
      </c>
      <c r="I25" t="s">
        <v>223</v>
      </c>
      <c r="J25" t="s">
        <v>414</v>
      </c>
      <c r="K25" t="s">
        <v>414</v>
      </c>
      <c r="L25" t="str">
        <f>siteUrl&amp;"/Lists/"&amp;custList&amp;"/DispForm.aspx?ID="&amp;Customers[[#This Row],[Id]]</f>
        <v>https://cleansheet5.sharepoint.com/sites/SalesFunnel//Lists/citizenCustomers/DispForm.aspx?ID=24</v>
      </c>
      <c r="M25" t="e">
        <f>_xlfn.XLOOKUP(Customers[[#This Row],[Id]],Customers[Id],#REF!)</f>
        <v>#REF!</v>
      </c>
      <c r="N25" t="str">
        <f>_xlfn.XLOOKUP(Customers[[#This Row],[Id]],Customers[Id],Customers[url2])</f>
        <v>https://cleansheet5.sharepoint.com/sites/SalesFunnel//Lists/citizenCustomers/DispForm.aspx?ID=24</v>
      </c>
      <c r="V25" t="s">
        <v>69</v>
      </c>
    </row>
    <row r="26" spans="1:40" x14ac:dyDescent="0.25">
      <c r="A26">
        <v>25</v>
      </c>
      <c r="B26" t="s">
        <v>230</v>
      </c>
      <c r="C26" t="s">
        <v>232</v>
      </c>
      <c r="D26" t="s">
        <v>130</v>
      </c>
      <c r="E26" t="s">
        <v>233</v>
      </c>
      <c r="F26" t="s">
        <v>234</v>
      </c>
      <c r="G26" t="s">
        <v>235</v>
      </c>
      <c r="H26" t="s">
        <v>236</v>
      </c>
      <c r="I26" t="s">
        <v>231</v>
      </c>
      <c r="J26" t="s">
        <v>414</v>
      </c>
      <c r="K26" t="s">
        <v>414</v>
      </c>
      <c r="L26" t="str">
        <f>siteUrl&amp;"/Lists/"&amp;custList&amp;"/DispForm.aspx?ID="&amp;Customers[[#This Row],[Id]]</f>
        <v>https://cleansheet5.sharepoint.com/sites/SalesFunnel//Lists/citizenCustomers/DispForm.aspx?ID=25</v>
      </c>
      <c r="M26" t="e">
        <f>_xlfn.XLOOKUP(Customers[[#This Row],[Id]],Customers[Id],#REF!)</f>
        <v>#REF!</v>
      </c>
      <c r="N26" t="str">
        <f>_xlfn.XLOOKUP(Customers[[#This Row],[Id]],Customers[Id],Customers[url2])</f>
        <v>https://cleansheet5.sharepoint.com/sites/SalesFunnel//Lists/citizenCustomers/DispForm.aspx?ID=25</v>
      </c>
      <c r="V26" t="s">
        <v>54</v>
      </c>
    </row>
    <row r="27" spans="1:40" x14ac:dyDescent="0.25">
      <c r="A27">
        <v>26</v>
      </c>
      <c r="B27" t="s">
        <v>237</v>
      </c>
      <c r="C27" t="s">
        <v>239</v>
      </c>
      <c r="D27" t="s">
        <v>240</v>
      </c>
      <c r="E27" t="s">
        <v>241</v>
      </c>
      <c r="F27" t="s">
        <v>201</v>
      </c>
      <c r="G27" t="s">
        <v>242</v>
      </c>
      <c r="H27" t="s">
        <v>243</v>
      </c>
      <c r="I27" t="s">
        <v>238</v>
      </c>
      <c r="J27" t="s">
        <v>414</v>
      </c>
      <c r="K27" t="s">
        <v>414</v>
      </c>
      <c r="L27" t="str">
        <f>siteUrl&amp;"/Lists/"&amp;custList&amp;"/DispForm.aspx?ID="&amp;Customers[[#This Row],[Id]]</f>
        <v>https://cleansheet5.sharepoint.com/sites/SalesFunnel//Lists/citizenCustomers/DispForm.aspx?ID=26</v>
      </c>
      <c r="M27" t="e">
        <f>_xlfn.XLOOKUP(Customers[[#This Row],[Id]],Customers[Id],#REF!)</f>
        <v>#REF!</v>
      </c>
      <c r="N27" t="str">
        <f>_xlfn.XLOOKUP(Customers[[#This Row],[Id]],Customers[Id],Customers[url2])</f>
        <v>https://cleansheet5.sharepoint.com/sites/SalesFunnel//Lists/citizenCustomers/DispForm.aspx?ID=26</v>
      </c>
      <c r="V27" t="s">
        <v>70</v>
      </c>
    </row>
    <row r="28" spans="1:40" x14ac:dyDescent="0.25">
      <c r="A28">
        <v>27</v>
      </c>
      <c r="B28" t="s">
        <v>244</v>
      </c>
      <c r="C28" t="s">
        <v>246</v>
      </c>
      <c r="D28" t="s">
        <v>247</v>
      </c>
      <c r="E28" t="s">
        <v>248</v>
      </c>
      <c r="F28" t="s">
        <v>249</v>
      </c>
      <c r="G28" t="s">
        <v>250</v>
      </c>
      <c r="H28" t="s">
        <v>251</v>
      </c>
      <c r="I28" t="s">
        <v>245</v>
      </c>
      <c r="J28" t="s">
        <v>415</v>
      </c>
      <c r="K28" t="s">
        <v>415</v>
      </c>
      <c r="L28" t="str">
        <f>siteUrl&amp;"/Lists/"&amp;custList&amp;"/DispForm.aspx?ID="&amp;Customers[[#This Row],[Id]]</f>
        <v>https://cleansheet5.sharepoint.com/sites/SalesFunnel//Lists/citizenCustomers/DispForm.aspx?ID=27</v>
      </c>
      <c r="M28" t="e">
        <f>_xlfn.XLOOKUP(Customers[[#This Row],[Id]],Customers[Id],#REF!)</f>
        <v>#REF!</v>
      </c>
      <c r="N28" t="str">
        <f>_xlfn.XLOOKUP(Customers[[#This Row],[Id]],Customers[Id],Customers[url2])</f>
        <v>https://cleansheet5.sharepoint.com/sites/SalesFunnel//Lists/citizenCustomers/DispForm.aspx?ID=27</v>
      </c>
      <c r="V28" t="s">
        <v>71</v>
      </c>
    </row>
    <row r="29" spans="1:40" x14ac:dyDescent="0.25">
      <c r="A29">
        <v>28</v>
      </c>
      <c r="B29" t="s">
        <v>252</v>
      </c>
      <c r="C29" t="s">
        <v>254</v>
      </c>
      <c r="D29" t="s">
        <v>255</v>
      </c>
      <c r="E29" t="s">
        <v>256</v>
      </c>
      <c r="F29" t="s">
        <v>257</v>
      </c>
      <c r="G29" t="s">
        <v>258</v>
      </c>
      <c r="H29" t="s">
        <v>259</v>
      </c>
      <c r="I29" t="s">
        <v>253</v>
      </c>
      <c r="J29" t="s">
        <v>415</v>
      </c>
      <c r="K29" t="s">
        <v>415</v>
      </c>
      <c r="L29" t="str">
        <f>siteUrl&amp;"/Lists/"&amp;custList&amp;"/DispForm.aspx?ID="&amp;Customers[[#This Row],[Id]]</f>
        <v>https://cleansheet5.sharepoint.com/sites/SalesFunnel//Lists/citizenCustomers/DispForm.aspx?ID=28</v>
      </c>
      <c r="M29" t="e">
        <f>_xlfn.XLOOKUP(Customers[[#This Row],[Id]],Customers[Id],#REF!)</f>
        <v>#REF!</v>
      </c>
      <c r="N29" t="str">
        <f>_xlfn.XLOOKUP(Customers[[#This Row],[Id]],Customers[Id],Customers[url2])</f>
        <v>https://cleansheet5.sharepoint.com/sites/SalesFunnel//Lists/citizenCustomers/DispForm.aspx?ID=28</v>
      </c>
      <c r="V29" t="s">
        <v>56</v>
      </c>
    </row>
    <row r="30" spans="1:40" x14ac:dyDescent="0.25">
      <c r="A30">
        <v>29</v>
      </c>
      <c r="B30" t="s">
        <v>260</v>
      </c>
      <c r="C30" t="s">
        <v>262</v>
      </c>
      <c r="D30" t="s">
        <v>132</v>
      </c>
      <c r="E30" t="s">
        <v>263</v>
      </c>
      <c r="F30" t="s">
        <v>264</v>
      </c>
      <c r="G30" t="s">
        <v>265</v>
      </c>
      <c r="H30" t="s">
        <v>266</v>
      </c>
      <c r="I30" t="s">
        <v>261</v>
      </c>
      <c r="J30" t="s">
        <v>415</v>
      </c>
      <c r="K30" t="s">
        <v>415</v>
      </c>
      <c r="L30" t="str">
        <f>siteUrl&amp;"/Lists/"&amp;custList&amp;"/DispForm.aspx?ID="&amp;Customers[[#This Row],[Id]]</f>
        <v>https://cleansheet5.sharepoint.com/sites/SalesFunnel//Lists/citizenCustomers/DispForm.aspx?ID=29</v>
      </c>
      <c r="M30" t="e">
        <f>_xlfn.XLOOKUP(Customers[[#This Row],[Id]],Customers[Id],#REF!)</f>
        <v>#REF!</v>
      </c>
      <c r="N30" t="str">
        <f>_xlfn.XLOOKUP(Customers[[#This Row],[Id]],Customers[Id],Customers[url2])</f>
        <v>https://cleansheet5.sharepoint.com/sites/SalesFunnel//Lists/citizenCustomers/DispForm.aspx?ID=29</v>
      </c>
      <c r="V30" t="s">
        <v>58</v>
      </c>
    </row>
    <row r="31" spans="1:40" x14ac:dyDescent="0.25">
      <c r="A31">
        <v>30</v>
      </c>
      <c r="B31" t="s">
        <v>267</v>
      </c>
      <c r="C31" t="s">
        <v>269</v>
      </c>
      <c r="D31" t="s">
        <v>270</v>
      </c>
      <c r="E31" t="s">
        <v>271</v>
      </c>
      <c r="F31" t="s">
        <v>272</v>
      </c>
      <c r="G31" t="s">
        <v>273</v>
      </c>
      <c r="H31" t="s">
        <v>274</v>
      </c>
      <c r="I31" t="s">
        <v>268</v>
      </c>
      <c r="J31" t="s">
        <v>415</v>
      </c>
      <c r="K31" t="s">
        <v>415</v>
      </c>
      <c r="L31" t="str">
        <f>siteUrl&amp;"/Lists/"&amp;custList&amp;"/DispForm.aspx?ID="&amp;Customers[[#This Row],[Id]]</f>
        <v>https://cleansheet5.sharepoint.com/sites/SalesFunnel//Lists/citizenCustomers/DispForm.aspx?ID=30</v>
      </c>
      <c r="M31" t="e">
        <f>_xlfn.XLOOKUP(Customers[[#This Row],[Id]],Customers[Id],#REF!)</f>
        <v>#REF!</v>
      </c>
      <c r="N31" t="str">
        <f>_xlfn.XLOOKUP(Customers[[#This Row],[Id]],Customers[Id],Customers[url2])</f>
        <v>https://cleansheet5.sharepoint.com/sites/SalesFunnel//Lists/citizenCustomers/DispForm.aspx?ID=30</v>
      </c>
      <c r="V31" t="s">
        <v>59</v>
      </c>
    </row>
    <row r="32" spans="1:40" x14ac:dyDescent="0.25">
      <c r="AN32" t="s">
        <v>60</v>
      </c>
    </row>
  </sheetData>
  <phoneticPr fontId="4"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E9A4D-4C0E-4BBD-A41C-5BA95E104431}">
  <sheetPr codeName="Sheet2"/>
  <dimension ref="A1:BA49"/>
  <sheetViews>
    <sheetView showGridLines="0" workbookViewId="0">
      <selection activeCell="X3" sqref="X3"/>
    </sheetView>
  </sheetViews>
  <sheetFormatPr defaultRowHeight="15" x14ac:dyDescent="0.25"/>
  <cols>
    <col min="1" max="1" width="26.85546875" bestFit="1" customWidth="1"/>
    <col min="2" max="5" width="26.28515625" customWidth="1"/>
    <col min="8" max="8" width="13.28515625" bestFit="1" customWidth="1"/>
    <col min="9" max="9" width="25.85546875" bestFit="1" customWidth="1"/>
    <col min="10" max="10" width="32.28515625" bestFit="1" customWidth="1"/>
    <col min="11" max="13" width="12.42578125" bestFit="1" customWidth="1"/>
    <col min="14" max="14" width="10.28515625" bestFit="1" customWidth="1"/>
    <col min="17" max="17" width="20" bestFit="1" customWidth="1"/>
    <col min="47" max="53" width="44.140625" customWidth="1"/>
    <col min="54" max="54" width="35" customWidth="1"/>
  </cols>
  <sheetData>
    <row r="1" spans="1:39" x14ac:dyDescent="0.25">
      <c r="I1" t="str" cm="1">
        <f t="array" ref="I1:N1">TRANSPOSE(_xlfn.UNIQUE(_xlfn._xlws.FILTER(_xlfn.SORTBY(View[Close Quarter],View[Close],1),View[Visible]=1)))</f>
        <v>FY26-Q1</v>
      </c>
      <c r="J1" t="str">
        <v>FY26-Q2</v>
      </c>
      <c r="K1" t="str">
        <v>FY26-Q3</v>
      </c>
      <c r="L1" t="str">
        <v>FY26-Q4</v>
      </c>
      <c r="M1" t="str">
        <v>FY27-Q1</v>
      </c>
      <c r="N1" t="str">
        <v>FY27-Q2</v>
      </c>
      <c r="R1" t="str" cm="1">
        <f t="array" ref="R1:W1">TRANSPOSE(_xlfn.UNIQUE(_xlfn._xlws.FILTER(_xlfn.SORTBY(View[Close Quarter],View[Close],-1),View[Visible]=1)))</f>
        <v>FY27-Q2</v>
      </c>
      <c r="S1" t="str">
        <v>FY27-Q1</v>
      </c>
      <c r="T1" t="str">
        <v>FY26-Q4</v>
      </c>
      <c r="U1" t="str">
        <v>FY26-Q3</v>
      </c>
      <c r="V1" t="str">
        <v>FY26-Q2</v>
      </c>
      <c r="W1" t="str">
        <v>FY26-Q1</v>
      </c>
      <c r="AH1" t="str" cm="1">
        <f t="array" ref="AH1:AM1">TRANSPOSE(_xlfn.UNIQUE(_xlfn.SORTBY(View[Close Quarter],(View[Close]),-1)))</f>
        <v>FY27-Q2</v>
      </c>
      <c r="AI1" t="str">
        <v>FY27-Q1</v>
      </c>
      <c r="AJ1" t="str">
        <v>FY26-Q4</v>
      </c>
      <c r="AK1" t="str">
        <v>FY26-Q3</v>
      </c>
      <c r="AL1" t="str">
        <v>FY26-Q2</v>
      </c>
      <c r="AM1" t="str">
        <v>FY26-Q1</v>
      </c>
    </row>
    <row r="2" spans="1:39" x14ac:dyDescent="0.25">
      <c r="B2" s="14">
        <f>SUBTOTAL(9, View[Unweighted])/1000</f>
        <v>49.469619000000002</v>
      </c>
      <c r="C2" s="15">
        <f>SUBTOTAL(3,View[[🔗Customer ]])</f>
        <v>40</v>
      </c>
      <c r="D2" s="16">
        <f>(B2-(SUBTOTAL(9,View[Estmated Revenue])/1000))/B2</f>
        <v>0.57146100114496534</v>
      </c>
      <c r="E2" s="18">
        <f>SUMIFS(Opportunities[Amount],Opportunities[High Probability],TRUE,View[Visible],1)/1000/1000</f>
        <v>10.083202</v>
      </c>
      <c r="H2" t="s">
        <v>48</v>
      </c>
      <c r="I2">
        <f>IF(I1="","",COUNTIFS(View[Visible],1,View[Close Quarter],graphics!I1))</f>
        <v>2</v>
      </c>
      <c r="J2">
        <f>IF(J1="","",COUNTIFS(View[Visible],1,View[Close Quarter],graphics!J1))</f>
        <v>3</v>
      </c>
      <c r="K2">
        <f>IF(K1="","",COUNTIFS(View[Visible],1,View[Close Quarter],graphics!K1))</f>
        <v>12</v>
      </c>
      <c r="L2">
        <f>IF(L1="","",COUNTIFS(View[Visible],1,View[Close Quarter],graphics!L1))</f>
        <v>11</v>
      </c>
      <c r="M2">
        <f>IF(M1="","",COUNTIFS(View[Visible],1,View[Close Quarter],graphics!M1))</f>
        <v>6</v>
      </c>
      <c r="N2">
        <f>IF(N1="","",COUNTIFS(View[Visible],1,View[Close Quarter],graphics!N1))</f>
        <v>6</v>
      </c>
      <c r="Q2" t="str" cm="1">
        <f t="array" ref="Q2:Q7">(_xlfn._xlws.SORT(_xlfn.UNIQUE(View[Stage])))</f>
        <v>➀ - Lead Qualification</v>
      </c>
      <c r="R2">
        <f>IF(R$1="","",SUMIFS(View[Unweighted],View[Close Quarter],R$1,View[Stage],$Q2,View[Visible],1)/1000)</f>
        <v>0</v>
      </c>
      <c r="S2">
        <f>IF(S$1="","",SUMIFS(View[Unweighted],View[Close Quarter],S$1,View[Stage],$Q2,View[Visible],1)/1000)</f>
        <v>3.5966869999999997</v>
      </c>
      <c r="T2">
        <f>IF(T$1="","",SUMIFS(View[Unweighted],View[Close Quarter],T$1,View[Stage],$Q2,View[Visible],1)/1000)</f>
        <v>2.5584849999999997</v>
      </c>
      <c r="U2">
        <f>IF(U$1="","",SUMIFS(View[Unweighted],View[Close Quarter],U$1,View[Stage],$Q2,View[Visible],1)/1000)</f>
        <v>1.721921</v>
      </c>
      <c r="V2">
        <f>IF(V$1="","",SUMIFS(View[Unweighted],View[Close Quarter],V$1,View[Stage],$Q2,View[Visible],1)/1000)</f>
        <v>0</v>
      </c>
      <c r="W2">
        <f>IF(W$1="","",SUMIFS(View[Unweighted],View[Close Quarter],W$1,View[Stage],$Q2,View[Visible],1)/1000)</f>
        <v>0</v>
      </c>
      <c r="AF2" t="s">
        <v>77</v>
      </c>
      <c r="AG2" t="s">
        <v>25</v>
      </c>
      <c r="AH2" s="26">
        <f>IF(AH$1="","",SUMIFS(View[Unweighted],View[Close Quarter],AH$1,View[S],$AF2,View[Visible],1)/1000)</f>
        <v>1.555472</v>
      </c>
      <c r="AI2" s="26">
        <f>IF(AI$1="","",SUMIFS(View[Unweighted],View[Close Quarter],AI$1,View[S],$AF2,View[Visible],1)/1000)</f>
        <v>0</v>
      </c>
      <c r="AJ2" s="26">
        <f>IF(AJ$1="","",SUMIFS(View[Unweighted],View[Close Quarter],AJ$1,View[S],$AF2,View[Visible],1)/1000)</f>
        <v>0</v>
      </c>
      <c r="AK2" s="26">
        <f>IF(AK$1="","",SUMIFS(View[Unweighted],View[Close Quarter],AK$1,View[S],$AF2,View[Visible],1)/1000)</f>
        <v>0</v>
      </c>
      <c r="AL2" s="26">
        <f>IF(AL$1="","",SUMIFS(View[Unweighted],View[Close Quarter],AL$1,View[S],$AF2,View[Visible],1)/1000)</f>
        <v>0</v>
      </c>
      <c r="AM2" s="26">
        <f>IF(AM$1="","",SUMIFS(View[Unweighted],View[Close Quarter],AM$1,View[S],$AF2,View[Visible],1)/1000)</f>
        <v>0</v>
      </c>
    </row>
    <row r="3" spans="1:39" x14ac:dyDescent="0.25">
      <c r="B3" s="13" t="s">
        <v>26</v>
      </c>
      <c r="C3" s="13" t="s">
        <v>48</v>
      </c>
      <c r="D3" s="13" t="s">
        <v>27</v>
      </c>
      <c r="E3" s="5" t="s">
        <v>28</v>
      </c>
      <c r="H3" t="s">
        <v>43</v>
      </c>
      <c r="I3" s="4">
        <f>IF(I1="","",SUMIFS(View[Unweighted],View[Visible],1,View[Close Quarter],graphics!I$1)/1000)</f>
        <v>2.4779430000000002</v>
      </c>
      <c r="J3" s="4">
        <f>IF(J1="","",SUMIFS(View[Unweighted],View[Visible],1,View[Close Quarter],graphics!J$1)/1000)</f>
        <v>4.1744479999999999</v>
      </c>
      <c r="K3" s="4">
        <f>IF(K1="","",SUMIFS(View[Unweighted],View[Visible],1,View[Close Quarter],graphics!K$1)/1000)</f>
        <v>15.057593999999998</v>
      </c>
      <c r="L3" s="4">
        <f>IF(L1="","",SUMIFS(View[Unweighted],View[Visible],1,View[Close Quarter],graphics!L$1)/1000)</f>
        <v>12.035836</v>
      </c>
      <c r="M3" s="4">
        <f>IF(M1="","",SUMIFS(View[Unweighted],View[Visible],1,View[Close Quarter],graphics!M$1)/1000)</f>
        <v>7.9430969999999999</v>
      </c>
      <c r="N3" s="4">
        <f>IF(N1="","",SUMIFS(View[Unweighted],View[Visible],1,View[Close Quarter],graphics!N$1)/1000)</f>
        <v>7.7807009999999996</v>
      </c>
      <c r="Q3" t="str">
        <v>➁ - Nurturing</v>
      </c>
      <c r="R3">
        <f>IF(R$1="","",SUMIFS(View[Unweighted],View[Close Quarter],R$1,View[Stage],$Q3,View[Visible],1)/1000)</f>
        <v>2.3985850000000002</v>
      </c>
      <c r="S3">
        <f>IF(S$1="","",SUMIFS(View[Unweighted],View[Close Quarter],S$1,View[Stage],$Q3,View[Visible],1)/1000)</f>
        <v>0</v>
      </c>
      <c r="T3">
        <f>IF(T$1="","",SUMIFS(View[Unweighted],View[Close Quarter],T$1,View[Stage],$Q3,View[Visible],1)/1000)</f>
        <v>3.4280710000000001</v>
      </c>
      <c r="U3">
        <f>IF(U$1="","",SUMIFS(View[Unweighted],View[Close Quarter],U$1,View[Stage],$Q3,View[Visible],1)/1000)</f>
        <v>2.9954890000000001</v>
      </c>
      <c r="V3">
        <f>IF(V$1="","",SUMIFS(View[Unweighted],View[Close Quarter],V$1,View[Stage],$Q3,View[Visible],1)/1000)</f>
        <v>0</v>
      </c>
      <c r="W3">
        <f>IF(W$1="","",SUMIFS(View[Unweighted],View[Close Quarter],W$1,View[Stage],$Q3,View[Visible],1)/1000)</f>
        <v>0</v>
      </c>
      <c r="AF3" t="s">
        <v>78</v>
      </c>
      <c r="AG3" t="s">
        <v>17</v>
      </c>
      <c r="AH3" s="26">
        <f>IF(AH$1="","",SUMIFS(View[Unweighted],View[Close Quarter],AH$1,View[S],$AF3,View[Visible],1)/1000)</f>
        <v>1.8751599999999999</v>
      </c>
      <c r="AI3" s="26">
        <f>IF(AI$1="","",SUMIFS(View[Unweighted],View[Close Quarter],AI$1,View[S],$AF3,View[Visible],1)/1000)</f>
        <v>3.499682</v>
      </c>
      <c r="AJ3" s="26">
        <f>IF(AJ$1="","",SUMIFS(View[Unweighted],View[Close Quarter],AJ$1,View[S],$AF3,View[Visible],1)/1000)</f>
        <v>3.5235759999999998</v>
      </c>
      <c r="AK3" s="26">
        <f>IF(AK$1="","",SUMIFS(View[Unweighted],View[Close Quarter],AK$1,View[S],$AF3,View[Visible],1)/1000)</f>
        <v>1.3087960000000001</v>
      </c>
      <c r="AL3" s="26">
        <f>IF(AL$1="","",SUMIFS(View[Unweighted],View[Close Quarter],AL$1,View[S],$AF3,View[Visible],1)/1000)</f>
        <v>0</v>
      </c>
      <c r="AM3" s="26">
        <f>IF(AM$1="","",SUMIFS(View[Unweighted],View[Close Quarter],AM$1,View[S],$AF3,View[Visible],1)/1000)</f>
        <v>0</v>
      </c>
    </row>
    <row r="4" spans="1:39" x14ac:dyDescent="0.25">
      <c r="H4" t="s">
        <v>41</v>
      </c>
      <c r="I4" s="4">
        <f>IF(I1="","",SUMIFS(View[Estmated Revenue],View[Visible],1,View[Close Quarter],graphics!I$1)/1000)</f>
        <v>0.99117720000000009</v>
      </c>
      <c r="J4" s="4">
        <f>IF(J1="","",SUMIFS(View[Estmated Revenue],View[Visible],1,View[Close Quarter],graphics!J$1)/1000)</f>
        <v>1.129875</v>
      </c>
      <c r="K4" s="4">
        <f>IF(K1="","",SUMIFS(View[Estmated Revenue],View[Visible],1,View[Close Quarter],graphics!K$1)/1000)</f>
        <v>5.9017895999999999</v>
      </c>
      <c r="L4" s="4">
        <f>IF(L1="","",SUMIFS(View[Estmated Revenue],View[Visible],1,View[Close Quarter],graphics!L$1)/1000)</f>
        <v>6.6633384000000015</v>
      </c>
      <c r="M4" s="4">
        <f>IF(M1="","",SUMIFS(View[Estmated Revenue],View[Visible],1,View[Close Quarter],graphics!M$1)/1000)</f>
        <v>3.0896072000000006</v>
      </c>
      <c r="N4" s="4">
        <f>IF(N1="","",SUMIFS(View[Estmated Revenue],View[Visible],1,View[Close Quarter],graphics!N$1)/1000)</f>
        <v>3.4238735999999999</v>
      </c>
      <c r="Q4" t="str">
        <v>➂ - Proposal</v>
      </c>
      <c r="R4">
        <f>IF(R$1="","",SUMIFS(View[Unweighted],View[Close Quarter],R$1,View[Stage],$Q4,View[Visible],1)/1000)</f>
        <v>2.5983849999999999</v>
      </c>
      <c r="S4">
        <f>IF(S$1="","",SUMIFS(View[Unweighted],View[Close Quarter],S$1,View[Stage],$Q4,View[Visible],1)/1000)</f>
        <v>0</v>
      </c>
      <c r="T4">
        <f>IF(T$1="","",SUMIFS(View[Unweighted],View[Close Quarter],T$1,View[Stage],$Q4,View[Visible],1)/1000)</f>
        <v>2.2694769999999997</v>
      </c>
      <c r="U4">
        <f>IF(U$1="","",SUMIFS(View[Unweighted],View[Close Quarter],U$1,View[Stage],$Q4,View[Visible],1)/1000)</f>
        <v>2.4751880000000002</v>
      </c>
      <c r="V4">
        <f>IF(V$1="","",SUMIFS(View[Unweighted],View[Close Quarter],V$1,View[Stage],$Q4,View[Visible],1)/1000)</f>
        <v>0</v>
      </c>
      <c r="W4">
        <f>IF(W$1="","",SUMIFS(View[Unweighted],View[Close Quarter],W$1,View[Stage],$Q4,View[Visible],1)/1000)</f>
        <v>0</v>
      </c>
      <c r="AF4" t="s">
        <v>79</v>
      </c>
      <c r="AG4" t="s">
        <v>19</v>
      </c>
      <c r="AH4" s="26">
        <f>IF(AH$1="","",SUMIFS(View[Unweighted],View[Close Quarter],AH$1,View[S],$AF4,View[Visible],1)/1000)</f>
        <v>4.3500690000000004</v>
      </c>
      <c r="AI4" s="26">
        <f>IF(AI$1="","",SUMIFS(View[Unweighted],View[Close Quarter],AI$1,View[S],$AF4,View[Visible],1)/1000)</f>
        <v>4.4434149999999999</v>
      </c>
      <c r="AJ4" s="26">
        <f>IF(AJ$1="","",SUMIFS(View[Unweighted],View[Close Quarter],AJ$1,View[S],$AF4,View[Visible],1)/1000)</f>
        <v>8.5122599999999995</v>
      </c>
      <c r="AK4" s="26">
        <f>IF(AK$1="","",SUMIFS(View[Unweighted],View[Close Quarter],AK$1,View[S],$AF4,View[Visible],1)/1000)</f>
        <v>13.748797999999999</v>
      </c>
      <c r="AL4" s="26">
        <f>IF(AL$1="","",SUMIFS(View[Unweighted],View[Close Quarter],AL$1,View[S],$AF4,View[Visible],1)/1000)</f>
        <v>4.1744479999999999</v>
      </c>
      <c r="AM4" s="26">
        <f>IF(AM$1="","",SUMIFS(View[Unweighted],View[Close Quarter],AM$1,View[S],$AF4,View[Visible],1)/1000)</f>
        <v>2.4779430000000002</v>
      </c>
    </row>
    <row r="5" spans="1:39" x14ac:dyDescent="0.25">
      <c r="Q5" t="str">
        <v>➃ - Negotiation</v>
      </c>
      <c r="R5">
        <f>IF(R$1="","",SUMIFS(View[Unweighted],View[Close Quarter],R$1,View[Stage],$Q5,View[Visible],1)/1000)</f>
        <v>0</v>
      </c>
      <c r="S5">
        <f>IF(S$1="","",SUMIFS(View[Unweighted],View[Close Quarter],S$1,View[Stage],$Q5,View[Visible],1)/1000)</f>
        <v>1.31515</v>
      </c>
      <c r="T5">
        <f>IF(T$1="","",SUMIFS(View[Unweighted],View[Close Quarter],T$1,View[Stage],$Q5,View[Visible],1)/1000)</f>
        <v>1.3661969999999999</v>
      </c>
      <c r="U5">
        <f>IF(U$1="","",SUMIFS(View[Unweighted],View[Close Quarter],U$1,View[Stage],$Q5,View[Visible],1)/1000)</f>
        <v>4.6446270000000007</v>
      </c>
      <c r="V5">
        <f>IF(V$1="","",SUMIFS(View[Unweighted],View[Close Quarter],V$1,View[Stage],$Q5,View[Visible],1)/1000)</f>
        <v>2.6995210000000003</v>
      </c>
      <c r="W5">
        <f>IF(W$1="","",SUMIFS(View[Unweighted],View[Close Quarter],W$1,View[Stage],$Q5,View[Visible],1)/1000)</f>
        <v>0</v>
      </c>
    </row>
    <row r="6" spans="1:39" x14ac:dyDescent="0.25">
      <c r="Q6" t="str">
        <v>➄ - Project Execution</v>
      </c>
      <c r="R6">
        <f>IF(R$1="","",SUMIFS(View[Unweighted],View[Close Quarter],R$1,View[Stage],$Q6,View[Visible],1)/1000)</f>
        <v>1.68801</v>
      </c>
      <c r="S6">
        <f>IF(S$1="","",SUMIFS(View[Unweighted],View[Close Quarter],S$1,View[Stage],$Q6,View[Visible],1)/1000)</f>
        <v>1.850071</v>
      </c>
      <c r="T6">
        <f>IF(T$1="","",SUMIFS(View[Unweighted],View[Close Quarter],T$1,View[Stage],$Q6,View[Visible],1)/1000)</f>
        <v>0</v>
      </c>
      <c r="U6">
        <f>IF(U$1="","",SUMIFS(View[Unweighted],View[Close Quarter],U$1,View[Stage],$Q6,View[Visible],1)/1000)</f>
        <v>2.5540379999999998</v>
      </c>
      <c r="V6">
        <f>IF(V$1="","",SUMIFS(View[Unweighted],View[Close Quarter],V$1,View[Stage],$Q6,View[Visible],1)/1000)</f>
        <v>1.4749269999999999</v>
      </c>
      <c r="W6">
        <f>IF(W$1="","",SUMIFS(View[Unweighted],View[Close Quarter],W$1,View[Stage],$Q6,View[Visible],1)/1000)</f>
        <v>1.2591330000000001</v>
      </c>
    </row>
    <row r="7" spans="1:39" x14ac:dyDescent="0.25">
      <c r="Q7" t="str">
        <v>➅ - Closeout</v>
      </c>
      <c r="R7">
        <f>IF(R$1="","",SUMIFS(View[Unweighted],View[Close Quarter],R$1,View[Stage],$Q7,View[Visible],1)/1000)</f>
        <v>1.0957209999999999</v>
      </c>
      <c r="S7">
        <f>IF(S$1="","",SUMIFS(View[Unweighted],View[Close Quarter],S$1,View[Stage],$Q7,View[Visible],1)/1000)</f>
        <v>1.181189</v>
      </c>
      <c r="T7">
        <f>IF(T$1="","",SUMIFS(View[Unweighted],View[Close Quarter],T$1,View[Stage],$Q7,View[Visible],1)/1000)</f>
        <v>2.4136059999999997</v>
      </c>
      <c r="U7">
        <f>IF(U$1="","",SUMIFS(View[Unweighted],View[Close Quarter],U$1,View[Stage],$Q7,View[Visible],1)/1000)</f>
        <v>0.66633100000000001</v>
      </c>
      <c r="V7">
        <f>IF(V$1="","",SUMIFS(View[Unweighted],View[Close Quarter],V$1,View[Stage],$Q7,View[Visible],1)/1000)</f>
        <v>0</v>
      </c>
      <c r="W7">
        <f>IF(W$1="","",SUMIFS(View[Unweighted],View[Close Quarter],W$1,View[Stage],$Q7,View[Visible],1)/1000)</f>
        <v>1.2188099999999999</v>
      </c>
    </row>
    <row r="10" spans="1:39" x14ac:dyDescent="0.25">
      <c r="B10" t="s">
        <v>14</v>
      </c>
      <c r="C10" t="s">
        <v>48</v>
      </c>
      <c r="D10" t="s">
        <v>15</v>
      </c>
    </row>
    <row r="11" spans="1:39" x14ac:dyDescent="0.25">
      <c r="A11" t="str">
        <f>_xlfn.XLOOKUP(B11,stage[Display],stage[Stage Name])</f>
        <v>Lead Qualification</v>
      </c>
      <c r="B11" t="s">
        <v>379</v>
      </c>
      <c r="C11">
        <f>COUNTIFS(View[Stage],B11,View[Visible],1)</f>
        <v>7</v>
      </c>
      <c r="D11" s="21">
        <f>SUMIFS(View[Opp Value],View[Stage],B11,View[Visible],1)/1000</f>
        <v>7.8770930000000003</v>
      </c>
    </row>
    <row r="12" spans="1:39" x14ac:dyDescent="0.25">
      <c r="A12" t="str">
        <f>_xlfn.XLOOKUP(B12,stage[Display],stage[Stage Name])</f>
        <v>Nurturing</v>
      </c>
      <c r="B12" t="s">
        <v>380</v>
      </c>
      <c r="C12">
        <f>COUNTIF(View[Stage],B12)</f>
        <v>7</v>
      </c>
      <c r="D12" s="21">
        <f>SUMIFS(View[Opp Value],View[Stage],B12,View[Visible],1)/1000</f>
        <v>8.8221450000000008</v>
      </c>
    </row>
    <row r="13" spans="1:39" x14ac:dyDescent="0.25">
      <c r="A13" t="str">
        <f>_xlfn.XLOOKUP(B13,stage[Display],stage[Stage Name])</f>
        <v>Proposal</v>
      </c>
      <c r="B13" t="s">
        <v>381</v>
      </c>
      <c r="C13">
        <f>COUNTIF(View[Stage],B13)</f>
        <v>7</v>
      </c>
      <c r="D13" s="21">
        <f>SUMIFS(View[Opp Value],View[Stage],B13,View[Visible],1)/1000</f>
        <v>7.3430499999999999</v>
      </c>
    </row>
    <row r="14" spans="1:39" x14ac:dyDescent="0.25">
      <c r="A14" t="str">
        <f>_xlfn.XLOOKUP(B14,stage[Display],stage[Stage Name])</f>
        <v>Negotiation</v>
      </c>
      <c r="B14" t="s">
        <v>382</v>
      </c>
      <c r="C14">
        <f>COUNTIF(View[Stage],B14)</f>
        <v>7</v>
      </c>
      <c r="D14" s="21">
        <f>SUMIFS(View[Opp Value],View[Stage],B14,View[Visible],1)/1000</f>
        <v>10.025494999999999</v>
      </c>
    </row>
    <row r="15" spans="1:39" x14ac:dyDescent="0.25">
      <c r="A15" t="str">
        <f>_xlfn.XLOOKUP(B15,stage[Display],stage[Stage Name])</f>
        <v>Project Execution</v>
      </c>
      <c r="B15" t="s">
        <v>383</v>
      </c>
      <c r="C15">
        <f>COUNTIF(View[Stage],B15)</f>
        <v>6</v>
      </c>
      <c r="D15" s="21">
        <f>SUMIFS(View[Opp Value],View[Stage],B15,View[Visible],1)/1000</f>
        <v>8.8261789999999998</v>
      </c>
    </row>
    <row r="16" spans="1:39" x14ac:dyDescent="0.25">
      <c r="A16" t="str">
        <f>_xlfn.XLOOKUP(B16,stage[Display],stage[Stage Name])</f>
        <v>Closeout</v>
      </c>
      <c r="B16" t="s">
        <v>384</v>
      </c>
      <c r="C16">
        <f>COUNTIF(View[Stage],B16)</f>
        <v>6</v>
      </c>
      <c r="D16" s="21">
        <f>SUMIFS(View[Opp Value],View[Stage],B16,View[Visible],1)/1000</f>
        <v>6.5756570000000014</v>
      </c>
    </row>
    <row r="37" spans="47:53" s="41" customFormat="1" ht="52.5" customHeight="1" x14ac:dyDescent="0.25"/>
    <row r="38" spans="47:53" s="41" customFormat="1" ht="52.5" customHeight="1" x14ac:dyDescent="0.25"/>
    <row r="39" spans="47:53" s="41" customFormat="1" ht="52.5" customHeight="1" x14ac:dyDescent="0.25"/>
    <row r="40" spans="47:53" s="41" customFormat="1" ht="52.5" customHeight="1" x14ac:dyDescent="0.25">
      <c r="AU40" s="42"/>
      <c r="AV40" s="42"/>
      <c r="AW40" s="42"/>
      <c r="AX40" s="42"/>
      <c r="AY40" s="42"/>
      <c r="AZ40" s="42"/>
      <c r="BA40" s="42"/>
    </row>
    <row r="41" spans="47:53" s="41" customFormat="1" ht="52.5" customHeight="1" x14ac:dyDescent="0.25">
      <c r="AU41" s="42"/>
      <c r="AV41" s="42"/>
      <c r="AW41" s="42"/>
      <c r="AX41" s="42"/>
      <c r="AY41" s="42"/>
      <c r="AZ41" s="42"/>
      <c r="BA41" s="42"/>
    </row>
    <row r="42" spans="47:53" s="41" customFormat="1" ht="52.5" customHeight="1" x14ac:dyDescent="0.25">
      <c r="AU42" s="42"/>
      <c r="AV42" s="42"/>
      <c r="AW42" s="42"/>
      <c r="AX42" s="42"/>
      <c r="AY42" s="42"/>
      <c r="AZ42" s="42"/>
      <c r="BA42" s="42"/>
    </row>
    <row r="43" spans="47:53" s="41" customFormat="1" ht="52.5" customHeight="1" x14ac:dyDescent="0.25">
      <c r="AU43" s="42"/>
      <c r="AV43" s="42"/>
      <c r="AW43" s="42"/>
      <c r="AX43" s="42"/>
      <c r="AY43" s="42"/>
      <c r="AZ43" s="42"/>
      <c r="BA43" s="42"/>
    </row>
    <row r="44" spans="47:53" s="41" customFormat="1" ht="52.5" customHeight="1" x14ac:dyDescent="0.25">
      <c r="AU44" s="42"/>
      <c r="AV44" s="42"/>
      <c r="AW44" s="42"/>
      <c r="AX44" s="42"/>
      <c r="AY44" s="42"/>
      <c r="AZ44" s="42"/>
      <c r="BA44" s="42"/>
    </row>
    <row r="45" spans="47:53" s="41" customFormat="1" ht="52.5" customHeight="1" x14ac:dyDescent="0.25">
      <c r="AU45" s="42"/>
      <c r="AV45" s="42"/>
      <c r="AW45" s="42"/>
      <c r="AX45" s="42"/>
      <c r="AY45" s="42"/>
      <c r="AZ45" s="42"/>
      <c r="BA45" s="42"/>
    </row>
    <row r="46" spans="47:53" s="41" customFormat="1" ht="52.5" customHeight="1" x14ac:dyDescent="0.25">
      <c r="AU46" s="42"/>
      <c r="AV46" s="42"/>
      <c r="AW46" s="42"/>
      <c r="AX46" s="42"/>
      <c r="AY46" s="42"/>
      <c r="AZ46" s="42"/>
      <c r="BA46" s="42"/>
    </row>
    <row r="47" spans="47:53" s="41" customFormat="1" ht="52.5" customHeight="1" x14ac:dyDescent="0.25">
      <c r="AU47" s="42"/>
      <c r="AV47" s="42"/>
      <c r="AW47" s="42"/>
      <c r="AX47" s="42"/>
      <c r="AY47" s="42"/>
      <c r="AZ47" s="42"/>
      <c r="BA47" s="42"/>
    </row>
    <row r="48" spans="47:53" s="41" customFormat="1" ht="52.5" customHeight="1" x14ac:dyDescent="0.25">
      <c r="AU48" s="42"/>
      <c r="AV48" s="42"/>
      <c r="AW48" s="42"/>
      <c r="AX48" s="42"/>
      <c r="AY48" s="42"/>
      <c r="AZ48" s="42"/>
      <c r="BA48" s="42"/>
    </row>
    <row r="49" spans="47:53" s="41" customFormat="1" ht="52.5" customHeight="1" x14ac:dyDescent="0.25">
      <c r="AU49" s="42"/>
      <c r="AV49" s="42"/>
      <c r="AW49" s="42"/>
      <c r="AX49" s="42"/>
      <c r="AY49" s="42"/>
      <c r="AZ49" s="42"/>
      <c r="BA49" s="42"/>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19280-E024-4288-A877-088FE75A627E}">
  <dimension ref="A1:L14"/>
  <sheetViews>
    <sheetView workbookViewId="0">
      <selection activeCell="X3" sqref="X3"/>
    </sheetView>
  </sheetViews>
  <sheetFormatPr defaultRowHeight="15" x14ac:dyDescent="0.25"/>
  <cols>
    <col min="1" max="1" width="43.140625" style="43" bestFit="1" customWidth="1"/>
    <col min="6" max="12" width="53" style="42" customWidth="1"/>
  </cols>
  <sheetData>
    <row r="1" spans="1:12" x14ac:dyDescent="0.25">
      <c r="A1" s="43" t="str" cm="1">
        <f t="array" ref="A1:A13">_xlfn.VSTACK("Critical",_xlfn._xlws.FILTER(Opportunities[Display],Opportunities[Status]="Critical"),"","At Risk",_xlfn._xlws.FILTER(Opportunities[Display],Opportunities[Status]="At Risk"))</f>
        <v>Critical</v>
      </c>
      <c r="F1" s="44" t="str" cm="1">
        <f t="array" ref="F1:K1">TRANSPOSE(_xlfn.UNIQUE((_xlfn.SORTBY(View[Close Quarter],View[Close],1))))</f>
        <v>FY26-Q1</v>
      </c>
      <c r="G1" s="44" t="str">
        <v>FY26-Q2</v>
      </c>
      <c r="H1" s="44" t="str">
        <v>FY26-Q3</v>
      </c>
      <c r="I1" s="44" t="str">
        <v>FY26-Q4</v>
      </c>
      <c r="J1" s="44" t="str">
        <v>FY27-Q1</v>
      </c>
      <c r="K1" s="44" t="str">
        <v>FY27-Q2</v>
      </c>
      <c r="L1" s="44"/>
    </row>
    <row r="2" spans="1:12" ht="45" x14ac:dyDescent="0.25">
      <c r="A2" s="43" t="str">
        <v>⮾ ACME Corporation
(Customer Service Platform)
 $1.6m • Nurturing • Owner: Dr. Tech Advisor</v>
      </c>
      <c r="F2" s="42" t="str" cm="1">
        <f t="array" ref="F2:F3">_xlfn._xlws.FILTER(Opportunities[Display],Opportunities[Close Quarter]=tables!F1)</f>
        <v>✓ ACME Corporation
(Project Management Software)
 $1.2m • Closeout • Owner: Amanda Sales</v>
      </c>
      <c r="G2" s="42" t="str" cm="1">
        <f t="array" ref="G2:G4">_xlfn._xlws.FILTER(Opportunities[Display],Opportunities[Close Quarter]=tables!G1)</f>
        <v>✓ ACME Corporation
(Digital Transformation Project)
 $1.0m • Negotiation • Owner: John Manager</v>
      </c>
      <c r="H2" s="42" t="str" cm="1">
        <f t="array" ref="H2:H13">_xlfn._xlws.FILTER(Opportunities[Display],Opportunities[Close Quarter]=tables!H1)</f>
        <v>✓ Global Industries
(Healthcare Data Analytics Platform)
 $1.2m • Project Execution • Owner: Lisa Engineer</v>
      </c>
      <c r="I2" s="42" t="str" cm="1">
        <f t="array" ref="I2:I12">_xlfn._xlws.FILTER(Opportunities[Display],Opportunities[Close Quarter]=tables!I1)</f>
        <v>⚠ Food Service Partners
(Cloud Migration Initiative)
 $1.1m • Lead Qualification • Owner: Jennifer PM</v>
      </c>
      <c r="J2" s="42" t="str" cm="1">
        <f t="array" ref="J2:J7">_xlfn._xlws.FILTER(Opportunities[Display],Opportunities[Close Quarter]=tables!J1)</f>
        <v>⚠ ACME Corporation
(ERP Implementation Project)
 $0.9m • Lead Qualification • Owner: John Manager</v>
      </c>
      <c r="K2" s="42" t="str" cm="1">
        <f t="array" ref="K2:K7">_xlfn._xlws.FILTER(Opportunities[Display],Opportunities[Close Quarter]=tables!K1)</f>
        <v>⚠ Textile Manufacturing
(Customer Portal Development)
 $1.1m • Closeout • Owner: Mike Consultant</v>
      </c>
      <c r="L2" s="42" t="e" cm="1" vm="1">
        <f t="array" ref="L2">_xlfn._xlws.FILTER(Opportunities[Display],Opportunities[Close Quarter]=tables!L1)</f>
        <v>#VALUE!</v>
      </c>
    </row>
    <row r="3" spans="1:12" ht="45" x14ac:dyDescent="0.25">
      <c r="A3" s="43" t="str">
        <v/>
      </c>
      <c r="F3" s="42" t="str">
        <v>✓ Chemical Processing
(Integration Services Project)
 $1.3m • Project Execution • Owner: Amanda Sales</v>
      </c>
      <c r="G3" s="42" t="str">
        <v>✓ ACME Corporation
(Compliance Management Tool)
 $1.7m • Negotiation • Owner: Sarah Director</v>
      </c>
      <c r="H3" s="42" t="str">
        <v>✓ Pharmaceutical Research
(Network Infrastructure Upgrade)
 $1.2m • Proposal • Owner: Robert Analyst</v>
      </c>
      <c r="I3" s="42" t="str">
        <v>⚠ Telecommunications Inc
(Security Assessment &amp; Audit)
 $1.4m • Nurturing • Owner: Lisa Engineer</v>
      </c>
      <c r="J3" s="42" t="str">
        <v>✓ Transport Logistics
(Data Center Consolidation)
 $1.3m • Negotiation • Owner: Amanda Sales</v>
      </c>
      <c r="K3" s="42" t="str">
        <v>✓ Automotive Parts Plus
(E-commerce Platform)
 $1.7m • Project Execution • Owner: Robert Analyst</v>
      </c>
    </row>
    <row r="4" spans="1:12" ht="45" x14ac:dyDescent="0.25">
      <c r="A4" s="43" t="str">
        <v>At Risk</v>
      </c>
      <c r="G4" s="42" t="str">
        <v>✓ Tech Solutions Inc
(Machine Learning Implementation)
 $1.5m • Project Execution • Owner: Sarah Director</v>
      </c>
      <c r="H4" s="42" t="str">
        <v>✓ Real Estate Ventures
(Business Intelligence Solution)
 $0.7m • Closeout • Owner: Robert Analyst</v>
      </c>
      <c r="I4" s="42" t="str">
        <v>✓ Security Solutions
(Manufacturing Automation System)
 $0.6m • Proposal • Owner: Robert Analyst</v>
      </c>
      <c r="J4" s="42" t="str">
        <v>⚠ Agricultural Systems
(Document Management System)
 $1.4m • Lead Qualification • Owner: Lisa Engineer</v>
      </c>
      <c r="K4" s="42" t="str">
        <v>✓ Mining Operations
(Quality Management System)
 $1.8m • Proposal • Owner: David Specialist</v>
      </c>
    </row>
    <row r="5" spans="1:12" ht="60" x14ac:dyDescent="0.25">
      <c r="A5" s="43" t="str">
        <v>⚠ ACME Corporation
(ERP Implementation Project)
 $0.9m • Lead Qualification • Owner: John Manager</v>
      </c>
      <c r="H5" s="42" t="str">
        <v>✓ Consulting Experts
(Cybersecurity Enhancement)
 $1.2m • Nurturing • Owner: Sarah Director</v>
      </c>
      <c r="I5" s="42" t="str">
        <v>✓ Publishing House
(Mobile Application Development)
 $1.5m • Lead Qualification • Owner: Maria Coordinator</v>
      </c>
      <c r="J5" s="42" t="str">
        <v>✓ Transport Logistics
(CRM System Upgrade)
 $1.3m • Lead Qualification • Owner: David Specialist</v>
      </c>
      <c r="K5" s="42" t="str">
        <v>⚠ Education First
(Financial Planning Software)
 $0.8m • Proposal • Owner: Mike Consultant</v>
      </c>
    </row>
    <row r="6" spans="1:12" ht="60" x14ac:dyDescent="0.25">
      <c r="A6" s="43" t="str">
        <v>⚠ Food Service Partners
(Cloud Migration Initiative)
 $1.1m • Lead Qualification • Owner: Jennifer PM</v>
      </c>
      <c r="H6" s="42" t="str">
        <v>⚠ Sports &amp; Recreation
(Training &amp; Development Program)
 $1.3m • Proposal • Owner: Robert Analyst</v>
      </c>
      <c r="I6" s="42" t="str">
        <v>✓ Education First
(Supply Chain Optimization)
 $0.7m • Proposal • Owner: David Specialist</v>
      </c>
      <c r="J6" s="42" t="str">
        <v>⚠ Professional Services Group
(Fleet Management System)
 $1.2m • Closeout • Owner: Mike Consultant</v>
      </c>
      <c r="K6" s="42" t="str">
        <v>✓ Media Communications
(Inventory Management Solution)
 $0.8m • Nurturing • Owner: Amanda Sales</v>
      </c>
    </row>
    <row r="7" spans="1:12" ht="45" x14ac:dyDescent="0.25">
      <c r="A7" s="43" t="str">
        <v>⚠ Telecommunications Inc
(Security Assessment &amp; Audit)
 $1.4m • Nurturing • Owner: Lisa Engineer</v>
      </c>
      <c r="H7" s="42" t="str">
        <v>✓ Food Service Partners
(Point of Sale System)
 $1.2m • Negotiation • Owner: David Specialist</v>
      </c>
      <c r="I7" s="42" t="str">
        <v>✓ Hotel Management Group
(HR Management System)
 $1.2m • Closeout • Owner: Lisa Engineer</v>
      </c>
      <c r="J7" s="42" t="str">
        <v>✓ Media Communications
(Environmental Monitoring Solution)
 $1.9m • Project Execution • Owner: Lisa Engineer</v>
      </c>
      <c r="K7" s="42" t="str">
        <v>⮾ ACME Corporation
(Customer Service Platform)
 $1.6m • Nurturing • Owner: Dr. Tech Advisor</v>
      </c>
    </row>
    <row r="8" spans="1:12" ht="45" x14ac:dyDescent="0.25">
      <c r="A8" s="43" t="str">
        <v>⚠ Textile Manufacturing
(Customer Portal Development)
 $1.1m • Closeout • Owner: Mike Consultant</v>
      </c>
      <c r="H8" s="42" t="str">
        <v>✓ Pharmaceutical Research
(Video Conferencing Solution)
 $2.2m • Negotiation • Owner: Amanda Sales</v>
      </c>
      <c r="I8" s="42" t="str">
        <v>✓ Environmental Services
(Marketing Automation Platform)
 $1.2m • Closeout • Owner: Jennifer PM</v>
      </c>
    </row>
    <row r="9" spans="1:12" ht="60" x14ac:dyDescent="0.25">
      <c r="A9" s="43" t="str">
        <v>⚠ Agricultural Systems
(Document Management System)
 $1.4m • Lead Qualification • Owner: Lisa Engineer</v>
      </c>
      <c r="H9" s="42" t="str">
        <v>✓ Waste Management Co
(Social Media Management Tool)
 $1.1m • Lead Qualification • Owner: Robert Analyst</v>
      </c>
      <c r="I9" s="42" t="str">
        <v>⚠ Construction Dynamics
(Backup &amp; Recovery System)
 $1.0m • Nurturing • Owner: Mike Consultant</v>
      </c>
    </row>
    <row r="10" spans="1:12" ht="45" x14ac:dyDescent="0.25">
      <c r="A10" s="43" t="str">
        <v>⚠ Sports &amp; Recreation
(Training &amp; Development Program)
 $1.3m • Proposal • Owner: Robert Analyst</v>
      </c>
      <c r="H10" s="42" t="str">
        <v>✓ Global Industries
(Performance Analytics Dashboard)
 $1.2m • Negotiation • Owner: Dr. Tech Advisor</v>
      </c>
      <c r="I10" s="42" t="str">
        <v>✓ Tech Solutions Inc
(Website Redesign Project)
 $1.0m • Nurturing • Owner: Amanda Sales</v>
      </c>
    </row>
    <row r="11" spans="1:12" ht="45" x14ac:dyDescent="0.25">
      <c r="A11" s="43" t="str">
        <v>⚠ Education First
(Financial Planning Software)
 $0.8m • Proposal • Owner: Mike Consultant</v>
      </c>
      <c r="H11" s="42" t="str">
        <v>✓ Global Industries
(Workflow Automation Tool)
 $1.4m • Project Execution • Owner: Robert Analyst</v>
      </c>
      <c r="I11" s="42" t="str">
        <v>✓ Insurance Specialists
(Safety Management System)
 $0.9m • Proposal • Owner: Mike Consultant</v>
      </c>
    </row>
    <row r="12" spans="1:12" ht="45" x14ac:dyDescent="0.25">
      <c r="A12" s="43" t="str">
        <v>⚠ Construction Dynamics
(Backup &amp; Recovery System)
 $1.0m • Nurturing • Owner: Mike Consultant</v>
      </c>
      <c r="H12" s="42" t="str">
        <v>✓ Construction Dynamics
(Database Migration Project)
 $0.6m • Lead Qualification • Owner: Sarah Director</v>
      </c>
      <c r="I12" s="42" t="str">
        <v>✓ Tech Solutions Inc
(API Development Project)
 $1.4m • Negotiation • Owner: Lisa Engineer</v>
      </c>
    </row>
    <row r="13" spans="1:12" ht="45" x14ac:dyDescent="0.25">
      <c r="A13" s="43" t="str">
        <v>⚠ Professional Services Group
(Fleet Management System)
 $1.2m • Closeout • Owner: Mike Consultant</v>
      </c>
      <c r="H13" s="42" t="str">
        <v>✓ Professional Services Group
(Legacy System Modernization)
 $1.8m • Nurturing • Owner: Robert Analyst</v>
      </c>
    </row>
    <row r="14" spans="1:12" ht="4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0176842FDA3F4E9F77EA98781834DC" ma:contentTypeVersion="3" ma:contentTypeDescription="Create a new document." ma:contentTypeScope="" ma:versionID="e26aec354ac2d55d1b23fe41235f0e58">
  <xsd:schema xmlns:xsd="http://www.w3.org/2001/XMLSchema" xmlns:xs="http://www.w3.org/2001/XMLSchema" xmlns:p="http://schemas.microsoft.com/office/2006/metadata/properties" xmlns:ns2="4f3bca6b-000d-46e8-b3a3-c2a45d4f39ca" targetNamespace="http://schemas.microsoft.com/office/2006/metadata/properties" ma:root="true" ma:fieldsID="4988366a62cf31a3d95291a9ea530eba" ns2:_="">
    <xsd:import namespace="4f3bca6b-000d-46e8-b3a3-c2a45d4f39ca"/>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bca6b-000d-46e8-b3a3-c2a45d4f39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CED181E1-E102-4EAE-8EC6-3C8448A59A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3bca6b-000d-46e8-b3a3-c2a45d4f39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5AA6437-223C-4E31-B8B1-54230B46E872}">
  <ds:schemaRefs>
    <ds:schemaRef ds:uri="http://schemas.microsoft.com/sharepoint/v3/contenttype/forms"/>
  </ds:schemaRefs>
</ds:datastoreItem>
</file>

<file path=customXml/itemProps3.xml><?xml version="1.0" encoding="utf-8"?>
<ds:datastoreItem xmlns:ds="http://schemas.openxmlformats.org/officeDocument/2006/customXml" ds:itemID="{E650B127-E98F-4E32-9827-A01760F0C3D6}">
  <ds:schemaRefs>
    <ds:schemaRef ds:uri="http://schemas.microsoft.com/office/2006/metadata/properties"/>
    <ds:schemaRef ds:uri="http://schemas.microsoft.com/office/infopath/2007/PartnerControls"/>
  </ds:schemaRefs>
</ds:datastoreItem>
</file>

<file path=customXml/itemProps4.xml><?xml version="1.0" encoding="utf-8"?>
<ds:datastoreItem xmlns:ds="http://schemas.openxmlformats.org/officeDocument/2006/customXml" ds:itemID="{2E66FF32-919E-4A08-BABC-1CC4568DAC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11</vt:i4>
      </vt:variant>
    </vt:vector>
  </HeadingPairs>
  <TitlesOfParts>
    <vt:vector size="18" baseType="lpstr">
      <vt:lpstr>Pipeline</vt:lpstr>
      <vt:lpstr>Roadmap</vt:lpstr>
      <vt:lpstr>Settings</vt:lpstr>
      <vt:lpstr>Opportunities</vt:lpstr>
      <vt:lpstr>Customers</vt:lpstr>
      <vt:lpstr>graphics</vt:lpstr>
      <vt:lpstr>tables</vt:lpstr>
      <vt:lpstr>calendarType</vt:lpstr>
      <vt:lpstr>clientId</vt:lpstr>
      <vt:lpstr>custList</vt:lpstr>
      <vt:lpstr>custListAppend</vt:lpstr>
      <vt:lpstr>dateRange</vt:lpstr>
      <vt:lpstr>fqStart</vt:lpstr>
      <vt:lpstr>listPrefix</vt:lpstr>
      <vt:lpstr>oppList</vt:lpstr>
      <vt:lpstr>oppListAppend</vt:lpstr>
      <vt:lpstr>pipelineType</vt:lpstr>
      <vt:lpstr>siteUrl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Galjan</dc:creator>
  <cp:lastModifiedBy>Paul Galjan</cp:lastModifiedBy>
  <dcterms:created xsi:type="dcterms:W3CDTF">2025-08-05T17:11:40Z</dcterms:created>
  <dcterms:modified xsi:type="dcterms:W3CDTF">2025-08-11T19:56:57Z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0x010100260176842FDA3F4E9F77EA98781834DC</vt:lpwstr>
  </property>
</Properties>
</file>